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5" firstSheet="38" activeTab="42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1_ sz_függelék" sheetId="41" r:id="rId41"/>
    <sheet name="2_ sz_függelék" sheetId="42" r:id="rId42"/>
    <sheet name="Főbb mellékletek " sheetId="43" r:id="rId43"/>
  </sheets>
  <definedNames/>
  <calcPr fullCalcOnLoad="1"/>
</workbook>
</file>

<file path=xl/sharedStrings.xml><?xml version="1.0" encoding="utf-8"?>
<sst xmlns="http://schemas.openxmlformats.org/spreadsheetml/2006/main" count="8936" uniqueCount="1463">
  <si>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</si>
  <si>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</si>
  <si>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</si>
  <si>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</si>
  <si>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</si>
  <si>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</si>
  <si>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</si>
  <si>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</si>
  <si>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</si>
  <si>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</si>
  <si>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</si>
  <si>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</si>
  <si>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</si>
  <si>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</si>
  <si>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</si>
  <si>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</si>
  <si>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</si>
  <si>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</si>
  <si>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</si>
  <si>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</si>
  <si>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</si>
  <si>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</si>
  <si>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</si>
  <si>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</si>
  <si>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</si>
  <si>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</si>
  <si>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</si>
  <si>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</si>
  <si>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</si>
  <si>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</si>
  <si>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</si>
  <si>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</si>
  <si>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</si>
  <si>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</si>
  <si>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</si>
  <si>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</si>
  <si>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</si>
  <si>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</si>
  <si>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</si>
  <si>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</si>
  <si>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</si>
  <si>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</si>
  <si>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</si>
  <si>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</si>
  <si>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</si>
  <si>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</si>
  <si>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</si>
  <si>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</si>
  <si>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</si>
  <si>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</si>
  <si>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</si>
  <si>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</si>
  <si>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</si>
  <si>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</si>
  <si>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</si>
  <si>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</si>
  <si>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</si>
  <si>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</si>
  <si>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</si>
  <si>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</si>
  <si>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</si>
  <si>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</si>
  <si>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</si>
  <si>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</si>
  <si>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</si>
  <si>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</si>
  <si>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</si>
  <si>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</si>
  <si>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</si>
  <si>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</si>
  <si>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</si>
  <si>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</si>
  <si>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</si>
  <si>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</si>
  <si>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</si>
  <si>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</si>
  <si>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</si>
  <si>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</si>
  <si>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</si>
  <si>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</si>
  <si>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</si>
  <si>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</si>
  <si>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</si>
  <si>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</si>
  <si>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</si>
  <si>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</si>
  <si>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</si>
  <si>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</si>
  <si>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</si>
  <si>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</si>
  <si>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</si>
  <si>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</si>
  <si>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</si>
  <si>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</si>
  <si>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</si>
  <si>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</si>
  <si>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</si>
  <si>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</si>
  <si>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</si>
  <si>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</si>
  <si>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</si>
  <si>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</si>
  <si>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</si>
  <si>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</si>
  <si>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</si>
  <si>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</si>
  <si>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</si>
  <si>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</si>
  <si>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</si>
  <si>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</si>
  <si>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</si>
  <si>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</si>
  <si>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</si>
  <si>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</si>
  <si>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</si>
  <si>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</si>
  <si>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</si>
  <si>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</si>
  <si>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</si>
  <si>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</si>
  <si>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</si>
  <si>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</si>
  <si>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</si>
  <si>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</si>
  <si>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</si>
  <si>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</si>
  <si>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</si>
  <si>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</si>
  <si>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</si>
  <si>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</si>
  <si>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</si>
  <si>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</si>
  <si>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</si>
  <si>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</si>
  <si>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</si>
  <si>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</si>
  <si>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</si>
  <si>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</si>
  <si>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</si>
  <si>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</si>
  <si>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</si>
  <si>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</si>
  <si>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</si>
  <si>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</si>
  <si>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</si>
  <si>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</si>
  <si>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</si>
  <si>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</si>
  <si>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</si>
  <si>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</si>
  <si>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</si>
  <si>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</si>
  <si>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</si>
  <si>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</si>
  <si>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</si>
  <si>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</si>
  <si>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</si>
  <si>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</si>
  <si>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</si>
  <si>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</si>
  <si>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</si>
  <si>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</si>
  <si>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</si>
  <si>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</si>
  <si>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</si>
  <si>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</si>
  <si>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</si>
  <si>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</si>
  <si>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</si>
  <si>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</si>
  <si>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</si>
  <si>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</si>
  <si>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</si>
  <si>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</si>
  <si>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</si>
  <si>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</si>
  <si>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</si>
  <si>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</si>
  <si>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</si>
  <si>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</si>
  <si>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</si>
  <si>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</si>
  <si>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</si>
  <si>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</si>
  <si>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</si>
  <si>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</si>
  <si>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</si>
  <si>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</si>
  <si>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</si>
  <si>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</si>
  <si>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</si>
  <si>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</si>
  <si>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</si>
  <si>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</si>
  <si>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</si>
  <si>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</si>
  <si>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</si>
  <si>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</si>
  <si>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</si>
  <si>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</si>
  <si>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</si>
  <si>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</si>
  <si>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</si>
  <si>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</si>
  <si>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</si>
  <si>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</si>
  <si>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</si>
  <si>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</si>
  <si>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</si>
  <si>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</si>
  <si>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</si>
  <si>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</si>
  <si>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</si>
  <si>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Több éves kihatással járó döntések számszerűsítése</t>
  </si>
  <si>
    <t>2016.</t>
  </si>
  <si>
    <t>2017.</t>
  </si>
  <si>
    <t>2018.</t>
  </si>
  <si>
    <t>2019.</t>
  </si>
  <si>
    <t>2020.</t>
  </si>
  <si>
    <t>2021.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</si>
  <si>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</si>
  <si>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</si>
  <si>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</si>
  <si>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</si>
  <si>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</si>
  <si>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</si>
  <si>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</si>
  <si>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</si>
  <si>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</si>
  <si>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</si>
  <si>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</si>
  <si>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</si>
  <si>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</si>
  <si>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</si>
  <si>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</si>
  <si>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</si>
  <si>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</si>
  <si>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</si>
  <si>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</si>
  <si>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</si>
  <si>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</si>
  <si>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</si>
  <si>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</si>
  <si>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</si>
  <si>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</si>
  <si>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</si>
  <si>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</si>
  <si>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</si>
  <si>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</si>
  <si>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</si>
  <si>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</si>
  <si>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</si>
  <si>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</si>
  <si>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</si>
  <si>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</si>
  <si>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</si>
  <si>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</si>
  <si>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</si>
  <si>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</si>
  <si>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</si>
  <si>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</si>
  <si>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</si>
  <si>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</si>
  <si>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</si>
  <si>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</si>
  <si>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</si>
  <si>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</si>
  <si>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</si>
  <si>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</si>
  <si>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</si>
  <si>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</si>
  <si>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</si>
  <si>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</si>
  <si>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</si>
  <si>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</si>
  <si>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</si>
  <si>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</si>
  <si>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</si>
  <si>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</si>
  <si>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</si>
  <si>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</si>
  <si>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</si>
  <si>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</si>
  <si>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</si>
  <si>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</si>
  <si>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</si>
  <si>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</si>
  <si>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</si>
  <si>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</si>
  <si>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</si>
  <si>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</si>
  <si>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</si>
  <si>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</si>
  <si>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</si>
  <si>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</si>
  <si>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</si>
  <si>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</si>
  <si>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</si>
  <si>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</si>
  <si>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</si>
  <si>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</si>
  <si>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</si>
  <si>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</si>
  <si>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</si>
  <si>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</si>
  <si>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</si>
  <si>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</si>
  <si>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</si>
  <si>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</si>
  <si>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</si>
  <si>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</si>
  <si>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</si>
  <si>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</si>
  <si>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</si>
  <si>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</si>
  <si>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</si>
  <si>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</si>
  <si>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</si>
  <si>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</si>
  <si>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</si>
  <si>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</si>
  <si>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</si>
  <si>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</si>
  <si>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</si>
  <si>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</si>
  <si>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</si>
  <si>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</si>
  <si>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</si>
  <si>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</si>
  <si>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</si>
  <si>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</si>
  <si>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</si>
  <si>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</si>
  <si>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</si>
  <si>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</si>
  <si>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</si>
  <si>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</si>
  <si>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</si>
  <si>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</si>
  <si>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</si>
  <si>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</si>
  <si>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</si>
  <si>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</si>
  <si>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</si>
  <si>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</si>
  <si>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</si>
  <si>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</si>
  <si>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</si>
  <si>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</si>
  <si>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</si>
  <si>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</si>
  <si>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</si>
  <si>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</si>
  <si>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</si>
  <si>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</si>
  <si>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</si>
  <si>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</si>
  <si>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</si>
  <si>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</si>
  <si>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</si>
  <si>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</si>
  <si>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</si>
  <si>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</si>
  <si>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</si>
  <si>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</si>
  <si>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</si>
  <si>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</si>
  <si>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</si>
  <si>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</si>
  <si>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</si>
  <si>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</si>
  <si>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</si>
  <si>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</si>
  <si>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</si>
  <si>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</si>
  <si>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</si>
  <si>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</si>
  <si>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</si>
  <si>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</si>
  <si>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</si>
  <si>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</si>
  <si>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</si>
  <si>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</si>
  <si>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</si>
  <si>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</si>
  <si>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</si>
  <si>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</si>
  <si>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</si>
  <si>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</si>
  <si>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</si>
  <si>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</si>
  <si>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</si>
  <si>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</si>
  <si>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</si>
  <si>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</si>
  <si>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</si>
  <si>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</si>
  <si>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</si>
  <si>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</si>
  <si>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</si>
  <si>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</si>
  <si>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</si>
  <si>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</si>
  <si>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</si>
  <si>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</si>
  <si>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</si>
  <si>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</si>
  <si>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</si>
  <si>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</si>
  <si>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</si>
  <si>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</si>
  <si>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</si>
  <si>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</si>
  <si>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</si>
  <si>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</si>
  <si>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</si>
  <si>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</si>
  <si>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</si>
  <si>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</si>
  <si>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</si>
  <si>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</si>
  <si>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</si>
  <si>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</si>
  <si>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</si>
  <si>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</si>
  <si>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</si>
  <si>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</si>
  <si>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</si>
  <si>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</si>
  <si>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</si>
  <si>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</si>
  <si>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</si>
  <si>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</si>
  <si>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</si>
  <si>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</si>
  <si>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</si>
  <si>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</si>
  <si>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</si>
  <si>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</si>
  <si>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</si>
  <si>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</si>
  <si>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</si>
  <si>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</si>
  <si>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</si>
  <si>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</si>
  <si>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</si>
  <si>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</si>
  <si>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</si>
  <si>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</si>
  <si>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</si>
  <si>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</si>
  <si>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</si>
  <si>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</si>
  <si>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</si>
  <si>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</si>
  <si>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</si>
  <si>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</si>
  <si>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</si>
  <si>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</si>
  <si>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>Önkormányzatok elszámolásai</t>
  </si>
  <si>
    <t>*</t>
  </si>
  <si>
    <t xml:space="preserve">Raiffeisen Bank Rt.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</si>
  <si>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</si>
  <si>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</si>
  <si>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</si>
  <si>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</si>
  <si>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</si>
  <si>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</si>
  <si>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</si>
  <si>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</si>
  <si>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</si>
  <si>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</si>
  <si>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</si>
  <si>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</si>
  <si>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</si>
  <si>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</si>
  <si>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</si>
  <si>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</si>
  <si>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</si>
  <si>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</si>
  <si>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</si>
  <si>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</si>
  <si>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</si>
  <si>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</si>
  <si>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</si>
  <si>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</si>
  <si>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</si>
  <si>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</si>
  <si>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</si>
  <si>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Zsóry Futtbal Club Kft.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</si>
  <si>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</si>
  <si>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</si>
  <si>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</si>
  <si>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</si>
  <si>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</si>
  <si>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</si>
  <si>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</si>
  <si>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</si>
  <si>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</si>
  <si>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</si>
  <si>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Múzeumok működtetése</t>
  </si>
  <si>
    <t>Ter.ig. Ép.hatóság+ anyakönyv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</si>
  <si>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</si>
  <si>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</si>
  <si>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</si>
  <si>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</si>
  <si>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</si>
  <si>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</si>
  <si>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</si>
  <si>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</si>
  <si>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</si>
  <si>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</si>
  <si>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</si>
  <si>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</si>
  <si>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</si>
  <si>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</si>
  <si>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</si>
  <si>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</si>
  <si>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</si>
  <si>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</si>
  <si>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</si>
  <si>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</si>
  <si>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</si>
  <si>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</si>
  <si>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</si>
  <si>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</si>
  <si>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</si>
  <si>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</si>
  <si>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</si>
  <si>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</si>
  <si>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</si>
  <si>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</si>
  <si>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</si>
  <si>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</si>
  <si>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</si>
  <si>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</si>
  <si>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</si>
  <si>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</si>
  <si>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</si>
  <si>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</si>
  <si>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</si>
  <si>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</si>
  <si>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</si>
  <si>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</si>
  <si>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</si>
  <si>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</si>
  <si>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</si>
  <si>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</si>
  <si>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</si>
  <si>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</si>
  <si>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</si>
  <si>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</si>
  <si>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</si>
  <si>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</si>
  <si>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</si>
  <si>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</si>
  <si>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</si>
  <si>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</si>
  <si>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</si>
  <si>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</si>
  <si>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</si>
  <si>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Önkormányzati feladatok összesen</t>
  </si>
  <si>
    <t>Tartalékok</t>
  </si>
  <si>
    <t>I 1.c) Egyéb önkormányzati feladatok támogatása</t>
  </si>
  <si>
    <t>II.1. Óvodapedagógusok bértámogatása 4 hóra pótlólagos összeg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</si>
  <si>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</si>
  <si>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</si>
  <si>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</si>
  <si>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</si>
  <si>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Készfizető kezességvállalás Víziközmű Társulat Zsóry szennyvíz</t>
  </si>
  <si>
    <t>III.5.b. Gyermekétkeztetés támogatása- üzemeltetés támogatása</t>
  </si>
  <si>
    <t>Kisértékű tárgyi eszk. Beszerz. Orvosi gép-műszer beszerzés</t>
  </si>
  <si>
    <t>4.6.3. szakértői díjak, engedélyek</t>
  </si>
  <si>
    <t>4.6.4. szociális juttatások önerejének növekedésére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</si>
  <si>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</si>
  <si>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</si>
  <si>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</si>
  <si>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</si>
  <si>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</si>
  <si>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</si>
  <si>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</si>
  <si>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</si>
  <si>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</si>
  <si>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</si>
  <si>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</si>
  <si>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</si>
  <si>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Rendelőintézet fejlesztése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</si>
  <si>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</si>
  <si>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</si>
  <si>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</si>
  <si>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</si>
  <si>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</si>
  <si>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</si>
  <si>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</si>
  <si>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</si>
  <si>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</si>
  <si>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</si>
  <si>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</si>
  <si>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</si>
  <si>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</si>
  <si>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 xml:space="preserve"> - Közfoglalk. Fejl. C. támog.</t>
  </si>
  <si>
    <t>4.6.5. pályázati önerő</t>
  </si>
  <si>
    <t>EU-s projekt címe:              Városi Rendelőintézet felújítása</t>
  </si>
  <si>
    <t>Projekt azonosítója:             ÉMOP-4.1.1/B-12-2013-0001</t>
  </si>
  <si>
    <t>2016. év</t>
  </si>
  <si>
    <t>2023. év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</si>
  <si>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</si>
  <si>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</si>
  <si>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</si>
  <si>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</si>
  <si>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</si>
  <si>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</si>
  <si>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</si>
  <si>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</si>
  <si>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</si>
  <si>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</si>
  <si>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</si>
  <si>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</si>
  <si>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</si>
  <si>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</si>
  <si>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</si>
  <si>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</si>
  <si>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</si>
  <si>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</si>
  <si>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</si>
  <si>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</si>
  <si>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</si>
  <si>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</si>
  <si>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</si>
  <si>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</si>
  <si>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</si>
  <si>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</si>
  <si>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</si>
  <si>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</si>
  <si>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</si>
  <si>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</si>
  <si>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</si>
  <si>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</si>
  <si>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</si>
  <si>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</si>
  <si>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</si>
  <si>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</si>
  <si>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</si>
  <si>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</si>
  <si>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</si>
  <si>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</si>
  <si>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</si>
  <si>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</si>
  <si>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</si>
  <si>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</si>
  <si>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</si>
  <si>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</si>
  <si>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</si>
  <si>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</si>
  <si>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</si>
  <si>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</si>
  <si>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</si>
  <si>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</si>
  <si>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</si>
  <si>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</si>
  <si>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</si>
  <si>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</si>
  <si>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</si>
  <si>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</si>
  <si>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</si>
  <si>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</si>
  <si>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</si>
  <si>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</si>
  <si>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</si>
  <si>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</si>
  <si>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</si>
  <si>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</si>
  <si>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</si>
  <si>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</si>
  <si>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</si>
  <si>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</si>
  <si>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</si>
  <si>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</si>
  <si>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</si>
  <si>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</si>
  <si>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</si>
  <si>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</si>
  <si>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</si>
  <si>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</si>
  <si>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</si>
  <si>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</si>
  <si>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</si>
  <si>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</si>
  <si>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</si>
  <si>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</si>
  <si>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</si>
  <si>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</si>
  <si>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</si>
  <si>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</si>
  <si>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</si>
  <si>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</si>
  <si>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</si>
  <si>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</si>
  <si>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</si>
  <si>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</si>
  <si>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</si>
  <si>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</si>
  <si>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</si>
  <si>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</si>
  <si>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</si>
  <si>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</si>
  <si>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</si>
  <si>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</si>
  <si>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</si>
  <si>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</si>
  <si>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</si>
  <si>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</si>
  <si>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</si>
  <si>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</si>
  <si>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</si>
  <si>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</si>
  <si>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</si>
  <si>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</si>
  <si>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</si>
  <si>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 xml:space="preserve"> Informatikai eszközök beszerzése, K63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</si>
  <si>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</si>
  <si>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</si>
  <si>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</si>
  <si>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</si>
  <si>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</si>
  <si>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</si>
  <si>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</si>
  <si>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</si>
  <si>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</si>
  <si>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</si>
  <si>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</si>
  <si>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</si>
  <si>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</si>
  <si>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</si>
  <si>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</si>
  <si>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Kiegészítő gyermekvédelmi támogatás K42</t>
  </si>
  <si>
    <t>Kiegészítő gyermekvédelmi pótlék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</si>
  <si>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</si>
  <si>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</si>
  <si>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</si>
  <si>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</si>
  <si>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</si>
  <si>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</si>
  <si>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</si>
  <si>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</si>
  <si>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</si>
  <si>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</si>
  <si>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</si>
  <si>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</si>
  <si>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</si>
  <si>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</si>
  <si>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</si>
  <si>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</si>
  <si>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</si>
  <si>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</si>
  <si>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</si>
  <si>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</si>
  <si>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</si>
  <si>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</si>
  <si>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</si>
  <si>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</si>
  <si>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</si>
  <si>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</si>
  <si>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</si>
  <si>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</si>
  <si>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</si>
  <si>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</si>
  <si>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</si>
  <si>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</si>
  <si>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</si>
  <si>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</si>
  <si>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</si>
  <si>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</si>
  <si>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</si>
  <si>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</si>
  <si>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</si>
  <si>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</si>
  <si>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</si>
  <si>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</si>
  <si>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</si>
  <si>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</si>
  <si>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</si>
  <si>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</si>
  <si>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</si>
  <si>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</si>
  <si>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</si>
  <si>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</si>
  <si>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</si>
  <si>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</si>
  <si>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</si>
  <si>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</si>
  <si>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</si>
  <si>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</si>
  <si>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</si>
  <si>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</si>
  <si>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</si>
  <si>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</si>
  <si>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</si>
  <si>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</si>
  <si>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</si>
  <si>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</si>
  <si>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</si>
  <si>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</si>
  <si>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</si>
  <si>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</si>
  <si>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</si>
  <si>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</si>
  <si>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</si>
  <si>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</si>
  <si>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</si>
  <si>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</si>
  <si>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</si>
  <si>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</si>
  <si>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</si>
  <si>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</si>
  <si>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</si>
  <si>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</si>
  <si>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</si>
  <si>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</si>
  <si>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</si>
  <si>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</si>
  <si>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</si>
  <si>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</si>
  <si>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</si>
  <si>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</si>
  <si>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</si>
  <si>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</si>
  <si>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</si>
  <si>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</si>
  <si>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</si>
  <si>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</si>
  <si>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</si>
  <si>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</si>
  <si>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</si>
  <si>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</si>
  <si>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</si>
  <si>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</si>
  <si>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</si>
  <si>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</si>
  <si>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</si>
  <si>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</si>
  <si>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</si>
  <si>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</si>
  <si>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</si>
  <si>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</si>
  <si>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</si>
  <si>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</si>
  <si>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</si>
  <si>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</si>
  <si>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</si>
  <si>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</si>
  <si>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</si>
  <si>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</si>
  <si>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</si>
  <si>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</si>
  <si>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</si>
  <si>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</si>
  <si>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</si>
  <si>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</si>
  <si>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</si>
  <si>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</si>
  <si>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</si>
  <si>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</si>
  <si>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</si>
  <si>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</si>
  <si>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</si>
  <si>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</si>
  <si>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</si>
  <si>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</si>
  <si>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</si>
  <si>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</si>
  <si>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</si>
  <si>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</si>
  <si>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</si>
  <si>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</si>
  <si>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</si>
  <si>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</si>
  <si>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</si>
  <si>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</si>
  <si>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</si>
  <si>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</si>
  <si>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</si>
  <si>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</si>
  <si>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</si>
  <si>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</si>
  <si>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</si>
  <si>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</si>
  <si>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</si>
  <si>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</si>
  <si>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</si>
  <si>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</si>
  <si>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</si>
  <si>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</si>
  <si>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</si>
  <si>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</si>
  <si>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</si>
  <si>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</si>
  <si>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</si>
  <si>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</si>
  <si>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</si>
  <si>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</si>
  <si>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</si>
  <si>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</si>
  <si>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</si>
  <si>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</si>
  <si>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</si>
  <si>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</si>
  <si>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</si>
  <si>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</si>
  <si>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</si>
  <si>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</si>
  <si>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</si>
  <si>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</si>
  <si>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</si>
  <si>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</si>
  <si>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</si>
  <si>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</si>
  <si>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</si>
  <si>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</si>
  <si>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</si>
  <si>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</si>
  <si>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</si>
  <si>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</si>
  <si>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</si>
  <si>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</si>
  <si>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</si>
  <si>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</si>
  <si>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</si>
  <si>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</si>
  <si>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</si>
  <si>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</si>
  <si>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</si>
  <si>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</si>
  <si>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</si>
  <si>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</si>
  <si>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</si>
  <si>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</si>
  <si>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</si>
  <si>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</si>
  <si>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</si>
  <si>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</si>
  <si>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</si>
  <si>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</si>
  <si>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</si>
  <si>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</si>
  <si>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</si>
  <si>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</si>
  <si>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</si>
  <si>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</si>
  <si>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</si>
  <si>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</si>
  <si>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</si>
  <si>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</si>
  <si>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</si>
  <si>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</si>
  <si>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</si>
  <si>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</si>
  <si>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</si>
  <si>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</si>
  <si>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</si>
  <si>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</si>
  <si>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</si>
  <si>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</si>
  <si>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</si>
  <si>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</si>
  <si>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>Közterület-felügyelelet</t>
  </si>
  <si>
    <t xml:space="preserve">         I.1.a) Önkormányzati hivatal működésének támogatása beszámítás után</t>
  </si>
  <si>
    <t xml:space="preserve">         I.1.ba.) Zöldterület-gazdálkodással kapcsolatos feladatok beszámítás után</t>
  </si>
  <si>
    <t xml:space="preserve">         I.1.bb.) Közvilágítás fenntartásának támogatása beszámítás után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</si>
  <si>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</si>
  <si>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</si>
  <si>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 xml:space="preserve">        I 1.c) Egyéb önkormányzati feladatok támogatása beszámítás után</t>
  </si>
  <si>
    <t>I.1 d) Lakott külterülettel kapcsolatos feladatok támogatása</t>
  </si>
  <si>
    <t xml:space="preserve">        I.1 d) Lakott külterülettel kapcsolatos feladatok támogatása beszámítás után</t>
  </si>
  <si>
    <t>I.1.e) Üdülőhelyi feladatok támogatása</t>
  </si>
  <si>
    <t xml:space="preserve">        I.1.e) Üdülőhelyi feladatok támogatása beszámítás után</t>
  </si>
  <si>
    <t>V. Beszámítás összesen</t>
  </si>
  <si>
    <t>I.1.Települési önkormányzatok működésének támogatás beszámítás után</t>
  </si>
  <si>
    <t xml:space="preserve">         I.1.b) Település-üzemeltetéshez kapcsolódó feladatok támogatása beszámítás után</t>
  </si>
  <si>
    <t>II.5 1)óvoda pedagógusok kiegészítő támog.</t>
  </si>
  <si>
    <t>II.5.2) mesterpedagógus kategóriába sorolt óvoda ped. kieg. tám</t>
  </si>
  <si>
    <t>III.2. Települési önkormányzatok szociális feladatainak egyéb támogatása</t>
  </si>
  <si>
    <t>Települési támogatás-Pénzbeni átm. segély K48</t>
  </si>
  <si>
    <t>Települési támogatás-Temetési segély K48</t>
  </si>
  <si>
    <t>Települési támogatás-Rendk. gyermekv.tám. K42</t>
  </si>
  <si>
    <t>Közös Önkormányzati Hivatal  összesen:</t>
  </si>
  <si>
    <t xml:space="preserve">        Ingatlanok vásárlása városkép rendezése céljából</t>
  </si>
  <si>
    <t xml:space="preserve">           Múzeumi szolgáltatások összesen:</t>
  </si>
  <si>
    <t>3.7.6. közvilágítás fejlesztés</t>
  </si>
  <si>
    <t xml:space="preserve">3.7.1. felh. Pe. Átadhoz kapcs.hitelkamatok változására, </t>
  </si>
  <si>
    <t xml:space="preserve">        Szabályozási terv díja áthúzódó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</si>
  <si>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</si>
  <si>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</si>
  <si>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</si>
  <si>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</si>
  <si>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</si>
  <si>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</si>
  <si>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</si>
  <si>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</si>
  <si>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</si>
  <si>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</si>
  <si>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>Tagóvodák bővítése</t>
  </si>
  <si>
    <t xml:space="preserve">EU-s projekt címe:         </t>
  </si>
  <si>
    <t xml:space="preserve">EU-s projekt címe:                                                                        </t>
  </si>
  <si>
    <t xml:space="preserve">Projekt azonosítója:          </t>
  </si>
  <si>
    <t>Települési támogatás- Lakásfennt.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</si>
  <si>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</si>
  <si>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</si>
  <si>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</si>
  <si>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</si>
  <si>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</si>
  <si>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</si>
  <si>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</si>
  <si>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</si>
  <si>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</si>
  <si>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</si>
  <si>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</si>
  <si>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Készfizető kezességvállalás Víziközmű Társulat É-D hiteltörlesztésre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</si>
  <si>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</si>
  <si>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</si>
  <si>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</si>
  <si>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</si>
  <si>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</si>
  <si>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</si>
  <si>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</si>
  <si>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</si>
  <si>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</si>
  <si>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</si>
  <si>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</si>
  <si>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</si>
  <si>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</si>
  <si>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</si>
  <si>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</si>
  <si>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</si>
  <si>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</si>
  <si>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</si>
  <si>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</si>
  <si>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</si>
  <si>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</si>
  <si>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</si>
  <si>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</si>
  <si>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</si>
  <si>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</si>
  <si>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</si>
  <si>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</si>
  <si>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</si>
  <si>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</si>
  <si>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</si>
  <si>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</si>
  <si>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</si>
  <si>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2018.évi előir.</t>
  </si>
  <si>
    <t>3.7.5. Csapadékvízelvezetés, vízrendezés önerő</t>
  </si>
  <si>
    <t>Közös Önkormányzati Hivatal 2016. évi  költségvetési bevételei</t>
  </si>
  <si>
    <t>Költségvetési intézmények 2016. évi  költségvetési bevételei</t>
  </si>
  <si>
    <t>I.1.a) Önkormányzati hivatal működésének támogatása 51,94 fő</t>
  </si>
  <si>
    <t>II.4. Köznevelési intézmények működtetéséhez kapcsolódó támogatás</t>
  </si>
  <si>
    <t>III.3.a. Család és gyermekjóléti szolgálat</t>
  </si>
  <si>
    <t>III.3.b. Család- és gyermekjóléti központ</t>
  </si>
  <si>
    <t>III.3.c. (1) Szociális étkeztetés</t>
  </si>
  <si>
    <t>III.3.d. (2) Házi segítségnyújtás-társulás által történt feladatellátás</t>
  </si>
  <si>
    <t>III.3.f. (1) Időskorúak nappali intézményi ellátása</t>
  </si>
  <si>
    <t>III.5.c. Rászoruló gyermekek intézményen kívüli szünidei étkezetetésének támogatása</t>
  </si>
  <si>
    <t xml:space="preserve">                        A Közös Önkormányzati Hivatal 2016. évi költségvetési kiadási</t>
  </si>
  <si>
    <t xml:space="preserve">Az Önkormányzat  2016. évi költségvetési kiadási előirányzatai feladatonként </t>
  </si>
  <si>
    <t xml:space="preserve">A költségvetési intézmények 2016. évi költségvetési kiadási előirányzatai </t>
  </si>
  <si>
    <t>Az önkormányzat 2016. évi kiadási előirányzatai összesen</t>
  </si>
  <si>
    <t>2014. évi bevételek</t>
  </si>
  <si>
    <t>2015. évi várható bevételek</t>
  </si>
  <si>
    <t>2016. évi előirányzat</t>
  </si>
  <si>
    <t>2014. évi kiadások</t>
  </si>
  <si>
    <t>2015. évi várható kiadások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</si>
  <si>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 B5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</si>
  <si>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 B2</t>
    </r>
  </si>
  <si>
    <t>II/3. Egyéb felhalmozási bevételek B7</t>
  </si>
  <si>
    <t>2016. évi előir.</t>
  </si>
  <si>
    <t>2016. évi előirányzatai</t>
  </si>
  <si>
    <t xml:space="preserve">EU-s projekt címe:              </t>
  </si>
  <si>
    <t xml:space="preserve">Projekt azonosítója:             </t>
  </si>
  <si>
    <t xml:space="preserve">Projekt azonosítója:         </t>
  </si>
  <si>
    <t>2016. ......................... hó</t>
  </si>
  <si>
    <t xml:space="preserve">........................ 2016. ............ hó .... nap </t>
  </si>
  <si>
    <t>2025. év</t>
  </si>
  <si>
    <t>2026. és azt követő években</t>
  </si>
  <si>
    <t>Fennálló hitel, kötvénytart.  2016. I. 1-jén</t>
  </si>
  <si>
    <t>2016. évi hitelfelvét.</t>
  </si>
  <si>
    <t>2034.</t>
  </si>
  <si>
    <t>2035.</t>
  </si>
  <si>
    <t>2016. évben induló beruh.</t>
  </si>
  <si>
    <t>a pénzeszközök  2016. évre tervezett változásáról</t>
  </si>
  <si>
    <t>Nyitó pénzkészlet 2016. január 1-jén</t>
  </si>
  <si>
    <t>Záró pénzkészlet tervezett összege 2016. dec. 31-én</t>
  </si>
  <si>
    <t>Mezőkövesd város önkormányzata által 2016. évben nyújtandó</t>
  </si>
  <si>
    <t>a 2016. évre tervezett közvetett támogatásokról</t>
  </si>
  <si>
    <t xml:space="preserve">             2016. év </t>
  </si>
  <si>
    <t xml:space="preserve">              2016. év </t>
  </si>
  <si>
    <t>Hitel-állomány 2016.01.01</t>
  </si>
  <si>
    <t>Készfizető kezességvállalás MSE</t>
  </si>
  <si>
    <t>A költségvetési intézmények 2016. évi költségvetési kiadási előirányzatainak megoszlása</t>
  </si>
  <si>
    <t>Az önkormányzat 2016. évi költségvetési kiadási előirányzatainak megoszlása</t>
  </si>
  <si>
    <t>A költségvetési intézmények 2016. évi költségvetési bevételi előirányzatainak megoszlása</t>
  </si>
  <si>
    <t xml:space="preserve">     Az önkormányzat 2016. évi bevételi előirányzatainak megoszlása</t>
  </si>
  <si>
    <t>2019.évi előir.</t>
  </si>
  <si>
    <t xml:space="preserve">        Járásszékhely múzeumok fejlesztése áthúzódó</t>
  </si>
  <si>
    <t xml:space="preserve">        Kubinyi Ágoston program áthúzódó </t>
  </si>
  <si>
    <t xml:space="preserve">               Szociális feladatok </t>
  </si>
  <si>
    <t xml:space="preserve">  - Tanuszoda fejlesztésre</t>
  </si>
  <si>
    <t xml:space="preserve">         Zsóry gyógyhely tervezési díja</t>
  </si>
  <si>
    <t>2016.évi előirányzat</t>
  </si>
  <si>
    <t xml:space="preserve">          Dohány úti -Egri úti -Móra F. úti Óvoda  fejlesztési tervek</t>
  </si>
  <si>
    <t xml:space="preserve">             Csapadékvízcsatorna fejlesztési feladatok összesen</t>
  </si>
  <si>
    <t xml:space="preserve">      Dél-nyugati városrész csapadékvíz rend. Tervezése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</si>
  <si>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</si>
  <si>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</si>
  <si>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</si>
  <si>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 xml:space="preserve"> 3.1.2.2. Önkormányzati adósságkonszolidáció során támogatásként kapott összeg  B115</t>
  </si>
  <si>
    <t>I/3.1.3. Elszámolásból származó bevételek B116</t>
  </si>
  <si>
    <t>3.1.2.3. Helyi önkomrányzatok részére adható egyéb működési c.tám.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</si>
  <si>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</si>
  <si>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</si>
  <si>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</si>
  <si>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</si>
  <si>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>1.8. Kamatbevételek és más nyereségjellegű bev. B408</t>
  </si>
  <si>
    <t xml:space="preserve">        Rendelőintézet orvosi rendelők terve</t>
  </si>
  <si>
    <t xml:space="preserve">        Tanuszoda megvalósítás</t>
  </si>
  <si>
    <t xml:space="preserve">Települési támogatás-rendkívüli gyermekvédelmi </t>
  </si>
  <si>
    <t>Települési támogatás-65 év felettiek tám.</t>
  </si>
  <si>
    <t>Települési támogatás-tanszertámog.</t>
  </si>
  <si>
    <t xml:space="preserve">             Nagyértékű tárgyi eszk. Beszerz. - Udvari hinta (Egri u.,)</t>
  </si>
  <si>
    <t xml:space="preserve">             Kisértékű tárgyi eszk. Beszerz. - 5 db zsúrkocsi (Móra F u.)</t>
  </si>
  <si>
    <t xml:space="preserve">             Kisértékű tárgyi eszk. Beszerz. - asztal+szék (Dohány u.)</t>
  </si>
  <si>
    <t xml:space="preserve">             Kisértékű tárgyi eszk. Beszerz. - porszívó (Móra F. u.)</t>
  </si>
  <si>
    <t xml:space="preserve">             Kisértékű tárgyi eszk. Beszerz. - 2 db gyerekasztal (Bölcsőde)</t>
  </si>
  <si>
    <t xml:space="preserve">             Kisértékű tárgyi eszk. Beszerz. - bútor csoportszobába  (László K. u.)</t>
  </si>
  <si>
    <t xml:space="preserve">             Kisértékű tárgyi eszk. Beszerz. - irattartó szekrény (László K.u.)</t>
  </si>
  <si>
    <t xml:space="preserve">             Kisértékű tárgyi eszk. Beszerz. - 8 db nyitott polc (Bölcsőde)</t>
  </si>
  <si>
    <t xml:space="preserve">              Fénymásoló (Városgondnokság)</t>
  </si>
  <si>
    <t xml:space="preserve">              Laddafogó háló (Gimnázium)</t>
  </si>
  <si>
    <t xml:space="preserve">          - KÖZKINCS-TÁR Kft.-sportcs.</t>
  </si>
  <si>
    <t xml:space="preserve">      Útfelújítások-járda felújítások</t>
  </si>
  <si>
    <t xml:space="preserve">     Önkormányzati igatlanok felújítása (lakások, helyiségek)</t>
  </si>
  <si>
    <t xml:space="preserve">      Alkotmány út 2. sz. alatti épület felújítása</t>
  </si>
  <si>
    <t xml:space="preserve">   Síkosságmentesítés, hóeltakarítás gépi munka 2016.</t>
  </si>
  <si>
    <t xml:space="preserve">   Kresz-táblák, úttartozékok cseréje, pótlása, utcanévtáblák</t>
  </si>
  <si>
    <t xml:space="preserve">  Földutak karbantartása</t>
  </si>
  <si>
    <t xml:space="preserve">        József A. úti orvosi rendelők terve</t>
  </si>
  <si>
    <t xml:space="preserve">         Szennyvíz házi bekötések áthúzódó</t>
  </si>
  <si>
    <t xml:space="preserve">              Szennyvízberuházás</t>
  </si>
  <si>
    <t xml:space="preserve">         elavult fénymásoló cseréje</t>
  </si>
  <si>
    <t xml:space="preserve">         szerver csere</t>
  </si>
  <si>
    <t xml:space="preserve">           Térfigyelő rendszer bővítés áthúzódó</t>
  </si>
  <si>
    <t xml:space="preserve">           Ipari terület infrastrukturális ber. Eng. Tervek</t>
  </si>
  <si>
    <t xml:space="preserve">                        - Széchenyi úti parkoló áthúzódó</t>
  </si>
  <si>
    <t xml:space="preserve">           Önkormányzai üdülők korszerűsítése</t>
  </si>
  <si>
    <t xml:space="preserve">        nyomtatók cseréje</t>
  </si>
  <si>
    <t>Más szervek r. pü. Szolg.</t>
  </si>
  <si>
    <t xml:space="preserve">            Zeneiskola átköltöztetése, bontása</t>
  </si>
  <si>
    <t>Gyermekjóléti központ fejl.</t>
  </si>
  <si>
    <t xml:space="preserve">              Univerzális robotgép (Központi konyha)</t>
  </si>
  <si>
    <t xml:space="preserve">          Zsóry üdlőmedence korsz. Áthúzódó</t>
  </si>
  <si>
    <t xml:space="preserve">          - Zsóry Futball Club támogatása</t>
  </si>
  <si>
    <t>közfoglalkoztatás-</t>
  </si>
  <si>
    <t xml:space="preserve">         Család és gyermekjóléti Központ eszközbeszerzés áthúzódó</t>
  </si>
  <si>
    <t>Önkorm. vagyon üzemeltetésbeadása (Zsóry víz,-csat.+egyéb saj. Bev.+szeméttel.)</t>
  </si>
  <si>
    <t>Önkormányzati vagyonkezelésbe adása</t>
  </si>
  <si>
    <t xml:space="preserve">Gyermekjóléti központ fejl. </t>
  </si>
  <si>
    <t>4.6.6. általános tartalék</t>
  </si>
  <si>
    <t xml:space="preserve">3.7.2.Turisztikai célú infrastruktúra fejlesztés </t>
  </si>
  <si>
    <t xml:space="preserve">              2 db Kézilabdakapu (Gimnázium)</t>
  </si>
  <si>
    <t>3. Államháztartáson belüli megelőlegezés K914</t>
  </si>
  <si>
    <t>Turizmusfejlesztése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</si>
  <si>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</si>
  <si>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</si>
  <si>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</si>
  <si>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</si>
  <si>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</si>
  <si>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>4. §. (2) alapján azt a háziorvost, védőnőt, akinek a vállalkozói szintű adóalapja az 1990. évi C. törvény 39/C. § (4) bekezdésben meghatározott összeget nem éri el.</t>
  </si>
  <si>
    <t xml:space="preserve">         költségvetési szervek egyházak, </t>
  </si>
  <si>
    <t xml:space="preserve">         helyi, helyközi tömegközlekedés</t>
  </si>
  <si>
    <t xml:space="preserve">35/2009. (XII.23.) ÖK. sz. rend.                            4. §. (1)  25 %-os kedv. </t>
  </si>
  <si>
    <t xml:space="preserve">          4.§. (2) Háziorvosi  alapellátás</t>
  </si>
  <si>
    <t>Konyhafelújítás terve</t>
  </si>
  <si>
    <t xml:space="preserve">  - Konyhafelújítás</t>
  </si>
  <si>
    <t xml:space="preserve"> - Csapadékvízelvezetés</t>
  </si>
  <si>
    <t xml:space="preserve"> - Rendelőintézetek fejlesztése</t>
  </si>
  <si>
    <t xml:space="preserve"> - Ipari terület fejlesztés</t>
  </si>
  <si>
    <t xml:space="preserve">          - VG Zrt-nek Zsóry fürdő fejlesztésre</t>
  </si>
  <si>
    <t xml:space="preserve">         Zsóry gyógyhely fejlesztési stratégia</t>
  </si>
  <si>
    <t xml:space="preserve">  - Gyógyhelyfejlesztés</t>
  </si>
  <si>
    <t xml:space="preserve">        Vigló Kft. által végzett felúj.</t>
  </si>
  <si>
    <t>3.7.7. Előre nem tervezhető feladatok (vis maior)</t>
  </si>
  <si>
    <t>Turizmusfejlesztés</t>
  </si>
  <si>
    <t>Készfizető kezességvállalás VG Zrt hitelére</t>
  </si>
  <si>
    <t>I.6. 2015. évről áthúzódó bérkompenzáció támogatása</t>
  </si>
  <si>
    <t xml:space="preserve">III.7. Kieg. Támog. Bölcsődében fogl. Felsőfokú végz. </t>
  </si>
  <si>
    <t>IX. Támogató szolgálat, közösségi pszichiátria</t>
  </si>
  <si>
    <t xml:space="preserve"> - Óvoda fejlesztés</t>
  </si>
  <si>
    <t xml:space="preserve"> - Bérkompenzáció</t>
  </si>
  <si>
    <t xml:space="preserve"> - Kiegészítő ágazati pótlék</t>
  </si>
  <si>
    <r>
      <t xml:space="preserve">           </t>
    </r>
    <r>
      <rPr>
        <sz val="10"/>
        <rFont val="Times New Roman"/>
        <family val="1"/>
      </rPr>
      <t xml:space="preserve">  Szünetmentes tápegység (Városgondnokság)</t>
    </r>
  </si>
  <si>
    <t xml:space="preserve">              Ipari mosógép (Mosoda)</t>
  </si>
  <si>
    <t xml:space="preserve">              Sarokcsiszoló, fúrógép (Városgondnokság)</t>
  </si>
  <si>
    <t xml:space="preserve">              Búvárszivattyú (Városgondnokság)</t>
  </si>
  <si>
    <t xml:space="preserve">             10 db Íróasztali lámpa </t>
  </si>
  <si>
    <t xml:space="preserve">              Mikrohullámú sütő (Cserjés köz)</t>
  </si>
  <si>
    <t>Városi Óvoda Közmunkaprogr.</t>
  </si>
  <si>
    <t>Országos Népszavazás</t>
  </si>
  <si>
    <t>Közös Önkormányzati hivatal fela.össz.</t>
  </si>
  <si>
    <t>Országos Népszavazás támogatása</t>
  </si>
  <si>
    <t xml:space="preserve"> - Lakossági vízár támogatása</t>
  </si>
  <si>
    <t xml:space="preserve"> - Helyi közösségi közlekedés támogatása</t>
  </si>
  <si>
    <t xml:space="preserve">    - Önkorm. - Tisza-tavi Egycélú Társ.</t>
  </si>
  <si>
    <t>Közös Önkorm. Hivatal</t>
  </si>
  <si>
    <t xml:space="preserve">         -Lakossági vízártámog. ÉRV</t>
  </si>
  <si>
    <t>2.1.4. Tanuszoda építésére biztosított támogatás</t>
  </si>
  <si>
    <t>2.1.5. Kubinyi Ágoston program múzeumok fejlesztése</t>
  </si>
  <si>
    <t xml:space="preserve">        Kubinyi Ágoston program 2016. évi</t>
  </si>
  <si>
    <t>Szívultrahang vizsgálófej</t>
  </si>
  <si>
    <t>Kisértékű tárgyieszk. Besz.-fűnyíró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</si>
  <si>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</si>
  <si>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</si>
  <si>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</si>
  <si>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</si>
  <si>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</si>
  <si>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</si>
  <si>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</si>
  <si>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</si>
  <si>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</si>
  <si>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</si>
  <si>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</si>
  <si>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</si>
  <si>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</si>
  <si>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</si>
  <si>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 xml:space="preserve">        Hadnagy úti sportc. Teniszpálya öntözőrendszer</t>
  </si>
  <si>
    <t xml:space="preserve">     Közösségi Ház felújítás</t>
  </si>
  <si>
    <t xml:space="preserve">                        - Dohány út felújítása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</si>
  <si>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</si>
  <si>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</si>
  <si>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</si>
  <si>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</si>
  <si>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</si>
  <si>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</si>
  <si>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</si>
  <si>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</si>
  <si>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</si>
  <si>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</si>
  <si>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</si>
  <si>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</si>
  <si>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</si>
  <si>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</si>
  <si>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</si>
  <si>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</si>
  <si>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</si>
  <si>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</si>
  <si>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</si>
  <si>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</si>
  <si>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</si>
  <si>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</si>
  <si>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</si>
  <si>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</si>
  <si>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</si>
  <si>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</si>
  <si>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</si>
  <si>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</si>
  <si>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</si>
  <si>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</si>
  <si>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</si>
  <si>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</si>
  <si>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</si>
  <si>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</si>
  <si>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</si>
  <si>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</si>
  <si>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 xml:space="preserve">        Vitorla vásárlás-Érdi M. Riói olimpia</t>
  </si>
  <si>
    <t xml:space="preserve">               Kerékpárút terveire</t>
  </si>
  <si>
    <t xml:space="preserve">           Autóbuszállomás terv</t>
  </si>
  <si>
    <t xml:space="preserve">          2016. évi beruh sajátf.(szoc.o.4.983e, Bárdos I. 4.826e)</t>
  </si>
  <si>
    <t xml:space="preserve">                        - Ferenc út felújítása</t>
  </si>
  <si>
    <t xml:space="preserve">        Hadnagy úti telkek vásárlása (10db)</t>
  </si>
  <si>
    <t xml:space="preserve">        Kisjankó B. 26. ingatlan vás.</t>
  </si>
  <si>
    <t xml:space="preserve">     2015. évi kötelezettségváll.-maradv.terhére</t>
  </si>
  <si>
    <t xml:space="preserve">          2015. évi maradvány felhaszn.</t>
  </si>
  <si>
    <t>Turizmus fejlesztése</t>
  </si>
  <si>
    <t>III.4.a. Idősek átm. és tartós szakosított szoc. ellátás támog.: - szakmai dolgozók bértám.</t>
  </si>
  <si>
    <t>III.4.a. Idősek átm. és tartós szakosított szociális ellátás támogatása: - intézményüz. támog.</t>
  </si>
  <si>
    <t>57.</t>
  </si>
  <si>
    <t>IV.1.i. Könyvtári célú érdekeltségnövelő támogatás</t>
  </si>
  <si>
    <t xml:space="preserve">     Az önkormányzat 2016. évi bevételi előirányzatai összesen</t>
  </si>
  <si>
    <t xml:space="preserve">   Kerékpárút karbantartás</t>
  </si>
  <si>
    <t xml:space="preserve"> - Prémium évek program támogatása</t>
  </si>
  <si>
    <t>Városgondnokság Nyári diákmunka</t>
  </si>
  <si>
    <t xml:space="preserve">              Hőmérő,digitális Ph mérő,magasnyomású mosó,létra (Tanuszoda)</t>
  </si>
  <si>
    <t xml:space="preserve">              Porszívó (Zeneiskola)</t>
  </si>
  <si>
    <t>141.</t>
  </si>
  <si>
    <t>142.</t>
  </si>
  <si>
    <t xml:space="preserve">         Gépjármű vásárlás</t>
  </si>
  <si>
    <t xml:space="preserve">             - Iskola eü.-re TB-től</t>
  </si>
  <si>
    <t xml:space="preserve">             - Kormányhivatal Munkaügyi Közp. Tám.</t>
  </si>
  <si>
    <t xml:space="preserve">             - Prémium évesek ktg. megtér.</t>
  </si>
  <si>
    <t xml:space="preserve">             - közös hivatal  vidéki önk. Átvett</t>
  </si>
  <si>
    <t xml:space="preserve">            - egészségügyi int.-től átvett</t>
  </si>
  <si>
    <t xml:space="preserve">            - Kiegészítő gyermekvédelmi támogatás, pótlék</t>
  </si>
  <si>
    <t>ABPM vérnyom.mérő mand. 2 db</t>
  </si>
  <si>
    <t>Mezőkövesd és Környéke Lakosságának Egészségéért Alapítvány felh. Tám.</t>
  </si>
  <si>
    <t xml:space="preserve">GINOP pályázat </t>
  </si>
  <si>
    <t>nyári diákmunka</t>
  </si>
  <si>
    <r>
      <t xml:space="preserve">EU-s projekt címe:                                 </t>
    </r>
    <r>
      <rPr>
        <sz val="12"/>
        <rFont val="Times New Roman"/>
        <family val="1"/>
      </rPr>
      <t xml:space="preserve"> Ifjúsági garancia</t>
    </r>
  </si>
  <si>
    <t xml:space="preserve">Projekt azonosítója:                   GINOP 5.2.1-14.             </t>
  </si>
  <si>
    <t>KÖHI-Népszavaz.kapcs. Megtér.</t>
  </si>
  <si>
    <t>Országos Népszavazás önk. támogatása</t>
  </si>
  <si>
    <t xml:space="preserve">    -ebből: felh célú tart.</t>
  </si>
  <si>
    <t>Pótlólagos állami támogatás 2015.évi elszámolás alapján</t>
  </si>
  <si>
    <t xml:space="preserve">           II.3.1.6. Kamatmentes kölcsön visszatérülése Zsóry Futball Club</t>
  </si>
  <si>
    <t>Közös Önkormányzati Hivatal  működéséhez támogatás</t>
  </si>
  <si>
    <t xml:space="preserve">             Kisértékű tárgyi eszk. Beszerz. - Diktafon (Egerlövő, Tiszabábolna)</t>
  </si>
  <si>
    <t>2.1.6. Vízijátszótér építésére biztosított támogatás</t>
  </si>
  <si>
    <t xml:space="preserve">             4 db szoftver (Városgondnokság)</t>
  </si>
  <si>
    <t xml:space="preserve">             2 db note-book, 1 db számítógép beszerzés</t>
  </si>
  <si>
    <t>Egyéb elvonások, díjak befizetése</t>
  </si>
  <si>
    <t>Lakossági szén</t>
  </si>
  <si>
    <t xml:space="preserve">          - Zsóry FC Kft-nek sportp.fejlesztésre</t>
  </si>
  <si>
    <t xml:space="preserve">            - Művészeti iskola tandíj 30%-a - KLIK-től</t>
  </si>
  <si>
    <t xml:space="preserve">    - Önkormányzat - Többcélú Kist.Társ.</t>
  </si>
  <si>
    <t xml:space="preserve">   - 2015. évi kötváll. közp. Ktgv-i-Rendőrs.</t>
  </si>
  <si>
    <t xml:space="preserve">   - KÖHI-nek népszavazásra</t>
  </si>
  <si>
    <t xml:space="preserve">   - Tiszafüred V. Önk.-megállapodás alapj</t>
  </si>
  <si>
    <t>3.7.8.. 2015. évi maradvány</t>
  </si>
  <si>
    <t>Informatikai eszközök bezerzése K62</t>
  </si>
  <si>
    <t xml:space="preserve">       Klímaberendezés a tanácskozóterembe</t>
  </si>
  <si>
    <t>143.</t>
  </si>
  <si>
    <t>144.</t>
  </si>
  <si>
    <t>145.</t>
  </si>
  <si>
    <t xml:space="preserve">         kisértékű tárgyi eszközök</t>
  </si>
  <si>
    <t xml:space="preserve">            Zsóry fürdő vízijátszótér építése</t>
  </si>
  <si>
    <t xml:space="preserve">            Vízi és száraz játszótér engedélyezési terve</t>
  </si>
  <si>
    <t xml:space="preserve">           oktatást segítő tevékenység</t>
  </si>
  <si>
    <t>1.  Áht-én belüli megelőlegezések K914</t>
  </si>
  <si>
    <t>,</t>
  </si>
  <si>
    <t>Rendelő gazd. Felad.</t>
  </si>
  <si>
    <t>1. Áht-én belüli megelőlegezések K914</t>
  </si>
  <si>
    <t xml:space="preserve"> 2016. évi előirányzat</t>
  </si>
  <si>
    <t>Maradvány igénybevétel</t>
  </si>
  <si>
    <t>Betétek</t>
  </si>
  <si>
    <t>Megszüntetése</t>
  </si>
  <si>
    <t>Elhelyezése</t>
  </si>
  <si>
    <t>Betétek elhelyezése K916</t>
  </si>
  <si>
    <t>Államházt. belüli megelől.B814</t>
  </si>
  <si>
    <t>Államházt. belüli megel. Vf.K914</t>
  </si>
  <si>
    <t>Folyó számlahitel</t>
  </si>
  <si>
    <t>Bevétel-kiadás mérlegszerű bem.</t>
  </si>
  <si>
    <t>1. sz.</t>
  </si>
  <si>
    <t>Összkiadás</t>
  </si>
  <si>
    <t>2. sz.</t>
  </si>
  <si>
    <t xml:space="preserve">Európai Uniós és hazai forrásból finanszírozott támogatással megvalósuló programok, projektek bevételei, kiadásai, </t>
  </si>
  <si>
    <t>B.) Hazai forrásból finaszírozott támogatással megvalósuló programok, projektek bevételei, kiadásai</t>
  </si>
  <si>
    <t>Projekt címe:          Tanuszoda építés</t>
  </si>
  <si>
    <t>Központi támogatás</t>
  </si>
  <si>
    <t>Projekt címe:          Zsóry vizi- és száraz játszótér építése</t>
  </si>
  <si>
    <t xml:space="preserve">C.) Önkormányzaton kívüli EU-s projektekhez történő hozzájárulás 2016. évi előirányzatai </t>
  </si>
  <si>
    <t>2.4.7. talajterhelési díj</t>
  </si>
  <si>
    <t>2.3.3.2. talajterhelési díj-központi ktgv .</t>
  </si>
  <si>
    <t>III.6. Ágazati pótlék +kieg. Ágazati pótlék</t>
  </si>
  <si>
    <t>Változás</t>
  </si>
  <si>
    <t>Hosszú lejáratú betétek</t>
  </si>
  <si>
    <t>Pénztárak, csekkek, betétkönyvek</t>
  </si>
  <si>
    <t>Forintszámlák</t>
  </si>
  <si>
    <t>Devizaszámlák</t>
  </si>
  <si>
    <t>Pénzeszközök össszesen</t>
  </si>
  <si>
    <t>Egyéb tárgyi eszk. Felújítása K73</t>
  </si>
  <si>
    <t xml:space="preserve">       Szivattyúk felújítzása</t>
  </si>
  <si>
    <t>Egyéb tárgyieszközök felújítása K73</t>
  </si>
  <si>
    <t xml:space="preserve">        Festmények restaurálása (Kubinyi Á. Progr.)</t>
  </si>
  <si>
    <t>Múzeumi szolgáltatás összesen:</t>
  </si>
  <si>
    <t xml:space="preserve">         Dohány úti új átemelő, figyelőkút </t>
  </si>
  <si>
    <t>Informatikai eszközök beszerzése K63</t>
  </si>
  <si>
    <t xml:space="preserve">         Ergyéb tárgyieszk. Besz. (forgószék, függöny, zászló)</t>
  </si>
  <si>
    <t xml:space="preserve">              Önkorm. igazgatás összesen</t>
  </si>
  <si>
    <t>146.</t>
  </si>
  <si>
    <t xml:space="preserve">         Városgazd.szolg. Összesen</t>
  </si>
  <si>
    <t>I./4.2. Egyéb működési célú átvett pénzeszközök B65</t>
  </si>
  <si>
    <t>I/3.6. Egyéb működési célú átvett pénzeszk. ÁHK mindössz. B65</t>
  </si>
  <si>
    <t xml:space="preserve">             Klma berendezés (városgond)</t>
  </si>
  <si>
    <t xml:space="preserve">             ventilátor</t>
  </si>
  <si>
    <t xml:space="preserve">             hősugárzó</t>
  </si>
  <si>
    <t xml:space="preserve">             röplabdaháló  (Mező F.Tagiskola)</t>
  </si>
  <si>
    <t xml:space="preserve">             tányér -és pohármosogató + állvány (központi konyha)</t>
  </si>
  <si>
    <t xml:space="preserve">             irodai tároló (gimnázium)</t>
  </si>
  <si>
    <t xml:space="preserve">             botmixer (bölcsőde)</t>
  </si>
  <si>
    <t xml:space="preserve">             ivókút (Dohány úti Tagóv.)</t>
  </si>
  <si>
    <t xml:space="preserve">            Kisértékű tárgyi eszk. Beszerz. - vasaló (Dohány,Móra F)</t>
  </si>
  <si>
    <t xml:space="preserve">            Kisértékű tárgyi eszk. Beszerz. - alulétra (László k.)</t>
  </si>
  <si>
    <t xml:space="preserve">            Kisértékű tárgyi eszk. Beszerz. - sövényvágó (Egri u.)</t>
  </si>
  <si>
    <t xml:space="preserve">        számítógépek beszerzése, szervercsere</t>
  </si>
  <si>
    <t>147.</t>
  </si>
  <si>
    <t>148.</t>
  </si>
  <si>
    <t>149.</t>
  </si>
  <si>
    <t>150.</t>
  </si>
  <si>
    <t>151.</t>
  </si>
  <si>
    <t>152.</t>
  </si>
  <si>
    <t>Önkorm. Vagyonnal gazd.</t>
  </si>
  <si>
    <t>dolgozói lakáshitel - önkorm.</t>
  </si>
  <si>
    <t>dolgozói lakáshitel - KÖHI</t>
  </si>
  <si>
    <t>VG Zrt-nek Zsóry beruházáshoz</t>
  </si>
  <si>
    <t>Adómentesség építményadónál - Htv. 3. § (3) bekezdése szerint</t>
  </si>
  <si>
    <t>Önkormányzati vagyonnal való gazdálkodás</t>
  </si>
  <si>
    <t xml:space="preserve">             - Egyszeri gyermekvédelmi támogatás</t>
  </si>
  <si>
    <t>1. melléklet a 12/2017. (V. 31.) önkormányzati rendelethez</t>
  </si>
  <si>
    <t>2. melléklet a 12/2017. (V. 31.) önkormányzati rendelethez</t>
  </si>
  <si>
    <t>3. melléklet a 12/2017. (V. 31.) önkormányzati rendelethez</t>
  </si>
  <si>
    <t>4. melléklet a 12/2017. (V. 31.) önkormányzati rendelethez</t>
  </si>
  <si>
    <t>5. melléklet a 12/2017. (V. 31.) önkormányzati rendelethez</t>
  </si>
  <si>
    <t>6.melléklet a 12/2017. (V. 31.) önkormányzati rendelethez</t>
  </si>
  <si>
    <t>7. melléklet a 12/2017. (V. 31.) önkormányzati rendelethez</t>
  </si>
  <si>
    <t>8. melléklet a 12/2017. (V. 31.) önkormányzati rendelethez</t>
  </si>
  <si>
    <t>9. melléklet a 12/2017. (V. 31.) önkormányzati rendelethez</t>
  </si>
  <si>
    <t>10. melléklet a 12/2017. (V. 31.) önkormányzati rendelethez</t>
  </si>
  <si>
    <t>11. melléklet a 12/2017. (V. 31.) önkormányzati rendelethez</t>
  </si>
  <si>
    <t>12. melléklet a 12/2017. (V. 31.) önkormányzati rendelethez</t>
  </si>
  <si>
    <t>13. melléklet a 12/2017. (V. 31.) önkormányzati rendelethez</t>
  </si>
  <si>
    <t>14. melléklet a 12/2017. (V. 31.) önkormányzati rendelethez</t>
  </si>
  <si>
    <t>15. melléklet a 12/2017. (V. 31.) önkormányzati rendelethez</t>
  </si>
  <si>
    <t>16. melléklet a 12/2017. (V. 31.) önkormányzati rendelethez</t>
  </si>
  <si>
    <t>17. melléklet a 12/2017. (V. 31.) önkormányzati rendelethez</t>
  </si>
  <si>
    <t>18. melléklet a 12/2017. (V. 31.) önkormányzati rendelethez</t>
  </si>
  <si>
    <t>19. melléklet a 12/2017. (V. 31.) önkormányzati rendelethez</t>
  </si>
  <si>
    <t>20. melléklet a 12/2017. (V. 31.) önkormányzati rendelethez</t>
  </si>
  <si>
    <t>21. melléklet a 12/2017. (V. 31.) önkormányzati rendelethez</t>
  </si>
  <si>
    <t>22. melléklet a 12/2017. (V. 31.) önkormányzati rendelethez</t>
  </si>
  <si>
    <t>23. melléklet a 12/2017. (V. 31.) önkormányzati rendelethez</t>
  </si>
  <si>
    <t>24. melléklet a 12/2017. (V. 31.) önkormányzati rendelethez</t>
  </si>
  <si>
    <t>25. melléklet a 12/2017. (V. 31.) önkormányzati rendelethez</t>
  </si>
  <si>
    <t>26. melléklet a 12/2017. (V. 31.) önkormányzati rendelethez</t>
  </si>
  <si>
    <t>27. melléklet a 12/2017. (V. 31.) önkormányzati rendelethez</t>
  </si>
  <si>
    <t>28. melléklet a 12/2017. (V. 31.) önkormányzati rendelethez</t>
  </si>
  <si>
    <t>29. melléklet a 12/2017. (V. 31.) önkormányzati rendelethez</t>
  </si>
  <si>
    <t>30. melléklet a 12/2017. (V. 31.) önkormányzati rendelethez</t>
  </si>
  <si>
    <t>31. melléklet a 12/2017. (V. 31.) önkormányzati rendelethez</t>
  </si>
  <si>
    <t>32. melléklet a 12/2017. (V. 31.) önkormányzati rendelethez</t>
  </si>
  <si>
    <t>33. melléklet a 12/2017. (V. 31.) önkormányzati rendelethez</t>
  </si>
  <si>
    <t>34. melléklet a 12/2017. (V. 31.) önkormányzati rendelethez</t>
  </si>
  <si>
    <t>35. melléklet a 12/2017. (V. 31.) önkormányzati rendelethez</t>
  </si>
  <si>
    <t>36. melléklet a 12/2017. (V. 31.) önkormányzati rendelethez</t>
  </si>
  <si>
    <t>37. melléklet a 12/2017. (V. 31.) önkormányzati rendelethez</t>
  </si>
  <si>
    <t>38. melléklet a 12/2017. (V. 31.) önkormányzati rendelethez</t>
  </si>
  <si>
    <t>39. melléklet a 12/2017. (V. 31.) önkormányzati rendelethez</t>
  </si>
  <si>
    <t>40. melléklet a 12/2017. (V. 31.) önkormányzati rendelethez</t>
  </si>
  <si>
    <t>41. melléklet a 12/2017. (V. 31.) önkormányzati rendelethez</t>
  </si>
  <si>
    <t>42. melléklet a 12/2017. (V. 31.) önkormányzati rendelethez</t>
  </si>
  <si>
    <t>43. melléklet a 12/2017. (V. 31.) önkormányzati rendelethez</t>
  </si>
  <si>
    <t>44. melléklet a 12/2017. (V. 31.) önkormányzati rendelethez</t>
  </si>
  <si>
    <t>45. melléklet a 12/2017. (V. 31.) önkormányzati rendelethez</t>
  </si>
  <si>
    <t>46. melléklet a 12/2017. (V. 31.) önkormányzati rendelethez</t>
  </si>
  <si>
    <t>47. melléklet a 12/2017. (V. 31.) önkormányzati rendelethez</t>
  </si>
  <si>
    <t>48. melléklet a 12/2017. (V. 31.) önkormányzati rendelethez</t>
  </si>
  <si>
    <t>49. melléklet a 12/2017. (V. 31.) önkormányzati rendelethez</t>
  </si>
  <si>
    <t>50. melléklet a 12/2017. (V. 31.) önkormányzati rendelethez</t>
  </si>
  <si>
    <t>51. melléklet a 12/2017. (V. 31.) önkormányzati rendelethez</t>
  </si>
  <si>
    <t>52. melléklet a 12/2017. (V. 31.) önkormányzati rendelethez</t>
  </si>
  <si>
    <t>53. melléklet a 12/2017. (V. 31.) önkormányzati rendelethez</t>
  </si>
  <si>
    <t>54. melléklet a 12/2017. (V. 31.) önkormányzati rendelethez</t>
  </si>
  <si>
    <t>55. melléklet a 12/2017. (V. 31.) önkormányzati rendelethez</t>
  </si>
  <si>
    <t>56. melléklet a 12/2017. (V. 31.) önkormányzati rendelethez</t>
  </si>
  <si>
    <t>57. melléklet a 12/2017. (V. 31.) önkormányzati rendelethez</t>
  </si>
  <si>
    <t>1. függelék a 12/2017. (V. 31.) önkormányzati rendelethez</t>
  </si>
  <si>
    <t>2. függelék a 12/2017. (V. 31.)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</si>
</sst>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82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6" applyFont="1" applyProtection="1">
      <alignment/>
      <protection/>
    </xf>
    <xf numFmtId="0" fontId="23" fillId="0" borderId="25" xfId="56" applyFont="1" applyBorder="1" applyAlignment="1" applyProtection="1">
      <alignment vertical="center"/>
      <protection/>
    </xf>
    <xf numFmtId="0" fontId="23" fillId="0" borderId="25" xfId="56" applyFont="1" applyBorder="1" applyAlignment="1" applyProtection="1">
      <alignment horizontal="center" vertical="center" wrapText="1"/>
      <protection/>
    </xf>
    <xf numFmtId="0" fontId="19" fillId="0" borderId="16" xfId="56" applyFont="1" applyBorder="1" applyProtection="1">
      <alignment/>
      <protection/>
    </xf>
    <xf numFmtId="3" fontId="19" fillId="0" borderId="11" xfId="56" applyNumberFormat="1" applyFont="1" applyBorder="1" applyProtection="1">
      <alignment/>
      <protection/>
    </xf>
    <xf numFmtId="3" fontId="19" fillId="0" borderId="16" xfId="56" applyNumberFormat="1" applyFont="1" applyBorder="1" applyProtection="1">
      <alignment/>
      <protection/>
    </xf>
    <xf numFmtId="0" fontId="19" fillId="0" borderId="11" xfId="56" applyFont="1" applyBorder="1" applyProtection="1">
      <alignment/>
      <protection/>
    </xf>
    <xf numFmtId="0" fontId="23" fillId="0" borderId="21" xfId="56" applyFont="1" applyBorder="1" applyAlignment="1" applyProtection="1">
      <alignment vertical="center"/>
      <protection/>
    </xf>
    <xf numFmtId="0" fontId="23" fillId="0" borderId="26" xfId="56" applyFont="1" applyBorder="1" applyAlignment="1" applyProtection="1">
      <alignment horizontal="center" vertical="center" wrapText="1"/>
      <protection/>
    </xf>
    <xf numFmtId="0" fontId="19" fillId="0" borderId="27" xfId="56" applyFont="1" applyBorder="1" applyProtection="1">
      <alignment/>
      <protection/>
    </xf>
    <xf numFmtId="0" fontId="19" fillId="0" borderId="17" xfId="56" applyFont="1" applyBorder="1" applyProtection="1">
      <alignment/>
      <protection/>
    </xf>
    <xf numFmtId="0" fontId="23" fillId="0" borderId="21" xfId="56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/>
    </xf>
    <xf numFmtId="0" fontId="37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2" fillId="0" borderId="0" xfId="0" applyFont="1" applyBorder="1" applyAlignment="1">
      <alignment/>
    </xf>
    <xf numFmtId="3" fontId="42" fillId="0" borderId="0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1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23" fillId="0" borderId="33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23" fillId="24" borderId="43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45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0" fillId="0" borderId="47" xfId="0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57" xfId="0" applyFont="1" applyBorder="1" applyAlignment="1">
      <alignment wrapText="1"/>
    </xf>
    <xf numFmtId="0" fontId="23" fillId="0" borderId="55" xfId="0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52" xfId="0" applyNumberFormat="1" applyFont="1" applyFill="1" applyBorder="1" applyAlignment="1">
      <alignment/>
    </xf>
    <xf numFmtId="0" fontId="23" fillId="0" borderId="6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6" xfId="0" applyFont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0" fontId="23" fillId="0" borderId="64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7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3" fontId="19" fillId="0" borderId="7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3" fontId="23" fillId="0" borderId="75" xfId="0" applyNumberFormat="1" applyFont="1" applyBorder="1" applyAlignment="1">
      <alignment/>
    </xf>
    <xf numFmtId="0" fontId="21" fillId="0" borderId="46" xfId="0" applyFont="1" applyBorder="1" applyAlignment="1">
      <alignment horizontal="center"/>
    </xf>
    <xf numFmtId="0" fontId="19" fillId="0" borderId="76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79" xfId="0" applyFont="1" applyBorder="1" applyAlignment="1">
      <alignment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2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5" xfId="0" applyFont="1" applyBorder="1" applyAlignment="1">
      <alignment/>
    </xf>
    <xf numFmtId="0" fontId="30" fillId="0" borderId="80" xfId="0" applyFont="1" applyBorder="1" applyAlignment="1">
      <alignment horizontal="center"/>
    </xf>
    <xf numFmtId="0" fontId="29" fillId="0" borderId="8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82" xfId="0" applyFont="1" applyBorder="1" applyAlignment="1">
      <alignment/>
    </xf>
    <xf numFmtId="0" fontId="42" fillId="0" borderId="56" xfId="0" applyFont="1" applyBorder="1" applyAlignment="1">
      <alignment/>
    </xf>
    <xf numFmtId="0" fontId="42" fillId="0" borderId="83" xfId="0" applyFont="1" applyBorder="1" applyAlignment="1">
      <alignment/>
    </xf>
    <xf numFmtId="0" fontId="30" fillId="0" borderId="84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55" xfId="0" applyFont="1" applyBorder="1" applyAlignment="1">
      <alignment/>
    </xf>
    <xf numFmtId="0" fontId="52" fillId="0" borderId="68" xfId="0" applyFont="1" applyBorder="1" applyAlignment="1">
      <alignment/>
    </xf>
    <xf numFmtId="0" fontId="29" fillId="0" borderId="68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42" fillId="0" borderId="56" xfId="0" applyFont="1" applyBorder="1" applyAlignment="1">
      <alignment/>
    </xf>
    <xf numFmtId="3" fontId="29" fillId="0" borderId="45" xfId="0" applyNumberFormat="1" applyFont="1" applyBorder="1" applyAlignment="1">
      <alignment/>
    </xf>
    <xf numFmtId="3" fontId="29" fillId="0" borderId="45" xfId="40" applyNumberFormat="1" applyFont="1" applyFill="1" applyBorder="1" applyAlignment="1" applyProtection="1">
      <alignment/>
      <protection/>
    </xf>
    <xf numFmtId="0" fontId="0" fillId="0" borderId="85" xfId="0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88" xfId="0" applyNumberFormat="1" applyFont="1" applyBorder="1" applyAlignment="1">
      <alignment vertical="center"/>
    </xf>
    <xf numFmtId="3" fontId="23" fillId="0" borderId="89" xfId="0" applyNumberFormat="1" applyFont="1" applyBorder="1" applyAlignment="1">
      <alignment horizontal="right" vertical="center"/>
    </xf>
    <xf numFmtId="3" fontId="19" fillId="0" borderId="90" xfId="0" applyNumberFormat="1" applyFont="1" applyBorder="1" applyAlignment="1">
      <alignment vertical="center"/>
    </xf>
    <xf numFmtId="0" fontId="43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47" xfId="0" applyFont="1" applyBorder="1" applyAlignment="1">
      <alignment horizontal="center" vertical="center" wrapText="1"/>
    </xf>
    <xf numFmtId="3" fontId="37" fillId="0" borderId="47" xfId="40" applyNumberFormat="1" applyFont="1" applyFill="1" applyBorder="1" applyAlignment="1" applyProtection="1">
      <alignment horizontal="right"/>
      <protection/>
    </xf>
    <xf numFmtId="3" fontId="38" fillId="0" borderId="47" xfId="40" applyNumberFormat="1" applyFont="1" applyFill="1" applyBorder="1" applyAlignment="1" applyProtection="1">
      <alignment horizontal="right"/>
      <protection/>
    </xf>
    <xf numFmtId="3" fontId="46" fillId="0" borderId="85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1" xfId="0" applyNumberFormat="1" applyFont="1" applyBorder="1" applyAlignment="1">
      <alignment/>
    </xf>
    <xf numFmtId="3" fontId="19" fillId="0" borderId="91" xfId="0" applyNumberFormat="1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23" fillId="0" borderId="80" xfId="0" applyNumberFormat="1" applyFont="1" applyBorder="1" applyAlignment="1">
      <alignment/>
    </xf>
    <xf numFmtId="0" fontId="31" fillId="0" borderId="56" xfId="0" applyFont="1" applyBorder="1" applyAlignment="1">
      <alignment/>
    </xf>
    <xf numFmtId="3" fontId="19" fillId="24" borderId="55" xfId="0" applyNumberFormat="1" applyFont="1" applyFill="1" applyBorder="1" applyAlignment="1">
      <alignment/>
    </xf>
    <xf numFmtId="3" fontId="19" fillId="0" borderId="94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97" xfId="0" applyNumberFormat="1" applyFont="1" applyBorder="1" applyAlignment="1">
      <alignment/>
    </xf>
    <xf numFmtId="3" fontId="23" fillId="0" borderId="98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101" xfId="0" applyNumberFormat="1" applyFont="1" applyBorder="1" applyAlignment="1">
      <alignment/>
    </xf>
    <xf numFmtId="3" fontId="23" fillId="0" borderId="102" xfId="0" applyNumberFormat="1" applyFont="1" applyBorder="1" applyAlignment="1">
      <alignment/>
    </xf>
    <xf numFmtId="0" fontId="19" fillId="0" borderId="103" xfId="0" applyFont="1" applyBorder="1" applyAlignment="1">
      <alignment/>
    </xf>
    <xf numFmtId="0" fontId="19" fillId="0" borderId="104" xfId="0" applyFont="1" applyBorder="1" applyAlignment="1">
      <alignment wrapText="1"/>
    </xf>
    <xf numFmtId="0" fontId="35" fillId="0" borderId="103" xfId="0" applyFont="1" applyBorder="1" applyAlignment="1">
      <alignment/>
    </xf>
    <xf numFmtId="0" fontId="21" fillId="0" borderId="46" xfId="0" applyFont="1" applyBorder="1" applyAlignment="1">
      <alignment/>
    </xf>
    <xf numFmtId="0" fontId="23" fillId="0" borderId="105" xfId="0" applyFont="1" applyBorder="1" applyAlignment="1">
      <alignment/>
    </xf>
    <xf numFmtId="0" fontId="23" fillId="0" borderId="106" xfId="0" applyFont="1" applyBorder="1" applyAlignment="1">
      <alignment/>
    </xf>
    <xf numFmtId="0" fontId="19" fillId="0" borderId="77" xfId="0" applyFont="1" applyBorder="1" applyAlignment="1">
      <alignment/>
    </xf>
    <xf numFmtId="0" fontId="23" fillId="24" borderId="57" xfId="0" applyFont="1" applyFill="1" applyBorder="1" applyAlignment="1">
      <alignment/>
    </xf>
    <xf numFmtId="0" fontId="31" fillId="0" borderId="57" xfId="0" applyFont="1" applyBorder="1" applyAlignment="1">
      <alignment/>
    </xf>
    <xf numFmtId="164" fontId="31" fillId="0" borderId="107" xfId="0" applyNumberFormat="1" applyFont="1" applyBorder="1" applyAlignment="1">
      <alignment/>
    </xf>
    <xf numFmtId="164" fontId="33" fillId="0" borderId="54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0" fontId="35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3" fontId="19" fillId="0" borderId="114" xfId="0" applyNumberFormat="1" applyFont="1" applyBorder="1" applyAlignment="1">
      <alignment horizontal="right"/>
    </xf>
    <xf numFmtId="3" fontId="19" fillId="0" borderId="38" xfId="0" applyNumberFormat="1" applyFont="1" applyBorder="1" applyAlignment="1">
      <alignment horizontal="right"/>
    </xf>
    <xf numFmtId="3" fontId="19" fillId="0" borderId="115" xfId="0" applyNumberFormat="1" applyFont="1" applyBorder="1" applyAlignment="1">
      <alignment horizontal="right"/>
    </xf>
    <xf numFmtId="0" fontId="23" fillId="0" borderId="116" xfId="0" applyFont="1" applyBorder="1" applyAlignment="1">
      <alignment horizontal="center" vertical="center"/>
    </xf>
    <xf numFmtId="3" fontId="23" fillId="0" borderId="117" xfId="0" applyNumberFormat="1" applyFont="1" applyBorder="1" applyAlignment="1">
      <alignment/>
    </xf>
    <xf numFmtId="0" fontId="19" fillId="0" borderId="118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4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23" fillId="0" borderId="97" xfId="0" applyFont="1" applyBorder="1" applyAlignment="1">
      <alignment/>
    </xf>
    <xf numFmtId="0" fontId="23" fillId="0" borderId="36" xfId="0" applyFont="1" applyBorder="1" applyAlignment="1">
      <alignment wrapText="1"/>
    </xf>
    <xf numFmtId="0" fontId="19" fillId="0" borderId="120" xfId="0" applyFont="1" applyBorder="1" applyAlignment="1">
      <alignment/>
    </xf>
    <xf numFmtId="3" fontId="23" fillId="0" borderId="64" xfId="0" applyNumberFormat="1" applyFont="1" applyBorder="1" applyAlignment="1">
      <alignment horizontal="right"/>
    </xf>
    <xf numFmtId="0" fontId="50" fillId="0" borderId="109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3" fillId="0" borderId="11" xfId="56" applyFont="1" applyBorder="1" applyProtection="1">
      <alignment/>
      <protection/>
    </xf>
    <xf numFmtId="164" fontId="23" fillId="0" borderId="56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0" fontId="19" fillId="0" borderId="63" xfId="0" applyFont="1" applyBorder="1" applyAlignment="1">
      <alignment/>
    </xf>
    <xf numFmtId="3" fontId="19" fillId="0" borderId="122" xfId="0" applyNumberFormat="1" applyFont="1" applyBorder="1" applyAlignment="1">
      <alignment/>
    </xf>
    <xf numFmtId="0" fontId="0" fillId="0" borderId="62" xfId="0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3" fontId="19" fillId="24" borderId="68" xfId="0" applyNumberFormat="1" applyFont="1" applyFill="1" applyBorder="1" applyAlignment="1">
      <alignment/>
    </xf>
    <xf numFmtId="0" fontId="0" fillId="0" borderId="66" xfId="0" applyBorder="1" applyAlignment="1">
      <alignment/>
    </xf>
    <xf numFmtId="3" fontId="23" fillId="0" borderId="53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1" xfId="0" applyFont="1" applyBorder="1" applyAlignment="1">
      <alignment/>
    </xf>
    <xf numFmtId="3" fontId="29" fillId="0" borderId="124" xfId="0" applyNumberFormat="1" applyFont="1" applyBorder="1" applyAlignment="1">
      <alignment/>
    </xf>
    <xf numFmtId="3" fontId="42" fillId="0" borderId="58" xfId="0" applyNumberFormat="1" applyFont="1" applyBorder="1" applyAlignment="1">
      <alignment/>
    </xf>
    <xf numFmtId="0" fontId="30" fillId="0" borderId="125" xfId="0" applyFont="1" applyBorder="1" applyAlignment="1">
      <alignment/>
    </xf>
    <xf numFmtId="3" fontId="29" fillId="0" borderId="81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42" fillId="0" borderId="83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19" fillId="0" borderId="128" xfId="0" applyNumberFormat="1" applyFont="1" applyBorder="1" applyAlignment="1">
      <alignment vertical="center"/>
    </xf>
    <xf numFmtId="3" fontId="23" fillId="0" borderId="129" xfId="0" applyNumberFormat="1" applyFont="1" applyBorder="1" applyAlignment="1">
      <alignment horizontal="center" vertical="center"/>
    </xf>
    <xf numFmtId="3" fontId="19" fillId="0" borderId="129" xfId="0" applyNumberFormat="1" applyFont="1" applyBorder="1" applyAlignment="1">
      <alignment vertical="center"/>
    </xf>
    <xf numFmtId="3" fontId="19" fillId="0" borderId="130" xfId="0" applyNumberFormat="1" applyFont="1" applyBorder="1" applyAlignment="1">
      <alignment vertical="center"/>
    </xf>
    <xf numFmtId="3" fontId="23" fillId="0" borderId="131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/>
    </xf>
    <xf numFmtId="0" fontId="29" fillId="0" borderId="132" xfId="0" applyFont="1" applyFill="1" applyBorder="1" applyAlignment="1">
      <alignment/>
    </xf>
    <xf numFmtId="0" fontId="29" fillId="0" borderId="133" xfId="0" applyFont="1" applyBorder="1" applyAlignment="1">
      <alignment/>
    </xf>
    <xf numFmtId="0" fontId="29" fillId="0" borderId="102" xfId="0" applyFont="1" applyBorder="1" applyAlignment="1">
      <alignment horizontal="center"/>
    </xf>
    <xf numFmtId="0" fontId="30" fillId="0" borderId="54" xfId="0" applyFont="1" applyBorder="1" applyAlignment="1">
      <alignment/>
    </xf>
    <xf numFmtId="0" fontId="30" fillId="0" borderId="41" xfId="0" applyFont="1" applyBorder="1" applyAlignment="1">
      <alignment/>
    </xf>
    <xf numFmtId="0" fontId="29" fillId="0" borderId="134" xfId="0" applyFont="1" applyBorder="1" applyAlignment="1">
      <alignment/>
    </xf>
    <xf numFmtId="0" fontId="29" fillId="0" borderId="135" xfId="0" applyFont="1" applyBorder="1" applyAlignment="1">
      <alignment/>
    </xf>
    <xf numFmtId="3" fontId="29" fillId="0" borderId="47" xfId="0" applyNumberFormat="1" applyFont="1" applyBorder="1" applyAlignment="1">
      <alignment/>
    </xf>
    <xf numFmtId="3" fontId="29" fillId="0" borderId="135" xfId="0" applyNumberFormat="1" applyFont="1" applyBorder="1" applyAlignment="1">
      <alignment/>
    </xf>
    <xf numFmtId="0" fontId="19" fillId="0" borderId="136" xfId="0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41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center" wrapText="1"/>
    </xf>
    <xf numFmtId="0" fontId="23" fillId="0" borderId="139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9" fillId="0" borderId="140" xfId="0" applyFont="1" applyBorder="1" applyAlignment="1">
      <alignment/>
    </xf>
    <xf numFmtId="0" fontId="35" fillId="0" borderId="52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0" fontId="50" fillId="0" borderId="64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0" fillId="0" borderId="110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108" xfId="0" applyFont="1" applyBorder="1" applyAlignment="1">
      <alignment horizontal="center"/>
    </xf>
    <xf numFmtId="0" fontId="50" fillId="0" borderId="141" xfId="0" applyFont="1" applyBorder="1" applyAlignment="1">
      <alignment horizontal="center"/>
    </xf>
    <xf numFmtId="0" fontId="23" fillId="0" borderId="87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5" fillId="0" borderId="87" xfId="0" applyFont="1" applyBorder="1" applyAlignment="1">
      <alignment/>
    </xf>
    <xf numFmtId="0" fontId="35" fillId="0" borderId="122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101" xfId="0" applyFont="1" applyBorder="1" applyAlignment="1">
      <alignment horizontal="center"/>
    </xf>
    <xf numFmtId="0" fontId="21" fillId="0" borderId="56" xfId="0" applyFont="1" applyBorder="1" applyAlignment="1">
      <alignment/>
    </xf>
    <xf numFmtId="0" fontId="31" fillId="0" borderId="56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wrapText="1"/>
    </xf>
    <xf numFmtId="0" fontId="35" fillId="0" borderId="64" xfId="0" applyFont="1" applyBorder="1" applyAlignment="1">
      <alignment wrapText="1"/>
    </xf>
    <xf numFmtId="0" fontId="23" fillId="0" borderId="64" xfId="0" applyFont="1" applyBorder="1" applyAlignment="1">
      <alignment horizontal="center" wrapText="1"/>
    </xf>
    <xf numFmtId="0" fontId="23" fillId="0" borderId="13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3" fillId="0" borderId="142" xfId="0" applyFont="1" applyBorder="1" applyAlignment="1">
      <alignment horizontal="center" wrapText="1"/>
    </xf>
    <xf numFmtId="0" fontId="35" fillId="0" borderId="64" xfId="0" applyFont="1" applyBorder="1" applyAlignment="1">
      <alignment horizontal="right"/>
    </xf>
    <xf numFmtId="3" fontId="42" fillId="0" borderId="102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144" xfId="0" applyNumberFormat="1" applyFont="1" applyBorder="1" applyAlignment="1">
      <alignment/>
    </xf>
    <xf numFmtId="0" fontId="35" fillId="0" borderId="72" xfId="0" applyFont="1" applyBorder="1" applyAlignment="1">
      <alignment wrapText="1"/>
    </xf>
    <xf numFmtId="0" fontId="19" fillId="0" borderId="97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5" fillId="0" borderId="65" xfId="0" applyFont="1" applyBorder="1" applyAlignment="1">
      <alignment horizontal="center"/>
    </xf>
    <xf numFmtId="0" fontId="50" fillId="0" borderId="145" xfId="0" applyFont="1" applyBorder="1" applyAlignment="1">
      <alignment horizontal="center"/>
    </xf>
    <xf numFmtId="0" fontId="50" fillId="0" borderId="146" xfId="0" applyFont="1" applyBorder="1" applyAlignment="1">
      <alignment horizontal="center"/>
    </xf>
    <xf numFmtId="0" fontId="50" fillId="0" borderId="14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5" fillId="0" borderId="56" xfId="0" applyFont="1" applyBorder="1" applyAlignment="1">
      <alignment horizontal="right"/>
    </xf>
    <xf numFmtId="3" fontId="23" fillId="0" borderId="33" xfId="0" applyNumberFormat="1" applyFont="1" applyBorder="1" applyAlignment="1">
      <alignment horizontal="right"/>
    </xf>
    <xf numFmtId="3" fontId="23" fillId="0" borderId="97" xfId="0" applyNumberFormat="1" applyFont="1" applyBorder="1" applyAlignment="1">
      <alignment horizontal="right"/>
    </xf>
    <xf numFmtId="0" fontId="23" fillId="0" borderId="111" xfId="0" applyFont="1" applyBorder="1" applyAlignment="1">
      <alignment horizontal="center"/>
    </xf>
    <xf numFmtId="0" fontId="23" fillId="0" borderId="97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5" fillId="0" borderId="118" xfId="0" applyFont="1" applyBorder="1" applyAlignment="1">
      <alignment horizontal="right"/>
    </xf>
    <xf numFmtId="0" fontId="35" fillId="0" borderId="148" xfId="0" applyFont="1" applyBorder="1" applyAlignment="1">
      <alignment horizontal="right"/>
    </xf>
    <xf numFmtId="0" fontId="23" fillId="0" borderId="149" xfId="0" applyFont="1" applyBorder="1" applyAlignment="1">
      <alignment/>
    </xf>
    <xf numFmtId="3" fontId="23" fillId="0" borderId="150" xfId="0" applyNumberFormat="1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09" xfId="0" applyFont="1" applyBorder="1" applyAlignment="1">
      <alignment/>
    </xf>
    <xf numFmtId="0" fontId="19" fillId="0" borderId="151" xfId="0" applyFont="1" applyBorder="1" applyAlignment="1">
      <alignment/>
    </xf>
    <xf numFmtId="0" fontId="19" fillId="0" borderId="15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3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41" xfId="0" applyFont="1" applyBorder="1" applyAlignment="1">
      <alignment horizontal="right"/>
    </xf>
    <xf numFmtId="3" fontId="23" fillId="0" borderId="110" xfId="0" applyNumberFormat="1" applyFont="1" applyBorder="1" applyAlignment="1">
      <alignment horizontal="right"/>
    </xf>
    <xf numFmtId="0" fontId="23" fillId="0" borderId="33" xfId="0" applyFont="1" applyBorder="1" applyAlignment="1">
      <alignment horizontal="center"/>
    </xf>
    <xf numFmtId="0" fontId="35" fillId="0" borderId="63" xfId="0" applyFont="1" applyBorder="1" applyAlignment="1">
      <alignment horizontal="right"/>
    </xf>
    <xf numFmtId="0" fontId="35" fillId="0" borderId="154" xfId="0" applyFont="1" applyBorder="1" applyAlignment="1">
      <alignment horizontal="right"/>
    </xf>
    <xf numFmtId="3" fontId="19" fillId="0" borderId="155" xfId="0" applyNumberFormat="1" applyFont="1" applyBorder="1" applyAlignment="1">
      <alignment/>
    </xf>
    <xf numFmtId="0" fontId="21" fillId="0" borderId="5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0" fillId="0" borderId="145" xfId="0" applyBorder="1" applyAlignment="1">
      <alignment/>
    </xf>
    <xf numFmtId="0" fontId="21" fillId="0" borderId="9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100" xfId="0" applyFont="1" applyBorder="1" applyAlignment="1">
      <alignment/>
    </xf>
    <xf numFmtId="0" fontId="19" fillId="0" borderId="99" xfId="0" applyFont="1" applyBorder="1" applyAlignment="1">
      <alignment/>
    </xf>
    <xf numFmtId="0" fontId="19" fillId="0" borderId="73" xfId="0" applyFont="1" applyBorder="1" applyAlignment="1">
      <alignment/>
    </xf>
    <xf numFmtId="0" fontId="31" fillId="0" borderId="97" xfId="0" applyFont="1" applyBorder="1" applyAlignment="1">
      <alignment wrapText="1"/>
    </xf>
    <xf numFmtId="0" fontId="19" fillId="0" borderId="82" xfId="0" applyFont="1" applyBorder="1" applyAlignment="1">
      <alignment/>
    </xf>
    <xf numFmtId="0" fontId="19" fillId="0" borderId="72" xfId="0" applyFont="1" applyBorder="1" applyAlignment="1">
      <alignment wrapText="1"/>
    </xf>
    <xf numFmtId="0" fontId="35" fillId="0" borderId="156" xfId="0" applyFont="1" applyBorder="1" applyAlignment="1">
      <alignment horizontal="right"/>
    </xf>
    <xf numFmtId="0" fontId="19" fillId="0" borderId="64" xfId="0" applyFont="1" applyBorder="1" applyAlignment="1">
      <alignment horizontal="center" wrapText="1"/>
    </xf>
    <xf numFmtId="0" fontId="35" fillId="0" borderId="157" xfId="0" applyFont="1" applyBorder="1" applyAlignment="1">
      <alignment horizontal="right"/>
    </xf>
    <xf numFmtId="0" fontId="35" fillId="0" borderId="127" xfId="0" applyFont="1" applyFill="1" applyBorder="1" applyAlignment="1">
      <alignment horizontal="right"/>
    </xf>
    <xf numFmtId="0" fontId="35" fillId="0" borderId="127" xfId="0" applyFont="1" applyBorder="1" applyAlignment="1">
      <alignment horizontal="right"/>
    </xf>
    <xf numFmtId="0" fontId="35" fillId="0" borderId="158" xfId="0" applyFont="1" applyBorder="1" applyAlignment="1">
      <alignment horizontal="right"/>
    </xf>
    <xf numFmtId="3" fontId="19" fillId="24" borderId="93" xfId="0" applyNumberFormat="1" applyFont="1" applyFill="1" applyBorder="1" applyAlignment="1">
      <alignment/>
    </xf>
    <xf numFmtId="0" fontId="23" fillId="0" borderId="64" xfId="0" applyFont="1" applyBorder="1" applyAlignment="1">
      <alignment wrapText="1"/>
    </xf>
    <xf numFmtId="0" fontId="35" fillId="0" borderId="53" xfId="0" applyFont="1" applyBorder="1" applyAlignment="1">
      <alignment horizontal="right"/>
    </xf>
    <xf numFmtId="0" fontId="35" fillId="0" borderId="64" xfId="0" applyFont="1" applyBorder="1" applyAlignment="1">
      <alignment horizontal="center"/>
    </xf>
    <xf numFmtId="0" fontId="23" fillId="0" borderId="139" xfId="0" applyFont="1" applyBorder="1" applyAlignment="1">
      <alignment wrapText="1"/>
    </xf>
    <xf numFmtId="0" fontId="35" fillId="0" borderId="56" xfId="0" applyFont="1" applyBorder="1" applyAlignment="1">
      <alignment wrapText="1"/>
    </xf>
    <xf numFmtId="0" fontId="23" fillId="0" borderId="8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right"/>
    </xf>
    <xf numFmtId="0" fontId="23" fillId="0" borderId="42" xfId="0" applyFont="1" applyBorder="1" applyAlignment="1">
      <alignment horizontal="center"/>
    </xf>
    <xf numFmtId="0" fontId="50" fillId="0" borderId="111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97" xfId="0" applyFont="1" applyBorder="1" applyAlignment="1">
      <alignment horizontal="center"/>
    </xf>
    <xf numFmtId="0" fontId="23" fillId="0" borderId="80" xfId="0" applyFont="1" applyBorder="1" applyAlignment="1">
      <alignment horizontal="center" vertical="center"/>
    </xf>
    <xf numFmtId="0" fontId="23" fillId="0" borderId="159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50" fillId="0" borderId="139" xfId="0" applyFont="1" applyBorder="1" applyAlignment="1">
      <alignment horizontal="center"/>
    </xf>
    <xf numFmtId="0" fontId="21" fillId="0" borderId="160" xfId="0" applyFont="1" applyBorder="1" applyAlignment="1">
      <alignment/>
    </xf>
    <xf numFmtId="0" fontId="23" fillId="0" borderId="161" xfId="0" applyFont="1" applyBorder="1" applyAlignment="1">
      <alignment/>
    </xf>
    <xf numFmtId="0" fontId="23" fillId="0" borderId="136" xfId="0" applyFont="1" applyBorder="1" applyAlignment="1">
      <alignment/>
    </xf>
    <xf numFmtId="0" fontId="23" fillId="0" borderId="64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/>
    </xf>
    <xf numFmtId="0" fontId="23" fillId="0" borderId="72" xfId="0" applyFont="1" applyBorder="1" applyAlignment="1">
      <alignment/>
    </xf>
    <xf numFmtId="0" fontId="23" fillId="0" borderId="66" xfId="0" applyFont="1" applyBorder="1" applyAlignment="1">
      <alignment/>
    </xf>
    <xf numFmtId="0" fontId="50" fillId="0" borderId="64" xfId="0" applyFont="1" applyBorder="1" applyAlignment="1">
      <alignment horizontal="center"/>
    </xf>
    <xf numFmtId="0" fontId="19" fillId="0" borderId="101" xfId="0" applyFont="1" applyBorder="1" applyAlignment="1">
      <alignment/>
    </xf>
    <xf numFmtId="0" fontId="23" fillId="0" borderId="62" xfId="0" applyFont="1" applyBorder="1" applyAlignment="1">
      <alignment/>
    </xf>
    <xf numFmtId="3" fontId="29" fillId="0" borderId="101" xfId="0" applyNumberFormat="1" applyFont="1" applyBorder="1" applyAlignment="1">
      <alignment horizontal="right"/>
    </xf>
    <xf numFmtId="3" fontId="29" fillId="0" borderId="52" xfId="0" applyNumberFormat="1" applyFont="1" applyBorder="1" applyAlignment="1">
      <alignment horizontal="right"/>
    </xf>
    <xf numFmtId="3" fontId="29" fillId="0" borderId="63" xfId="0" applyNumberFormat="1" applyFont="1" applyBorder="1" applyAlignment="1">
      <alignment horizontal="right"/>
    </xf>
    <xf numFmtId="3" fontId="42" fillId="0" borderId="64" xfId="0" applyNumberFormat="1" applyFont="1" applyBorder="1" applyAlignment="1">
      <alignment horizontal="right"/>
    </xf>
    <xf numFmtId="3" fontId="19" fillId="0" borderId="53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2" xfId="0" applyFont="1" applyBorder="1" applyAlignment="1">
      <alignment horizontal="center" wrapText="1"/>
    </xf>
    <xf numFmtId="0" fontId="35" fillId="0" borderId="162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63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 wrapText="1"/>
    </xf>
    <xf numFmtId="0" fontId="21" fillId="0" borderId="165" xfId="0" applyFont="1" applyBorder="1" applyAlignment="1">
      <alignment vertical="center"/>
    </xf>
    <xf numFmtId="0" fontId="35" fillId="0" borderId="101" xfId="0" applyFont="1" applyBorder="1" applyAlignment="1">
      <alignment horizontal="right"/>
    </xf>
    <xf numFmtId="0" fontId="35" fillId="0" borderId="145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21" fillId="0" borderId="166" xfId="0" applyFont="1" applyBorder="1" applyAlignment="1">
      <alignment horizontal="center" vertical="center"/>
    </xf>
    <xf numFmtId="0" fontId="23" fillId="0" borderId="164" xfId="0" applyFont="1" applyBorder="1" applyAlignment="1">
      <alignment horizontal="center" vertical="center" wrapText="1"/>
    </xf>
    <xf numFmtId="0" fontId="21" fillId="0" borderId="164" xfId="0" applyFont="1" applyBorder="1" applyAlignment="1">
      <alignment horizontal="center" wrapText="1"/>
    </xf>
    <xf numFmtId="3" fontId="30" fillId="0" borderId="38" xfId="40" applyNumberFormat="1" applyFont="1" applyFill="1" applyBorder="1" applyAlignment="1" applyProtection="1">
      <alignment/>
      <protection/>
    </xf>
    <xf numFmtId="3" fontId="30" fillId="0" borderId="42" xfId="40" applyNumberFormat="1" applyFont="1" applyFill="1" applyBorder="1" applyAlignment="1" applyProtection="1">
      <alignment/>
      <protection/>
    </xf>
    <xf numFmtId="3" fontId="30" fillId="0" borderId="40" xfId="40" applyNumberFormat="1" applyFont="1" applyFill="1" applyBorder="1" applyAlignment="1" applyProtection="1">
      <alignment/>
      <protection/>
    </xf>
    <xf numFmtId="3" fontId="51" fillId="0" borderId="38" xfId="40" applyNumberFormat="1" applyFont="1" applyFill="1" applyBorder="1" applyAlignment="1" applyProtection="1">
      <alignment/>
      <protection/>
    </xf>
    <xf numFmtId="3" fontId="21" fillId="0" borderId="43" xfId="0" applyNumberFormat="1" applyFont="1" applyBorder="1" applyAlignment="1">
      <alignment/>
    </xf>
    <xf numFmtId="3" fontId="21" fillId="0" borderId="150" xfId="0" applyNumberFormat="1" applyFont="1" applyBorder="1" applyAlignment="1">
      <alignment/>
    </xf>
    <xf numFmtId="0" fontId="21" fillId="0" borderId="167" xfId="0" applyFont="1" applyBorder="1" applyAlignment="1">
      <alignment horizontal="center" vertical="center" wrapText="1"/>
    </xf>
    <xf numFmtId="167" fontId="30" fillId="0" borderId="95" xfId="0" applyNumberFormat="1" applyFont="1" applyBorder="1" applyAlignment="1">
      <alignment horizontal="right"/>
    </xf>
    <xf numFmtId="167" fontId="30" fillId="0" borderId="96" xfId="0" applyNumberFormat="1" applyFont="1" applyBorder="1" applyAlignment="1">
      <alignment horizontal="right"/>
    </xf>
    <xf numFmtId="0" fontId="21" fillId="0" borderId="168" xfId="0" applyFont="1" applyBorder="1" applyAlignment="1">
      <alignment/>
    </xf>
    <xf numFmtId="167" fontId="21" fillId="0" borderId="169" xfId="0" applyNumberFormat="1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0" fontId="35" fillId="0" borderId="50" xfId="0" applyFont="1" applyBorder="1" applyAlignment="1">
      <alignment horizontal="right"/>
    </xf>
    <xf numFmtId="0" fontId="19" fillId="0" borderId="119" xfId="0" applyFont="1" applyBorder="1" applyAlignment="1">
      <alignment horizontal="left"/>
    </xf>
    <xf numFmtId="0" fontId="19" fillId="0" borderId="170" xfId="0" applyFont="1" applyBorder="1" applyAlignment="1">
      <alignment wrapText="1"/>
    </xf>
    <xf numFmtId="0" fontId="23" fillId="0" borderId="94" xfId="56" applyFont="1" applyBorder="1" applyAlignment="1" applyProtection="1">
      <alignment horizontal="center" vertical="center" wrapText="1"/>
      <protection/>
    </xf>
    <xf numFmtId="3" fontId="19" fillId="0" borderId="94" xfId="56" applyNumberFormat="1" applyFont="1" applyBorder="1" applyProtection="1">
      <alignment/>
      <protection/>
    </xf>
    <xf numFmtId="3" fontId="19" fillId="0" borderId="95" xfId="56" applyNumberFormat="1" applyFont="1" applyBorder="1" applyProtection="1">
      <alignment/>
      <protection/>
    </xf>
    <xf numFmtId="0" fontId="23" fillId="0" borderId="171" xfId="56" applyFont="1" applyBorder="1" applyAlignment="1" applyProtection="1">
      <alignment horizontal="center" vertical="center" wrapText="1"/>
      <protection/>
    </xf>
    <xf numFmtId="0" fontId="30" fillId="0" borderId="172" xfId="0" applyFont="1" applyBorder="1" applyAlignment="1">
      <alignment/>
    </xf>
    <xf numFmtId="0" fontId="29" fillId="0" borderId="80" xfId="0" applyFont="1" applyBorder="1" applyAlignment="1">
      <alignment horizontal="center"/>
    </xf>
    <xf numFmtId="0" fontId="29" fillId="0" borderId="59" xfId="0" applyFont="1" applyBorder="1" applyAlignment="1">
      <alignment/>
    </xf>
    <xf numFmtId="0" fontId="29" fillId="0" borderId="173" xfId="0" applyFont="1" applyBorder="1" applyAlignment="1">
      <alignment/>
    </xf>
    <xf numFmtId="0" fontId="29" fillId="0" borderId="62" xfId="0" applyFont="1" applyBorder="1" applyAlignment="1">
      <alignment/>
    </xf>
    <xf numFmtId="3" fontId="29" fillId="0" borderId="59" xfId="0" applyNumberFormat="1" applyFont="1" applyBorder="1" applyAlignment="1">
      <alignment/>
    </xf>
    <xf numFmtId="0" fontId="29" fillId="0" borderId="64" xfId="0" applyFont="1" applyBorder="1" applyAlignment="1">
      <alignment horizontal="center"/>
    </xf>
    <xf numFmtId="0" fontId="29" fillId="0" borderId="66" xfId="0" applyFont="1" applyBorder="1" applyAlignment="1">
      <alignment/>
    </xf>
    <xf numFmtId="0" fontId="29" fillId="0" borderId="52" xfId="0" applyFont="1" applyBorder="1" applyAlignment="1">
      <alignment/>
    </xf>
    <xf numFmtId="0" fontId="29" fillId="0" borderId="122" xfId="0" applyFont="1" applyBorder="1" applyAlignment="1">
      <alignment/>
    </xf>
    <xf numFmtId="0" fontId="29" fillId="0" borderId="72" xfId="0" applyFont="1" applyBorder="1" applyAlignment="1">
      <alignment/>
    </xf>
    <xf numFmtId="3" fontId="29" fillId="0" borderId="66" xfId="0" applyNumberFormat="1" applyFont="1" applyBorder="1" applyAlignment="1">
      <alignment/>
    </xf>
    <xf numFmtId="3" fontId="42" fillId="0" borderId="102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0" fontId="23" fillId="0" borderId="56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19" fillId="0" borderId="95" xfId="0" applyFont="1" applyBorder="1" applyAlignment="1">
      <alignment/>
    </xf>
    <xf numFmtId="0" fontId="19" fillId="0" borderId="17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7" fillId="0" borderId="163" xfId="0" applyFont="1" applyBorder="1" applyAlignment="1">
      <alignment vertical="center"/>
    </xf>
    <xf numFmtId="0" fontId="47" fillId="0" borderId="164" xfId="0" applyFont="1" applyBorder="1" applyAlignment="1">
      <alignment horizontal="center" vertical="center"/>
    </xf>
    <xf numFmtId="0" fontId="23" fillId="0" borderId="139" xfId="0" applyFont="1" applyBorder="1" applyAlignment="1">
      <alignment horizontal="center"/>
    </xf>
    <xf numFmtId="166" fontId="37" fillId="0" borderId="40" xfId="40" applyNumberFormat="1" applyFont="1" applyFill="1" applyBorder="1" applyAlignment="1" applyProtection="1">
      <alignment/>
      <protection/>
    </xf>
    <xf numFmtId="166" fontId="37" fillId="0" borderId="42" xfId="40" applyNumberFormat="1" applyFont="1" applyFill="1" applyBorder="1" applyAlignment="1" applyProtection="1">
      <alignment/>
      <protection/>
    </xf>
    <xf numFmtId="0" fontId="37" fillId="0" borderId="175" xfId="0" applyFont="1" applyBorder="1" applyAlignment="1">
      <alignment/>
    </xf>
    <xf numFmtId="166" fontId="37" fillId="0" borderId="176" xfId="40" applyNumberFormat="1" applyFont="1" applyFill="1" applyBorder="1" applyAlignment="1" applyProtection="1">
      <alignment/>
      <protection/>
    </xf>
    <xf numFmtId="0" fontId="23" fillId="0" borderId="166" xfId="0" applyFont="1" applyBorder="1" applyAlignment="1">
      <alignment horizontal="center" vertical="center" wrapText="1"/>
    </xf>
    <xf numFmtId="0" fontId="21" fillId="0" borderId="167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3" fontId="21" fillId="0" borderId="177" xfId="40" applyNumberFormat="1" applyFont="1" applyFill="1" applyBorder="1" applyAlignment="1" applyProtection="1">
      <alignment horizontal="right" vertical="center"/>
      <protection/>
    </xf>
    <xf numFmtId="0" fontId="19" fillId="0" borderId="169" xfId="0" applyFont="1" applyBorder="1" applyAlignment="1">
      <alignment/>
    </xf>
    <xf numFmtId="0" fontId="21" fillId="0" borderId="149" xfId="0" applyFont="1" applyBorder="1" applyAlignment="1">
      <alignment vertical="center"/>
    </xf>
    <xf numFmtId="0" fontId="19" fillId="0" borderId="33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61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178" xfId="0" applyFont="1" applyBorder="1" applyAlignment="1">
      <alignment horizontal="center"/>
    </xf>
    <xf numFmtId="0" fontId="19" fillId="0" borderId="168" xfId="0" applyFont="1" applyBorder="1" applyAlignment="1">
      <alignment horizontal="center"/>
    </xf>
    <xf numFmtId="0" fontId="38" fillId="0" borderId="82" xfId="0" applyFont="1" applyBorder="1" applyAlignment="1">
      <alignment horizontal="justify" vertical="center"/>
    </xf>
    <xf numFmtId="0" fontId="38" fillId="0" borderId="82" xfId="0" applyFont="1" applyBorder="1" applyAlignment="1">
      <alignment/>
    </xf>
    <xf numFmtId="0" fontId="32" fillId="0" borderId="82" xfId="0" applyFont="1" applyBorder="1" applyAlignment="1">
      <alignment/>
    </xf>
    <xf numFmtId="0" fontId="38" fillId="0" borderId="82" xfId="0" applyFont="1" applyBorder="1" applyAlignment="1">
      <alignment wrapText="1"/>
    </xf>
    <xf numFmtId="0" fontId="37" fillId="0" borderId="82" xfId="0" applyFont="1" applyBorder="1" applyAlignment="1">
      <alignment wrapText="1"/>
    </xf>
    <xf numFmtId="0" fontId="46" fillId="0" borderId="179" xfId="0" applyFont="1" applyBorder="1" applyAlignment="1">
      <alignment/>
    </xf>
    <xf numFmtId="0" fontId="30" fillId="0" borderId="180" xfId="0" applyFont="1" applyBorder="1" applyAlignment="1">
      <alignment/>
    </xf>
    <xf numFmtId="3" fontId="30" fillId="0" borderId="90" xfId="0" applyNumberFormat="1" applyFont="1" applyBorder="1" applyAlignment="1">
      <alignment/>
    </xf>
    <xf numFmtId="0" fontId="35" fillId="0" borderId="181" xfId="0" applyFont="1" applyBorder="1" applyAlignment="1">
      <alignment horizontal="right"/>
    </xf>
    <xf numFmtId="0" fontId="42" fillId="0" borderId="62" xfId="0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36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0" fontId="23" fillId="0" borderId="182" xfId="0" applyFont="1" applyBorder="1" applyAlignment="1">
      <alignment horizontal="center" vertical="center"/>
    </xf>
    <xf numFmtId="3" fontId="19" fillId="0" borderId="183" xfId="0" applyNumberFormat="1" applyFont="1" applyBorder="1" applyAlignment="1">
      <alignment vertical="center"/>
    </xf>
    <xf numFmtId="3" fontId="23" fillId="0" borderId="184" xfId="0" applyNumberFormat="1" applyFont="1" applyBorder="1" applyAlignment="1">
      <alignment horizontal="center" vertical="center"/>
    </xf>
    <xf numFmtId="0" fontId="0" fillId="0" borderId="185" xfId="0" applyBorder="1" applyAlignment="1">
      <alignment/>
    </xf>
    <xf numFmtId="0" fontId="23" fillId="0" borderId="186" xfId="0" applyFont="1" applyBorder="1" applyAlignment="1">
      <alignment horizontal="center" vertical="center"/>
    </xf>
    <xf numFmtId="0" fontId="19" fillId="0" borderId="187" xfId="0" applyFont="1" applyBorder="1" applyAlignment="1">
      <alignment vertical="center" wrapText="1"/>
    </xf>
    <xf numFmtId="0" fontId="19" fillId="0" borderId="188" xfId="0" applyFont="1" applyBorder="1" applyAlignment="1">
      <alignment vertical="center" wrapText="1"/>
    </xf>
    <xf numFmtId="0" fontId="19" fillId="0" borderId="189" xfId="0" applyFont="1" applyBorder="1" applyAlignment="1">
      <alignment vertical="center" wrapText="1"/>
    </xf>
    <xf numFmtId="0" fontId="19" fillId="0" borderId="190" xfId="0" applyFont="1" applyBorder="1" applyAlignment="1">
      <alignment vertical="center" wrapText="1"/>
    </xf>
    <xf numFmtId="0" fontId="23" fillId="0" borderId="191" xfId="0" applyFont="1" applyBorder="1" applyAlignment="1">
      <alignment vertical="center"/>
    </xf>
    <xf numFmtId="0" fontId="23" fillId="0" borderId="78" xfId="0" applyFont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67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50" fillId="0" borderId="80" xfId="0" applyFont="1" applyBorder="1" applyAlignment="1">
      <alignment horizontal="center" wrapText="1"/>
    </xf>
    <xf numFmtId="0" fontId="23" fillId="0" borderId="14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0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3" fontId="23" fillId="0" borderId="61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3" fillId="0" borderId="64" xfId="0" applyFont="1" applyBorder="1" applyAlignment="1">
      <alignment horizontal="center" wrapText="1"/>
    </xf>
    <xf numFmtId="0" fontId="53" fillId="0" borderId="56" xfId="0" applyFont="1" applyBorder="1" applyAlignment="1">
      <alignment horizontal="center"/>
    </xf>
    <xf numFmtId="0" fontId="53" fillId="0" borderId="64" xfId="0" applyFont="1" applyBorder="1" applyAlignment="1">
      <alignment horizontal="center"/>
    </xf>
    <xf numFmtId="0" fontId="53" fillId="0" borderId="80" xfId="0" applyFont="1" applyBorder="1" applyAlignment="1">
      <alignment horizontal="center"/>
    </xf>
    <xf numFmtId="0" fontId="53" fillId="0" borderId="97" xfId="0" applyFont="1" applyBorder="1" applyAlignment="1">
      <alignment horizontal="center"/>
    </xf>
    <xf numFmtId="0" fontId="19" fillId="0" borderId="68" xfId="0" applyFont="1" applyBorder="1" applyAlignment="1">
      <alignment wrapText="1"/>
    </xf>
    <xf numFmtId="0" fontId="50" fillId="0" borderId="56" xfId="0" applyFont="1" applyBorder="1" applyAlignment="1">
      <alignment horizontal="center" wrapText="1"/>
    </xf>
    <xf numFmtId="0" fontId="35" fillId="0" borderId="66" xfId="0" applyFont="1" applyBorder="1" applyAlignment="1">
      <alignment horizontal="right"/>
    </xf>
    <xf numFmtId="0" fontId="23" fillId="0" borderId="84" xfId="0" applyFont="1" applyBorder="1" applyAlignment="1">
      <alignment wrapText="1"/>
    </xf>
    <xf numFmtId="0" fontId="23" fillId="0" borderId="97" xfId="0" applyFont="1" applyBorder="1" applyAlignment="1">
      <alignment wrapText="1"/>
    </xf>
    <xf numFmtId="0" fontId="0" fillId="0" borderId="65" xfId="0" applyBorder="1" applyAlignment="1">
      <alignment/>
    </xf>
    <xf numFmtId="0" fontId="0" fillId="0" borderId="101" xfId="0" applyBorder="1" applyAlignment="1">
      <alignment/>
    </xf>
    <xf numFmtId="3" fontId="19" fillId="24" borderId="110" xfId="0" applyNumberFormat="1" applyFont="1" applyFill="1" applyBorder="1" applyAlignment="1">
      <alignment/>
    </xf>
    <xf numFmtId="0" fontId="21" fillId="0" borderId="64" xfId="0" applyFont="1" applyBorder="1" applyAlignment="1">
      <alignment wrapText="1"/>
    </xf>
    <xf numFmtId="0" fontId="58" fillId="0" borderId="101" xfId="0" applyFont="1" applyBorder="1" applyAlignment="1">
      <alignment horizontal="center"/>
    </xf>
    <xf numFmtId="0" fontId="59" fillId="0" borderId="141" xfId="0" applyFont="1" applyBorder="1" applyAlignment="1">
      <alignment horizontal="center"/>
    </xf>
    <xf numFmtId="0" fontId="59" fillId="0" borderId="110" xfId="0" applyFont="1" applyBorder="1" applyAlignment="1">
      <alignment horizontal="center"/>
    </xf>
    <xf numFmtId="0" fontId="59" fillId="0" borderId="67" xfId="0" applyFont="1" applyBorder="1" applyAlignment="1">
      <alignment horizontal="center"/>
    </xf>
    <xf numFmtId="0" fontId="35" fillId="0" borderId="192" xfId="0" applyFont="1" applyBorder="1" applyAlignment="1">
      <alignment horizontal="right"/>
    </xf>
    <xf numFmtId="0" fontId="23" fillId="0" borderId="193" xfId="0" applyFont="1" applyBorder="1" applyAlignment="1">
      <alignment/>
    </xf>
    <xf numFmtId="3" fontId="23" fillId="0" borderId="194" xfId="0" applyNumberFormat="1" applyFont="1" applyBorder="1" applyAlignment="1">
      <alignment/>
    </xf>
    <xf numFmtId="3" fontId="23" fillId="0" borderId="195" xfId="0" applyNumberFormat="1" applyFont="1" applyBorder="1" applyAlignment="1">
      <alignment/>
    </xf>
    <xf numFmtId="3" fontId="23" fillId="24" borderId="196" xfId="0" applyNumberFormat="1" applyFont="1" applyFill="1" applyBorder="1" applyAlignment="1">
      <alignment/>
    </xf>
    <xf numFmtId="0" fontId="23" fillId="24" borderId="197" xfId="0" applyFont="1" applyFill="1" applyBorder="1" applyAlignment="1">
      <alignment wrapText="1"/>
    </xf>
    <xf numFmtId="3" fontId="58" fillId="0" borderId="68" xfId="0" applyNumberFormat="1" applyFont="1" applyBorder="1" applyAlignment="1">
      <alignment horizontal="center"/>
    </xf>
    <xf numFmtId="3" fontId="58" fillId="0" borderId="52" xfId="0" applyNumberFormat="1" applyFont="1" applyBorder="1" applyAlignment="1">
      <alignment horizontal="center"/>
    </xf>
    <xf numFmtId="3" fontId="58" fillId="0" borderId="59" xfId="0" applyNumberFormat="1" applyFont="1" applyBorder="1" applyAlignment="1">
      <alignment horizontal="center"/>
    </xf>
    <xf numFmtId="3" fontId="19" fillId="0" borderId="198" xfId="0" applyNumberFormat="1" applyFont="1" applyBorder="1" applyAlignment="1">
      <alignment/>
    </xf>
    <xf numFmtId="3" fontId="19" fillId="0" borderId="192" xfId="0" applyNumberFormat="1" applyFont="1" applyBorder="1" applyAlignment="1">
      <alignment/>
    </xf>
    <xf numFmtId="3" fontId="19" fillId="24" borderId="123" xfId="0" applyNumberFormat="1" applyFont="1" applyFill="1" applyBorder="1" applyAlignment="1">
      <alignment/>
    </xf>
    <xf numFmtId="3" fontId="23" fillId="0" borderId="199" xfId="0" applyNumberFormat="1" applyFont="1" applyBorder="1" applyAlignment="1">
      <alignment/>
    </xf>
    <xf numFmtId="3" fontId="23" fillId="0" borderId="200" xfId="0" applyNumberFormat="1" applyFont="1" applyBorder="1" applyAlignment="1">
      <alignment/>
    </xf>
    <xf numFmtId="3" fontId="23" fillId="0" borderId="198" xfId="0" applyNumberFormat="1" applyFont="1" applyBorder="1" applyAlignment="1">
      <alignment/>
    </xf>
    <xf numFmtId="3" fontId="23" fillId="0" borderId="192" xfId="0" applyNumberFormat="1" applyFont="1" applyBorder="1" applyAlignment="1">
      <alignment/>
    </xf>
    <xf numFmtId="0" fontId="35" fillId="0" borderId="201" xfId="0" applyFont="1" applyBorder="1" applyAlignment="1">
      <alignment horizontal="right"/>
    </xf>
    <xf numFmtId="0" fontId="19" fillId="0" borderId="45" xfId="0" applyFont="1" applyBorder="1" applyAlignment="1">
      <alignment wrapText="1"/>
    </xf>
    <xf numFmtId="3" fontId="23" fillId="0" borderId="70" xfId="0" applyNumberFormat="1" applyFont="1" applyBorder="1" applyAlignment="1">
      <alignment/>
    </xf>
    <xf numFmtId="3" fontId="23" fillId="0" borderId="134" xfId="0" applyNumberFormat="1" applyFont="1" applyBorder="1" applyAlignment="1">
      <alignment/>
    </xf>
    <xf numFmtId="3" fontId="23" fillId="0" borderId="202" xfId="0" applyNumberFormat="1" applyFont="1" applyBorder="1" applyAlignment="1">
      <alignment/>
    </xf>
    <xf numFmtId="3" fontId="58" fillId="0" borderId="123" xfId="0" applyNumberFormat="1" applyFont="1" applyBorder="1" applyAlignment="1">
      <alignment horizontal="center"/>
    </xf>
    <xf numFmtId="3" fontId="58" fillId="0" borderId="65" xfId="0" applyNumberFormat="1" applyFont="1" applyBorder="1" applyAlignment="1">
      <alignment horizontal="center"/>
    </xf>
    <xf numFmtId="0" fontId="23" fillId="0" borderId="111" xfId="0" applyFont="1" applyBorder="1" applyAlignment="1">
      <alignment horizontal="center" vertical="center" wrapText="1"/>
    </xf>
    <xf numFmtId="3" fontId="58" fillId="0" borderId="101" xfId="0" applyNumberFormat="1" applyFont="1" applyBorder="1" applyAlignment="1">
      <alignment horizontal="center"/>
    </xf>
    <xf numFmtId="3" fontId="19" fillId="0" borderId="101" xfId="0" applyNumberFormat="1" applyFont="1" applyBorder="1" applyAlignment="1">
      <alignment/>
    </xf>
    <xf numFmtId="0" fontId="23" fillId="0" borderId="92" xfId="0" applyFont="1" applyBorder="1" applyAlignment="1">
      <alignment horizontal="center" wrapText="1"/>
    </xf>
    <xf numFmtId="3" fontId="23" fillId="0" borderId="122" xfId="0" applyNumberFormat="1" applyFont="1" applyBorder="1" applyAlignment="1">
      <alignment/>
    </xf>
    <xf numFmtId="0" fontId="31" fillId="0" borderId="50" xfId="0" applyFont="1" applyBorder="1" applyAlignment="1">
      <alignment wrapText="1"/>
    </xf>
    <xf numFmtId="0" fontId="31" fillId="0" borderId="203" xfId="0" applyFont="1" applyBorder="1" applyAlignment="1">
      <alignment wrapText="1"/>
    </xf>
    <xf numFmtId="0" fontId="19" fillId="0" borderId="70" xfId="0" applyFont="1" applyBorder="1" applyAlignment="1">
      <alignment wrapText="1"/>
    </xf>
    <xf numFmtId="0" fontId="19" fillId="0" borderId="204" xfId="0" applyFont="1" applyBorder="1" applyAlignment="1">
      <alignment/>
    </xf>
    <xf numFmtId="0" fontId="33" fillId="0" borderId="156" xfId="0" applyFont="1" applyBorder="1" applyAlignment="1">
      <alignment wrapText="1"/>
    </xf>
    <xf numFmtId="0" fontId="31" fillId="0" borderId="69" xfId="0" applyFont="1" applyBorder="1" applyAlignment="1">
      <alignment wrapText="1"/>
    </xf>
    <xf numFmtId="0" fontId="33" fillId="0" borderId="127" xfId="0" applyFont="1" applyBorder="1" applyAlignment="1">
      <alignment wrapText="1"/>
    </xf>
    <xf numFmtId="0" fontId="33" fillId="0" borderId="15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3" xfId="0" applyNumberFormat="1" applyFont="1" applyBorder="1" applyAlignment="1">
      <alignment horizontal="right"/>
    </xf>
    <xf numFmtId="0" fontId="50" fillId="0" borderId="205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0" fontId="50" fillId="0" borderId="60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3" fontId="19" fillId="0" borderId="119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3" fontId="19" fillId="0" borderId="207" xfId="0" applyNumberFormat="1" applyFont="1" applyBorder="1" applyAlignment="1">
      <alignment/>
    </xf>
    <xf numFmtId="0" fontId="23" fillId="0" borderId="80" xfId="0" applyFont="1" applyBorder="1" applyAlignment="1">
      <alignment/>
    </xf>
    <xf numFmtId="0" fontId="19" fillId="0" borderId="64" xfId="0" applyFont="1" applyBorder="1" applyAlignment="1">
      <alignment/>
    </xf>
    <xf numFmtId="0" fontId="50" fillId="0" borderId="123" xfId="0" applyFont="1" applyBorder="1" applyAlignment="1">
      <alignment horizontal="center"/>
    </xf>
    <xf numFmtId="0" fontId="19" fillId="0" borderId="97" xfId="0" applyFont="1" applyBorder="1" applyAlignment="1">
      <alignment/>
    </xf>
    <xf numFmtId="3" fontId="19" fillId="0" borderId="208" xfId="0" applyNumberFormat="1" applyFont="1" applyBorder="1" applyAlignment="1">
      <alignment/>
    </xf>
    <xf numFmtId="0" fontId="23" fillId="0" borderId="56" xfId="0" applyFont="1" applyBorder="1" applyAlignment="1">
      <alignment horizontal="left"/>
    </xf>
    <xf numFmtId="0" fontId="19" fillId="0" borderId="68" xfId="0" applyFont="1" applyFill="1" applyBorder="1" applyAlignment="1">
      <alignment/>
    </xf>
    <xf numFmtId="0" fontId="19" fillId="0" borderId="52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23" fillId="0" borderId="151" xfId="0" applyFont="1" applyBorder="1" applyAlignment="1">
      <alignment/>
    </xf>
    <xf numFmtId="0" fontId="23" fillId="0" borderId="121" xfId="0" applyFont="1" applyBorder="1" applyAlignment="1">
      <alignment/>
    </xf>
    <xf numFmtId="0" fontId="23" fillId="0" borderId="72" xfId="0" applyFont="1" applyBorder="1" applyAlignment="1">
      <alignment horizontal="right"/>
    </xf>
    <xf numFmtId="0" fontId="23" fillId="0" borderId="64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35" fillId="0" borderId="145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51" xfId="0" applyFont="1" applyBorder="1" applyAlignment="1">
      <alignment horizontal="center" wrapText="1"/>
    </xf>
    <xf numFmtId="0" fontId="23" fillId="0" borderId="8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3" fontId="19" fillId="0" borderId="44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23" fillId="0" borderId="101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3" fontId="19" fillId="0" borderId="209" xfId="0" applyNumberFormat="1" applyFont="1" applyBorder="1" applyAlignment="1">
      <alignment/>
    </xf>
    <xf numFmtId="3" fontId="19" fillId="0" borderId="210" xfId="0" applyNumberFormat="1" applyFont="1" applyBorder="1" applyAlignment="1">
      <alignment/>
    </xf>
    <xf numFmtId="3" fontId="19" fillId="0" borderId="211" xfId="0" applyNumberFormat="1" applyFont="1" applyBorder="1" applyAlignment="1">
      <alignment/>
    </xf>
    <xf numFmtId="0" fontId="35" fillId="0" borderId="103" xfId="0" applyFont="1" applyBorder="1" applyAlignment="1">
      <alignment wrapText="1"/>
    </xf>
    <xf numFmtId="0" fontId="35" fillId="0" borderId="55" xfId="0" applyFont="1" applyBorder="1" applyAlignment="1">
      <alignment/>
    </xf>
    <xf numFmtId="3" fontId="19" fillId="0" borderId="74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23" fillId="24" borderId="64" xfId="0" applyNumberFormat="1" applyFont="1" applyFill="1" applyBorder="1" applyAlignment="1">
      <alignment/>
    </xf>
    <xf numFmtId="0" fontId="19" fillId="0" borderId="72" xfId="0" applyFont="1" applyBorder="1" applyAlignment="1">
      <alignment/>
    </xf>
    <xf numFmtId="3" fontId="23" fillId="24" borderId="66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2" xfId="0" applyNumberFormat="1" applyFont="1" applyBorder="1" applyAlignment="1">
      <alignment/>
    </xf>
    <xf numFmtId="0" fontId="19" fillId="0" borderId="67" xfId="0" applyFont="1" applyBorder="1" applyAlignment="1">
      <alignment/>
    </xf>
    <xf numFmtId="3" fontId="19" fillId="24" borderId="94" xfId="0" applyNumberFormat="1" applyFont="1" applyFill="1" applyBorder="1" applyAlignment="1">
      <alignment/>
    </xf>
    <xf numFmtId="0" fontId="23" fillId="0" borderId="56" xfId="0" applyFont="1" applyBorder="1" applyAlignment="1">
      <alignment horizontal="left" vertical="center" wrapText="1"/>
    </xf>
    <xf numFmtId="0" fontId="23" fillId="0" borderId="213" xfId="0" applyFont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9" fillId="0" borderId="123" xfId="0" applyFont="1" applyBorder="1" applyAlignment="1">
      <alignment wrapText="1"/>
    </xf>
    <xf numFmtId="0" fontId="31" fillId="0" borderId="56" xfId="0" applyFont="1" applyBorder="1" applyAlignment="1">
      <alignment horizontal="justify" wrapText="1"/>
    </xf>
    <xf numFmtId="0" fontId="23" fillId="0" borderId="214" xfId="0" applyFont="1" applyBorder="1" applyAlignment="1">
      <alignment horizontal="center" vertical="center"/>
    </xf>
    <xf numFmtId="3" fontId="23" fillId="0" borderId="175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19" fillId="0" borderId="69" xfId="0" applyFont="1" applyBorder="1" applyAlignment="1">
      <alignment wrapText="1"/>
    </xf>
    <xf numFmtId="0" fontId="19" fillId="0" borderId="158" xfId="0" applyFont="1" applyBorder="1" applyAlignment="1">
      <alignment wrapText="1"/>
    </xf>
    <xf numFmtId="0" fontId="23" fillId="0" borderId="215" xfId="0" applyFont="1" applyBorder="1" applyAlignment="1">
      <alignment wrapText="1"/>
    </xf>
    <xf numFmtId="0" fontId="19" fillId="0" borderId="156" xfId="0" applyFont="1" applyBorder="1" applyAlignment="1">
      <alignment wrapText="1"/>
    </xf>
    <xf numFmtId="0" fontId="23" fillId="0" borderId="83" xfId="0" applyFont="1" applyBorder="1" applyAlignment="1">
      <alignment wrapText="1"/>
    </xf>
    <xf numFmtId="0" fontId="19" fillId="0" borderId="148" xfId="0" applyFont="1" applyBorder="1" applyAlignment="1">
      <alignment wrapText="1"/>
    </xf>
    <xf numFmtId="0" fontId="23" fillId="0" borderId="16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06" xfId="0" applyFont="1" applyBorder="1" applyAlignment="1">
      <alignment/>
    </xf>
    <xf numFmtId="3" fontId="29" fillId="0" borderId="147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0" fontId="23" fillId="0" borderId="72" xfId="0" applyFont="1" applyBorder="1" applyAlignment="1">
      <alignment horizontal="center" vertical="center"/>
    </xf>
    <xf numFmtId="0" fontId="19" fillId="0" borderId="91" xfId="0" applyFont="1" applyBorder="1" applyAlignment="1">
      <alignment wrapText="1"/>
    </xf>
    <xf numFmtId="0" fontId="19" fillId="0" borderId="212" xfId="0" applyFont="1" applyBorder="1" applyAlignment="1">
      <alignment wrapText="1"/>
    </xf>
    <xf numFmtId="0" fontId="23" fillId="0" borderId="64" xfId="0" applyFont="1" applyBorder="1" applyAlignment="1">
      <alignment horizontal="center" wrapText="1" shrinkToFit="1"/>
    </xf>
    <xf numFmtId="0" fontId="23" fillId="0" borderId="64" xfId="0" applyFont="1" applyBorder="1" applyAlignment="1">
      <alignment vertical="center"/>
    </xf>
    <xf numFmtId="0" fontId="23" fillId="0" borderId="44" xfId="0" applyFont="1" applyBorder="1" applyAlignment="1">
      <alignment horizontal="center" wrapText="1"/>
    </xf>
    <xf numFmtId="0" fontId="23" fillId="0" borderId="98" xfId="0" applyFont="1" applyBorder="1" applyAlignment="1">
      <alignment horizontal="center" wrapText="1"/>
    </xf>
    <xf numFmtId="0" fontId="23" fillId="0" borderId="6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33" fillId="0" borderId="65" xfId="0" applyNumberFormat="1" applyFont="1" applyBorder="1" applyAlignment="1">
      <alignment horizontal="right" vertical="center" wrapText="1"/>
    </xf>
    <xf numFmtId="3" fontId="19" fillId="0" borderId="172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19" fillId="0" borderId="216" xfId="0" applyNumberFormat="1" applyFont="1" applyBorder="1" applyAlignment="1">
      <alignment/>
    </xf>
    <xf numFmtId="0" fontId="30" fillId="0" borderId="93" xfId="0" applyFont="1" applyBorder="1" applyAlignment="1">
      <alignment wrapText="1"/>
    </xf>
    <xf numFmtId="3" fontId="30" fillId="0" borderId="108" xfId="40" applyNumberFormat="1" applyFont="1" applyFill="1" applyBorder="1" applyAlignment="1" applyProtection="1">
      <alignment/>
      <protection/>
    </xf>
    <xf numFmtId="3" fontId="19" fillId="0" borderId="99" xfId="56" applyNumberFormat="1" applyFont="1" applyBorder="1" applyProtection="1">
      <alignment/>
      <protection/>
    </xf>
    <xf numFmtId="0" fontId="19" fillId="0" borderId="19" xfId="56" applyFont="1" applyBorder="1" applyProtection="1">
      <alignment/>
      <protection/>
    </xf>
    <xf numFmtId="3" fontId="19" fillId="0" borderId="185" xfId="0" applyNumberFormat="1" applyFont="1" applyBorder="1" applyAlignment="1">
      <alignment/>
    </xf>
    <xf numFmtId="0" fontId="19" fillId="0" borderId="217" xfId="0" applyFont="1" applyBorder="1" applyAlignment="1">
      <alignment/>
    </xf>
    <xf numFmtId="0" fontId="19" fillId="0" borderId="218" xfId="0" applyFont="1" applyBorder="1" applyAlignment="1">
      <alignment/>
    </xf>
    <xf numFmtId="3" fontId="19" fillId="0" borderId="177" xfId="0" applyNumberFormat="1" applyFont="1" applyBorder="1" applyAlignment="1">
      <alignment/>
    </xf>
    <xf numFmtId="3" fontId="19" fillId="0" borderId="149" xfId="0" applyNumberFormat="1" applyFont="1" applyBorder="1" applyAlignment="1">
      <alignment/>
    </xf>
    <xf numFmtId="3" fontId="19" fillId="0" borderId="169" xfId="0" applyNumberFormat="1" applyFont="1" applyBorder="1" applyAlignment="1">
      <alignment/>
    </xf>
    <xf numFmtId="0" fontId="30" fillId="0" borderId="52" xfId="0" applyFont="1" applyBorder="1" applyAlignment="1">
      <alignment/>
    </xf>
    <xf numFmtId="0" fontId="21" fillId="0" borderId="72" xfId="0" applyFont="1" applyBorder="1" applyAlignment="1">
      <alignment horizontal="center"/>
    </xf>
    <xf numFmtId="3" fontId="23" fillId="0" borderId="65" xfId="0" applyNumberFormat="1" applyFont="1" applyBorder="1" applyAlignment="1">
      <alignment wrapText="1"/>
    </xf>
    <xf numFmtId="3" fontId="19" fillId="0" borderId="52" xfId="0" applyNumberFormat="1" applyFont="1" applyBorder="1" applyAlignment="1">
      <alignment wrapText="1"/>
    </xf>
    <xf numFmtId="3" fontId="23" fillId="0" borderId="52" xfId="0" applyNumberFormat="1" applyFont="1" applyBorder="1" applyAlignment="1">
      <alignment wrapText="1"/>
    </xf>
    <xf numFmtId="3" fontId="23" fillId="0" borderId="56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56" xfId="0" applyFont="1" applyBorder="1" applyAlignment="1">
      <alignment/>
    </xf>
    <xf numFmtId="0" fontId="23" fillId="0" borderId="97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219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23" fillId="0" borderId="140" xfId="0" applyFont="1" applyBorder="1" applyAlignment="1">
      <alignment/>
    </xf>
    <xf numFmtId="0" fontId="41" fillId="0" borderId="9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1" xfId="0" applyFont="1" applyBorder="1" applyAlignment="1">
      <alignment vertical="center"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20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5" fillId="0" borderId="123" xfId="0" applyFont="1" applyBorder="1" applyAlignment="1">
      <alignment horizontal="right"/>
    </xf>
    <xf numFmtId="0" fontId="35" fillId="0" borderId="68" xfId="0" applyFont="1" applyBorder="1" applyAlignment="1">
      <alignment horizontal="right"/>
    </xf>
    <xf numFmtId="0" fontId="35" fillId="0" borderId="120" xfId="0" applyFont="1" applyBorder="1" applyAlignment="1">
      <alignment horizontal="right"/>
    </xf>
    <xf numFmtId="0" fontId="21" fillId="0" borderId="86" xfId="0" applyFont="1" applyBorder="1" applyAlignment="1">
      <alignment vertical="center"/>
    </xf>
    <xf numFmtId="0" fontId="41" fillId="0" borderId="209" xfId="0" applyFont="1" applyBorder="1" applyAlignment="1">
      <alignment horizontal="left" vertical="center"/>
    </xf>
    <xf numFmtId="0" fontId="42" fillId="0" borderId="74" xfId="0" applyFont="1" applyBorder="1" applyAlignment="1">
      <alignment horizontal="left" vertical="center"/>
    </xf>
    <xf numFmtId="0" fontId="29" fillId="0" borderId="221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3" fontId="19" fillId="0" borderId="47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140" xfId="0" applyFont="1" applyFill="1" applyBorder="1" applyAlignment="1">
      <alignment wrapText="1"/>
    </xf>
    <xf numFmtId="0" fontId="35" fillId="0" borderId="170" xfId="0" applyFont="1" applyBorder="1" applyAlignment="1">
      <alignment horizontal="right"/>
    </xf>
    <xf numFmtId="0" fontId="35" fillId="0" borderId="222" xfId="0" applyFont="1" applyBorder="1" applyAlignment="1">
      <alignment horizontal="right"/>
    </xf>
    <xf numFmtId="3" fontId="29" fillId="0" borderId="101" xfId="0" applyNumberFormat="1" applyFont="1" applyBorder="1" applyAlignment="1">
      <alignment/>
    </xf>
    <xf numFmtId="3" fontId="42" fillId="0" borderId="64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3" fontId="29" fillId="0" borderId="70" xfId="0" applyNumberFormat="1" applyFont="1" applyBorder="1" applyAlignment="1">
      <alignment/>
    </xf>
    <xf numFmtId="3" fontId="23" fillId="0" borderId="64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2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22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5" xfId="0" applyNumberFormat="1" applyFont="1" applyBorder="1" applyAlignment="1">
      <alignment/>
    </xf>
    <xf numFmtId="3" fontId="19" fillId="0" borderId="136" xfId="0" applyNumberFormat="1" applyFont="1" applyBorder="1" applyAlignment="1">
      <alignment/>
    </xf>
    <xf numFmtId="0" fontId="19" fillId="0" borderId="70" xfId="0" applyFont="1" applyBorder="1" applyAlignment="1">
      <alignment horizontal="center"/>
    </xf>
    <xf numFmtId="3" fontId="50" fillId="0" borderId="102" xfId="0" applyNumberFormat="1" applyFont="1" applyBorder="1" applyAlignment="1">
      <alignment/>
    </xf>
    <xf numFmtId="3" fontId="50" fillId="0" borderId="204" xfId="0" applyNumberFormat="1" applyFont="1" applyBorder="1" applyAlignment="1">
      <alignment/>
    </xf>
    <xf numFmtId="3" fontId="35" fillId="0" borderId="47" xfId="0" applyNumberFormat="1" applyFont="1" applyBorder="1" applyAlignment="1">
      <alignment/>
    </xf>
    <xf numFmtId="3" fontId="58" fillId="0" borderId="104" xfId="0" applyNumberFormat="1" applyFont="1" applyBorder="1" applyAlignment="1">
      <alignment horizontal="center"/>
    </xf>
    <xf numFmtId="3" fontId="58" fillId="0" borderId="72" xfId="0" applyNumberFormat="1" applyFont="1" applyFill="1" applyBorder="1" applyAlignment="1">
      <alignment horizontal="center"/>
    </xf>
    <xf numFmtId="0" fontId="23" fillId="0" borderId="224" xfId="0" applyFont="1" applyBorder="1" applyAlignment="1">
      <alignment horizontal="left" vertical="center"/>
    </xf>
    <xf numFmtId="0" fontId="23" fillId="0" borderId="167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right"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23" fillId="0" borderId="225" xfId="0" applyFont="1" applyBorder="1" applyAlignment="1">
      <alignment/>
    </xf>
    <xf numFmtId="3" fontId="42" fillId="0" borderId="89" xfId="40" applyNumberFormat="1" applyFont="1" applyFill="1" applyBorder="1" applyAlignment="1" applyProtection="1">
      <alignment/>
      <protection/>
    </xf>
    <xf numFmtId="3" fontId="42" fillId="0" borderId="226" xfId="40" applyNumberFormat="1" applyFont="1" applyFill="1" applyBorder="1" applyAlignment="1" applyProtection="1">
      <alignment/>
      <protection/>
    </xf>
    <xf numFmtId="3" fontId="42" fillId="0" borderId="58" xfId="40" applyNumberFormat="1" applyFont="1" applyFill="1" applyBorder="1" applyAlignment="1" applyProtection="1">
      <alignment/>
      <protection/>
    </xf>
    <xf numFmtId="3" fontId="42" fillId="0" borderId="80" xfId="40" applyNumberFormat="1" applyFont="1" applyFill="1" applyBorder="1" applyAlignment="1" applyProtection="1">
      <alignment/>
      <protection/>
    </xf>
    <xf numFmtId="0" fontId="30" fillId="0" borderId="66" xfId="0" applyFont="1" applyBorder="1" applyAlignment="1">
      <alignment vertical="center" wrapText="1"/>
    </xf>
    <xf numFmtId="0" fontId="21" fillId="0" borderId="99" xfId="0" applyFont="1" applyBorder="1" applyAlignment="1">
      <alignment vertical="center" wrapText="1"/>
    </xf>
    <xf numFmtId="3" fontId="23" fillId="0" borderId="84" xfId="0" applyNumberFormat="1" applyFont="1" applyFill="1" applyBorder="1" applyAlignment="1">
      <alignment/>
    </xf>
    <xf numFmtId="3" fontId="19" fillId="0" borderId="68" xfId="0" applyNumberFormat="1" applyFont="1" applyFill="1" applyBorder="1" applyAlignment="1">
      <alignment/>
    </xf>
    <xf numFmtId="0" fontId="23" fillId="0" borderId="33" xfId="0" applyFont="1" applyFill="1" applyBorder="1" applyAlignment="1">
      <alignment horizontal="center" wrapText="1"/>
    </xf>
    <xf numFmtId="3" fontId="19" fillId="0" borderId="5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3" fontId="19" fillId="0" borderId="72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9" fillId="0" borderId="101" xfId="0" applyNumberFormat="1" applyFont="1" applyBorder="1" applyAlignment="1">
      <alignment/>
    </xf>
    <xf numFmtId="3" fontId="29" fillId="0" borderId="122" xfId="0" applyNumberFormat="1" applyFont="1" applyBorder="1" applyAlignment="1">
      <alignment/>
    </xf>
    <xf numFmtId="0" fontId="29" fillId="0" borderId="68" xfId="0" applyFont="1" applyBorder="1" applyAlignment="1">
      <alignment horizontal="right"/>
    </xf>
    <xf numFmtId="0" fontId="29" fillId="0" borderId="120" xfId="0" applyFont="1" applyBorder="1" applyAlignment="1">
      <alignment horizontal="right"/>
    </xf>
    <xf numFmtId="3" fontId="29" fillId="0" borderId="122" xfId="0" applyNumberFormat="1" applyFont="1" applyBorder="1" applyAlignment="1">
      <alignment horizontal="right"/>
    </xf>
    <xf numFmtId="3" fontId="19" fillId="0" borderId="122" xfId="0" applyNumberFormat="1" applyFont="1" applyBorder="1" applyAlignment="1">
      <alignment horizontal="right"/>
    </xf>
    <xf numFmtId="0" fontId="42" fillId="0" borderId="56" xfId="0" applyFont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6" xfId="0" applyNumberFormat="1" applyFont="1" applyFill="1" applyBorder="1" applyAlignment="1">
      <alignment horizontal="right"/>
    </xf>
    <xf numFmtId="0" fontId="23" fillId="0" borderId="139" xfId="0" applyFont="1" applyFill="1" applyBorder="1" applyAlignment="1">
      <alignment horizontal="center" wrapText="1"/>
    </xf>
    <xf numFmtId="3" fontId="74" fillId="0" borderId="52" xfId="0" applyNumberFormat="1" applyFont="1" applyBorder="1" applyAlignment="1">
      <alignment/>
    </xf>
    <xf numFmtId="3" fontId="74" fillId="0" borderId="5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9" fillId="0" borderId="227" xfId="0" applyFont="1" applyBorder="1" applyAlignment="1">
      <alignment/>
    </xf>
    <xf numFmtId="0" fontId="19" fillId="0" borderId="228" xfId="0" applyFont="1" applyBorder="1" applyAlignment="1">
      <alignment/>
    </xf>
    <xf numFmtId="0" fontId="35" fillId="24" borderId="141" xfId="0" applyFont="1" applyFill="1" applyBorder="1" applyAlignment="1">
      <alignment/>
    </xf>
    <xf numFmtId="0" fontId="35" fillId="24" borderId="118" xfId="0" applyFont="1" applyFill="1" applyBorder="1" applyAlignment="1">
      <alignment/>
    </xf>
    <xf numFmtId="0" fontId="35" fillId="0" borderId="118" xfId="0" applyFont="1" applyBorder="1" applyAlignment="1">
      <alignment/>
    </xf>
    <xf numFmtId="0" fontId="23" fillId="24" borderId="229" xfId="0" applyFont="1" applyFill="1" applyBorder="1" applyAlignment="1">
      <alignment/>
    </xf>
    <xf numFmtId="3" fontId="23" fillId="24" borderId="230" xfId="0" applyNumberFormat="1" applyFont="1" applyFill="1" applyBorder="1" applyAlignment="1">
      <alignment/>
    </xf>
    <xf numFmtId="3" fontId="19" fillId="24" borderId="120" xfId="0" applyNumberFormat="1" applyFont="1" applyFill="1" applyBorder="1" applyAlignment="1">
      <alignment/>
    </xf>
    <xf numFmtId="3" fontId="19" fillId="24" borderId="56" xfId="0" applyNumberFormat="1" applyFont="1" applyFill="1" applyBorder="1" applyAlignment="1">
      <alignment/>
    </xf>
    <xf numFmtId="0" fontId="35" fillId="24" borderId="123" xfId="0" applyFont="1" applyFill="1" applyBorder="1" applyAlignment="1">
      <alignment/>
    </xf>
    <xf numFmtId="0" fontId="35" fillId="24" borderId="68" xfId="0" applyFont="1" applyFill="1" applyBorder="1" applyAlignment="1">
      <alignment/>
    </xf>
    <xf numFmtId="0" fontId="35" fillId="0" borderId="68" xfId="0" applyFont="1" applyBorder="1" applyAlignment="1">
      <alignment/>
    </xf>
    <xf numFmtId="0" fontId="23" fillId="24" borderId="231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32" xfId="0" applyNumberFormat="1" applyFont="1" applyFill="1" applyBorder="1" applyAlignment="1">
      <alignment/>
    </xf>
    <xf numFmtId="0" fontId="59" fillId="0" borderId="101" xfId="0" applyFont="1" applyBorder="1" applyAlignment="1">
      <alignment horizontal="center"/>
    </xf>
    <xf numFmtId="0" fontId="19" fillId="0" borderId="66" xfId="0" applyFont="1" applyBorder="1" applyAlignment="1">
      <alignment/>
    </xf>
    <xf numFmtId="3" fontId="23" fillId="24" borderId="201" xfId="0" applyNumberFormat="1" applyFont="1" applyFill="1" applyBorder="1" applyAlignment="1">
      <alignment/>
    </xf>
    <xf numFmtId="3" fontId="19" fillId="24" borderId="72" xfId="0" applyNumberFormat="1" applyFont="1" applyFill="1" applyBorder="1" applyAlignment="1">
      <alignment/>
    </xf>
    <xf numFmtId="3" fontId="23" fillId="24" borderId="231" xfId="0" applyNumberFormat="1" applyFont="1" applyFill="1" applyBorder="1" applyAlignment="1">
      <alignment/>
    </xf>
    <xf numFmtId="3" fontId="19" fillId="0" borderId="161" xfId="0" applyNumberFormat="1" applyFont="1" applyBorder="1" applyAlignment="1">
      <alignment/>
    </xf>
    <xf numFmtId="3" fontId="19" fillId="0" borderId="201" xfId="0" applyNumberFormat="1" applyFont="1" applyBorder="1" applyAlignment="1">
      <alignment/>
    </xf>
    <xf numFmtId="3" fontId="23" fillId="0" borderId="233" xfId="0" applyNumberFormat="1" applyFont="1" applyBorder="1" applyAlignment="1">
      <alignment/>
    </xf>
    <xf numFmtId="3" fontId="19" fillId="0" borderId="234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3" fontId="23" fillId="0" borderId="237" xfId="0" applyNumberFormat="1" applyFont="1" applyBorder="1" applyAlignment="1">
      <alignment/>
    </xf>
    <xf numFmtId="3" fontId="19" fillId="0" borderId="233" xfId="0" applyNumberFormat="1" applyFont="1" applyBorder="1" applyAlignment="1">
      <alignment/>
    </xf>
    <xf numFmtId="3" fontId="23" fillId="0" borderId="234" xfId="0" applyNumberFormat="1" applyFont="1" applyBorder="1" applyAlignment="1">
      <alignment/>
    </xf>
    <xf numFmtId="3" fontId="23" fillId="0" borderId="201" xfId="0" applyNumberFormat="1" applyFont="1" applyBorder="1" applyAlignment="1">
      <alignment/>
    </xf>
    <xf numFmtId="0" fontId="23" fillId="0" borderId="64" xfId="0" applyFont="1" applyFill="1" applyBorder="1" applyAlignment="1">
      <alignment horizontal="center" wrapText="1"/>
    </xf>
    <xf numFmtId="3" fontId="19" fillId="0" borderId="238" xfId="0" applyNumberFormat="1" applyFont="1" applyBorder="1" applyAlignment="1">
      <alignment/>
    </xf>
    <xf numFmtId="3" fontId="19" fillId="0" borderId="239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3" fontId="23" fillId="0" borderId="241" xfId="0" applyNumberFormat="1" applyFont="1" applyBorder="1" applyAlignment="1">
      <alignment/>
    </xf>
    <xf numFmtId="0" fontId="35" fillId="0" borderId="104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3" fontId="19" fillId="0" borderId="95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23" fillId="0" borderId="8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94" xfId="0" applyNumberFormat="1" applyFont="1" applyBorder="1" applyAlignment="1">
      <alignment horizontal="right"/>
    </xf>
    <xf numFmtId="3" fontId="23" fillId="0" borderId="242" xfId="0" applyNumberFormat="1" applyFont="1" applyBorder="1" applyAlignment="1">
      <alignment/>
    </xf>
    <xf numFmtId="3" fontId="23" fillId="0" borderId="243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23" fillId="0" borderId="245" xfId="0" applyNumberFormat="1" applyFont="1" applyBorder="1" applyAlignment="1">
      <alignment/>
    </xf>
    <xf numFmtId="3" fontId="19" fillId="24" borderId="91" xfId="0" applyNumberFormat="1" applyFont="1" applyFill="1" applyBorder="1" applyAlignment="1">
      <alignment/>
    </xf>
    <xf numFmtId="3" fontId="23" fillId="0" borderId="46" xfId="0" applyNumberFormat="1" applyFont="1" applyBorder="1" applyAlignment="1">
      <alignment/>
    </xf>
    <xf numFmtId="3" fontId="23" fillId="0" borderId="235" xfId="0" applyNumberFormat="1" applyFont="1" applyBorder="1" applyAlignment="1">
      <alignment/>
    </xf>
    <xf numFmtId="3" fontId="23" fillId="24" borderId="56" xfId="0" applyNumberFormat="1" applyFont="1" applyFill="1" applyBorder="1" applyAlignment="1">
      <alignment/>
    </xf>
    <xf numFmtId="3" fontId="23" fillId="0" borderId="246" xfId="0" applyNumberFormat="1" applyFont="1" applyBorder="1" applyAlignment="1">
      <alignment/>
    </xf>
    <xf numFmtId="3" fontId="23" fillId="0" borderId="247" xfId="0" applyNumberFormat="1" applyFont="1" applyBorder="1" applyAlignment="1">
      <alignment/>
    </xf>
    <xf numFmtId="3" fontId="23" fillId="24" borderId="72" xfId="0" applyNumberFormat="1" applyFont="1" applyFill="1" applyBorder="1" applyAlignment="1">
      <alignment/>
    </xf>
    <xf numFmtId="3" fontId="19" fillId="0" borderId="248" xfId="0" applyNumberFormat="1" applyFont="1" applyBorder="1" applyAlignment="1">
      <alignment/>
    </xf>
    <xf numFmtId="3" fontId="23" fillId="0" borderId="249" xfId="0" applyNumberFormat="1" applyFont="1" applyBorder="1" applyAlignment="1">
      <alignment/>
    </xf>
    <xf numFmtId="3" fontId="19" fillId="24" borderId="35" xfId="0" applyNumberFormat="1" applyFont="1" applyFill="1" applyBorder="1" applyAlignment="1">
      <alignment/>
    </xf>
    <xf numFmtId="164" fontId="33" fillId="0" borderId="165" xfId="0" applyNumberFormat="1" applyFont="1" applyBorder="1" applyAlignment="1">
      <alignment/>
    </xf>
    <xf numFmtId="164" fontId="33" fillId="0" borderId="68" xfId="0" applyNumberFormat="1" applyFont="1" applyBorder="1" applyAlignment="1">
      <alignment/>
    </xf>
    <xf numFmtId="0" fontId="31" fillId="0" borderId="159" xfId="0" applyFont="1" applyBorder="1" applyAlignment="1">
      <alignment/>
    </xf>
    <xf numFmtId="164" fontId="35" fillId="0" borderId="54" xfId="0" applyNumberFormat="1" applyFont="1" applyBorder="1" applyAlignment="1">
      <alignment/>
    </xf>
    <xf numFmtId="164" fontId="35" fillId="0" borderId="54" xfId="0" applyNumberFormat="1" applyFont="1" applyBorder="1" applyAlignment="1">
      <alignment wrapText="1"/>
    </xf>
    <xf numFmtId="0" fontId="50" fillId="0" borderId="111" xfId="0" applyFont="1" applyBorder="1" applyAlignment="1">
      <alignment/>
    </xf>
    <xf numFmtId="0" fontId="35" fillId="0" borderId="76" xfId="0" applyFont="1" applyBorder="1" applyAlignment="1">
      <alignment/>
    </xf>
    <xf numFmtId="0" fontId="31" fillId="24" borderId="68" xfId="0" applyFont="1" applyFill="1" applyBorder="1" applyAlignment="1">
      <alignment/>
    </xf>
    <xf numFmtId="16" fontId="35" fillId="0" borderId="41" xfId="0" applyNumberFormat="1" applyFont="1" applyBorder="1" applyAlignment="1">
      <alignment/>
    </xf>
    <xf numFmtId="3" fontId="19" fillId="0" borderId="250" xfId="0" applyNumberFormat="1" applyFont="1" applyBorder="1" applyAlignment="1">
      <alignment/>
    </xf>
    <xf numFmtId="0" fontId="23" fillId="0" borderId="111" xfId="0" applyFont="1" applyBorder="1" applyAlignment="1">
      <alignment/>
    </xf>
    <xf numFmtId="3" fontId="23" fillId="24" borderId="33" xfId="0" applyNumberFormat="1" applyFont="1" applyFill="1" applyBorder="1" applyAlignment="1">
      <alignment/>
    </xf>
    <xf numFmtId="3" fontId="23" fillId="24" borderId="139" xfId="0" applyNumberFormat="1" applyFont="1" applyFill="1" applyBorder="1" applyAlignment="1">
      <alignment/>
    </xf>
    <xf numFmtId="3" fontId="19" fillId="0" borderId="251" xfId="0" applyNumberFormat="1" applyFont="1" applyBorder="1" applyAlignment="1">
      <alignment/>
    </xf>
    <xf numFmtId="3" fontId="23" fillId="0" borderId="139" xfId="0" applyNumberFormat="1" applyFont="1" applyBorder="1" applyAlignment="1">
      <alignment/>
    </xf>
    <xf numFmtId="3" fontId="19" fillId="0" borderId="217" xfId="0" applyNumberFormat="1" applyFont="1" applyBorder="1" applyAlignment="1">
      <alignment/>
    </xf>
    <xf numFmtId="3" fontId="74" fillId="0" borderId="66" xfId="0" applyNumberFormat="1" applyFont="1" applyBorder="1" applyAlignment="1">
      <alignment/>
    </xf>
    <xf numFmtId="0" fontId="35" fillId="0" borderId="66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60" fillId="0" borderId="0" xfId="0" applyFont="1" applyAlignment="1">
      <alignment/>
    </xf>
    <xf numFmtId="0" fontId="23" fillId="0" borderId="56" xfId="0" applyFont="1" applyBorder="1" applyAlignment="1">
      <alignment wrapText="1"/>
    </xf>
    <xf numFmtId="3" fontId="23" fillId="0" borderId="9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52" xfId="0" applyNumberFormat="1" applyFont="1" applyBorder="1" applyAlignment="1">
      <alignment/>
    </xf>
    <xf numFmtId="3" fontId="29" fillId="0" borderId="119" xfId="0" applyNumberFormat="1" applyFont="1" applyBorder="1" applyAlignment="1">
      <alignment/>
    </xf>
    <xf numFmtId="3" fontId="42" fillId="0" borderId="84" xfId="0" applyNumberFormat="1" applyFont="1" applyBorder="1" applyAlignment="1">
      <alignment/>
    </xf>
    <xf numFmtId="3" fontId="29" fillId="0" borderId="62" xfId="0" applyNumberFormat="1" applyFont="1" applyBorder="1" applyAlignment="1">
      <alignment/>
    </xf>
    <xf numFmtId="3" fontId="42" fillId="0" borderId="8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36" xfId="0" applyNumberFormat="1" applyFont="1" applyBorder="1" applyAlignment="1">
      <alignment/>
    </xf>
    <xf numFmtId="0" fontId="30" fillId="0" borderId="138" xfId="0" applyFont="1" applyBorder="1" applyAlignment="1">
      <alignment/>
    </xf>
    <xf numFmtId="0" fontId="30" fillId="0" borderId="123" xfId="0" applyFont="1" applyBorder="1" applyAlignment="1">
      <alignment/>
    </xf>
    <xf numFmtId="0" fontId="0" fillId="0" borderId="55" xfId="0" applyBorder="1" applyAlignment="1">
      <alignment/>
    </xf>
    <xf numFmtId="3" fontId="29" fillId="0" borderId="55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42" fillId="0" borderId="56" xfId="0" applyNumberFormat="1" applyFont="1" applyBorder="1" applyAlignment="1">
      <alignment/>
    </xf>
    <xf numFmtId="3" fontId="23" fillId="0" borderId="226" xfId="0" applyNumberFormat="1" applyFont="1" applyBorder="1" applyAlignment="1">
      <alignment horizontal="right" vertical="center"/>
    </xf>
    <xf numFmtId="0" fontId="35" fillId="0" borderId="55" xfId="0" applyFont="1" applyBorder="1" applyAlignment="1">
      <alignment horizontal="right"/>
    </xf>
    <xf numFmtId="0" fontId="50" fillId="0" borderId="56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23" xfId="0" applyFont="1" applyBorder="1" applyAlignment="1">
      <alignment/>
    </xf>
    <xf numFmtId="0" fontId="23" fillId="0" borderId="68" xfId="0" applyFont="1" applyBorder="1" applyAlignment="1">
      <alignment horizontal="center"/>
    </xf>
    <xf numFmtId="0" fontId="33" fillId="0" borderId="68" xfId="0" applyFont="1" applyBorder="1" applyAlignment="1">
      <alignment/>
    </xf>
    <xf numFmtId="3" fontId="23" fillId="0" borderId="101" xfId="0" applyNumberFormat="1" applyFont="1" applyBorder="1" applyAlignment="1">
      <alignment horizontal="right"/>
    </xf>
    <xf numFmtId="3" fontId="23" fillId="0" borderId="52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142" xfId="0" applyNumberFormat="1" applyFont="1" applyBorder="1" applyAlignment="1">
      <alignment/>
    </xf>
    <xf numFmtId="3" fontId="19" fillId="24" borderId="59" xfId="0" applyNumberFormat="1" applyFont="1" applyFill="1" applyBorder="1" applyAlignment="1">
      <alignment/>
    </xf>
    <xf numFmtId="3" fontId="19" fillId="0" borderId="155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19" fillId="0" borderId="253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24" borderId="64" xfId="0" applyNumberFormat="1" applyFont="1" applyFill="1" applyBorder="1" applyAlignment="1">
      <alignment/>
    </xf>
    <xf numFmtId="3" fontId="19" fillId="0" borderId="254" xfId="56" applyNumberFormat="1" applyFont="1" applyBorder="1" applyProtection="1">
      <alignment/>
      <protection/>
    </xf>
    <xf numFmtId="3" fontId="23" fillId="0" borderId="209" xfId="56" applyNumberFormat="1" applyFont="1" applyBorder="1" applyProtection="1">
      <alignment/>
      <protection/>
    </xf>
    <xf numFmtId="3" fontId="23" fillId="0" borderId="99" xfId="56" applyNumberFormat="1" applyFont="1" applyBorder="1" applyProtection="1">
      <alignment/>
      <protection/>
    </xf>
    <xf numFmtId="3" fontId="19" fillId="0" borderId="100" xfId="56" applyNumberFormat="1" applyFont="1" applyBorder="1" applyProtection="1">
      <alignment/>
      <protection/>
    </xf>
    <xf numFmtId="0" fontId="35" fillId="0" borderId="64" xfId="0" applyFont="1" applyFill="1" applyBorder="1" applyAlignment="1">
      <alignment horizontal="right"/>
    </xf>
    <xf numFmtId="0" fontId="33" fillId="0" borderId="140" xfId="56" applyFont="1" applyBorder="1" applyProtection="1">
      <alignment/>
      <protection/>
    </xf>
    <xf numFmtId="0" fontId="19" fillId="0" borderId="140" xfId="56" applyFont="1" applyBorder="1" applyProtection="1">
      <alignment/>
      <protection/>
    </xf>
    <xf numFmtId="3" fontId="19" fillId="0" borderId="66" xfId="56" applyNumberFormat="1" applyFont="1" applyBorder="1" applyProtection="1">
      <alignment/>
      <protection/>
    </xf>
    <xf numFmtId="0" fontId="23" fillId="0" borderId="56" xfId="56" applyFont="1" applyBorder="1" applyProtection="1">
      <alignment/>
      <protection/>
    </xf>
    <xf numFmtId="3" fontId="23" fillId="0" borderId="64" xfId="56" applyNumberFormat="1" applyFont="1" applyBorder="1" applyProtection="1">
      <alignment/>
      <protection/>
    </xf>
    <xf numFmtId="0" fontId="23" fillId="0" borderId="97" xfId="56" applyFont="1" applyBorder="1" applyProtection="1">
      <alignment/>
      <protection/>
    </xf>
    <xf numFmtId="0" fontId="23" fillId="0" borderId="79" xfId="56" applyFont="1" applyBorder="1" applyProtection="1">
      <alignment/>
      <protection/>
    </xf>
    <xf numFmtId="3" fontId="23" fillId="0" borderId="255" xfId="56" applyNumberFormat="1" applyFont="1" applyBorder="1" applyProtection="1">
      <alignment/>
      <protection/>
    </xf>
    <xf numFmtId="0" fontId="23" fillId="0" borderId="33" xfId="56" applyFont="1" applyBorder="1" applyProtection="1">
      <alignment/>
      <protection/>
    </xf>
    <xf numFmtId="3" fontId="23" fillId="0" borderId="33" xfId="56" applyNumberFormat="1" applyFont="1" applyBorder="1" applyProtection="1">
      <alignment/>
      <protection/>
    </xf>
    <xf numFmtId="3" fontId="23" fillId="0" borderId="80" xfId="56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2" xfId="56" applyFont="1" applyBorder="1" applyProtection="1">
      <alignment/>
      <protection/>
    </xf>
    <xf numFmtId="0" fontId="34" fillId="0" borderId="36" xfId="0" applyFont="1" applyBorder="1" applyAlignment="1">
      <alignment wrapText="1"/>
    </xf>
    <xf numFmtId="0" fontId="35" fillId="0" borderId="67" xfId="0" applyFont="1" applyBorder="1" applyAlignment="1">
      <alignment/>
    </xf>
    <xf numFmtId="0" fontId="35" fillId="0" borderId="68" xfId="0" applyFont="1" applyBorder="1" applyAlignment="1">
      <alignment wrapText="1"/>
    </xf>
    <xf numFmtId="0" fontId="35" fillId="24" borderId="123" xfId="0" applyFont="1" applyFill="1" applyBorder="1" applyAlignment="1">
      <alignment shrinkToFit="1"/>
    </xf>
    <xf numFmtId="0" fontId="35" fillId="0" borderId="68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3" fontId="19" fillId="0" borderId="256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23" fillId="0" borderId="193" xfId="0" applyNumberFormat="1" applyFont="1" applyBorder="1" applyAlignment="1">
      <alignment/>
    </xf>
    <xf numFmtId="3" fontId="19" fillId="0" borderId="257" xfId="0" applyNumberFormat="1" applyFont="1" applyBorder="1" applyAlignment="1">
      <alignment/>
    </xf>
    <xf numFmtId="3" fontId="19" fillId="0" borderId="228" xfId="0" applyNumberFormat="1" applyFont="1" applyBorder="1" applyAlignment="1">
      <alignment/>
    </xf>
    <xf numFmtId="3" fontId="23" fillId="0" borderId="170" xfId="0" applyNumberFormat="1" applyFont="1" applyBorder="1" applyAlignment="1">
      <alignment/>
    </xf>
    <xf numFmtId="3" fontId="19" fillId="0" borderId="258" xfId="0" applyNumberFormat="1" applyFont="1" applyBorder="1" applyAlignment="1">
      <alignment/>
    </xf>
    <xf numFmtId="3" fontId="23" fillId="24" borderId="111" xfId="0" applyNumberFormat="1" applyFont="1" applyFill="1" applyBorder="1" applyAlignment="1">
      <alignment/>
    </xf>
    <xf numFmtId="3" fontId="19" fillId="0" borderId="170" xfId="0" applyNumberFormat="1" applyFont="1" applyBorder="1" applyAlignment="1">
      <alignment/>
    </xf>
    <xf numFmtId="3" fontId="23" fillId="0" borderId="259" xfId="0" applyNumberFormat="1" applyFont="1" applyBorder="1" applyAlignment="1">
      <alignment/>
    </xf>
    <xf numFmtId="3" fontId="23" fillId="0" borderId="236" xfId="0" applyNumberFormat="1" applyFont="1" applyBorder="1" applyAlignment="1">
      <alignment/>
    </xf>
    <xf numFmtId="3" fontId="23" fillId="0" borderId="260" xfId="0" applyNumberFormat="1" applyFont="1" applyBorder="1" applyAlignment="1">
      <alignment/>
    </xf>
    <xf numFmtId="3" fontId="23" fillId="24" borderId="261" xfId="0" applyNumberFormat="1" applyFont="1" applyFill="1" applyBorder="1" applyAlignment="1">
      <alignment/>
    </xf>
    <xf numFmtId="3" fontId="19" fillId="0" borderId="120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/>
    </xf>
    <xf numFmtId="3" fontId="23" fillId="0" borderId="93" xfId="0" applyNumberFormat="1" applyFont="1" applyBorder="1" applyAlignment="1">
      <alignment/>
    </xf>
    <xf numFmtId="3" fontId="33" fillId="0" borderId="93" xfId="0" applyNumberFormat="1" applyFont="1" applyBorder="1" applyAlignment="1">
      <alignment/>
    </xf>
    <xf numFmtId="3" fontId="31" fillId="0" borderId="172" xfId="0" applyNumberFormat="1" applyFont="1" applyBorder="1" applyAlignment="1">
      <alignment horizontal="right" vertical="center" wrapText="1"/>
    </xf>
    <xf numFmtId="3" fontId="31" fillId="0" borderId="64" xfId="0" applyNumberFormat="1" applyFont="1" applyBorder="1" applyAlignment="1">
      <alignment horizontal="right" vertical="center" wrapText="1"/>
    </xf>
    <xf numFmtId="0" fontId="35" fillId="0" borderId="76" xfId="0" applyFont="1" applyBorder="1" applyAlignment="1">
      <alignment/>
    </xf>
    <xf numFmtId="0" fontId="35" fillId="0" borderId="68" xfId="0" applyFont="1" applyBorder="1" applyAlignment="1">
      <alignment/>
    </xf>
    <xf numFmtId="3" fontId="23" fillId="24" borderId="53" xfId="0" applyNumberFormat="1" applyFont="1" applyFill="1" applyBorder="1" applyAlignment="1">
      <alignment/>
    </xf>
    <xf numFmtId="3" fontId="23" fillId="24" borderId="219" xfId="0" applyNumberFormat="1" applyFont="1" applyFill="1" applyBorder="1" applyAlignment="1">
      <alignment/>
    </xf>
    <xf numFmtId="3" fontId="19" fillId="0" borderId="176" xfId="0" applyNumberFormat="1" applyFont="1" applyBorder="1" applyAlignment="1">
      <alignment/>
    </xf>
    <xf numFmtId="0" fontId="74" fillId="0" borderId="36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26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wrapText="1"/>
    </xf>
    <xf numFmtId="3" fontId="19" fillId="0" borderId="263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63" xfId="0" applyBorder="1" applyAlignment="1">
      <alignment/>
    </xf>
    <xf numFmtId="3" fontId="23" fillId="0" borderId="99" xfId="40" applyNumberFormat="1" applyFont="1" applyFill="1" applyBorder="1" applyAlignment="1" applyProtection="1">
      <alignment/>
      <protection/>
    </xf>
    <xf numFmtId="3" fontId="23" fillId="0" borderId="65" xfId="40" applyNumberFormat="1" applyFont="1" applyFill="1" applyBorder="1" applyAlignment="1" applyProtection="1">
      <alignment/>
      <protection/>
    </xf>
    <xf numFmtId="3" fontId="19" fillId="0" borderId="52" xfId="40" applyNumberFormat="1" applyFont="1" applyFill="1" applyBorder="1" applyAlignment="1" applyProtection="1">
      <alignment/>
      <protection/>
    </xf>
    <xf numFmtId="3" fontId="23" fillId="0" borderId="52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23" fillId="0" borderId="100" xfId="40" applyNumberFormat="1" applyFont="1" applyFill="1" applyBorder="1" applyAlignment="1" applyProtection="1">
      <alignment/>
      <protection/>
    </xf>
    <xf numFmtId="3" fontId="23" fillId="0" borderId="53" xfId="40" applyNumberFormat="1" applyFont="1" applyFill="1" applyBorder="1" applyAlignment="1" applyProtection="1">
      <alignment vertical="center"/>
      <protection/>
    </xf>
    <xf numFmtId="3" fontId="23" fillId="0" borderId="64" xfId="0" applyNumberFormat="1" applyFont="1" applyBorder="1" applyAlignment="1">
      <alignment vertical="center"/>
    </xf>
    <xf numFmtId="0" fontId="23" fillId="0" borderId="36" xfId="0" applyFont="1" applyBorder="1" applyAlignment="1">
      <alignment/>
    </xf>
    <xf numFmtId="0" fontId="19" fillId="0" borderId="101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3" fillId="0" borderId="209" xfId="0" applyFont="1" applyBorder="1" applyAlignment="1">
      <alignment horizontal="center" vertical="center"/>
    </xf>
    <xf numFmtId="3" fontId="19" fillId="0" borderId="73" xfId="0" applyNumberFormat="1" applyFont="1" applyBorder="1" applyAlignment="1">
      <alignment vertical="center"/>
    </xf>
    <xf numFmtId="3" fontId="23" fillId="0" borderId="64" xfId="0" applyNumberFormat="1" applyFont="1" applyBorder="1" applyAlignment="1">
      <alignment horizontal="right" vertical="center"/>
    </xf>
    <xf numFmtId="0" fontId="19" fillId="0" borderId="59" xfId="0" applyFont="1" applyBorder="1" applyAlignment="1">
      <alignment/>
    </xf>
    <xf numFmtId="0" fontId="19" fillId="0" borderId="61" xfId="0" applyFont="1" applyBorder="1" applyAlignment="1">
      <alignment/>
    </xf>
    <xf numFmtId="3" fontId="30" fillId="0" borderId="90" xfId="0" applyNumberFormat="1" applyFont="1" applyFill="1" applyBorder="1" applyAlignment="1">
      <alignment/>
    </xf>
    <xf numFmtId="0" fontId="23" fillId="0" borderId="93" xfId="0" applyFont="1" applyBorder="1" applyAlignment="1">
      <alignment vertical="center"/>
    </xf>
    <xf numFmtId="3" fontId="19" fillId="0" borderId="73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 horizontal="right"/>
    </xf>
    <xf numFmtId="3" fontId="19" fillId="0" borderId="122" xfId="0" applyNumberFormat="1" applyFont="1" applyFill="1" applyBorder="1" applyAlignment="1">
      <alignment horizontal="right"/>
    </xf>
    <xf numFmtId="0" fontId="30" fillId="0" borderId="93" xfId="0" applyFont="1" applyFill="1" applyBorder="1" applyAlignment="1">
      <alignment wrapText="1"/>
    </xf>
    <xf numFmtId="0" fontId="21" fillId="0" borderId="149" xfId="0" applyFont="1" applyBorder="1" applyAlignment="1">
      <alignment/>
    </xf>
    <xf numFmtId="0" fontId="23" fillId="0" borderId="142" xfId="0" applyFont="1" applyFill="1" applyBorder="1" applyAlignment="1">
      <alignment horizontal="center" wrapText="1"/>
    </xf>
    <xf numFmtId="3" fontId="29" fillId="0" borderId="61" xfId="0" applyNumberFormat="1" applyFont="1" applyFill="1" applyBorder="1" applyAlignment="1">
      <alignment/>
    </xf>
    <xf numFmtId="3" fontId="19" fillId="0" borderId="101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 horizontal="right"/>
    </xf>
    <xf numFmtId="3" fontId="19" fillId="0" borderId="100" xfId="0" applyNumberFormat="1" applyFont="1" applyFill="1" applyBorder="1" applyAlignment="1">
      <alignment/>
    </xf>
    <xf numFmtId="3" fontId="19" fillId="0" borderId="99" xfId="0" applyNumberFormat="1" applyFont="1" applyFill="1" applyBorder="1" applyAlignment="1">
      <alignment/>
    </xf>
    <xf numFmtId="3" fontId="19" fillId="0" borderId="114" xfId="0" applyNumberFormat="1" applyFont="1" applyFill="1" applyBorder="1" applyAlignment="1">
      <alignment/>
    </xf>
    <xf numFmtId="0" fontId="19" fillId="0" borderId="146" xfId="0" applyFont="1" applyBorder="1" applyAlignment="1">
      <alignment/>
    </xf>
    <xf numFmtId="2" fontId="19" fillId="0" borderId="35" xfId="0" applyNumberFormat="1" applyFont="1" applyBorder="1" applyAlignment="1">
      <alignment wrapText="1"/>
    </xf>
    <xf numFmtId="3" fontId="19" fillId="0" borderId="40" xfId="0" applyNumberFormat="1" applyFont="1" applyFill="1" applyBorder="1" applyAlignment="1">
      <alignment horizontal="right"/>
    </xf>
    <xf numFmtId="3" fontId="19" fillId="0" borderId="38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6" xfId="0" applyFont="1" applyFill="1" applyBorder="1" applyAlignment="1">
      <alignment horizontal="center" vertical="center" wrapText="1"/>
    </xf>
    <xf numFmtId="0" fontId="31" fillId="25" borderId="64" xfId="0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/>
    </xf>
    <xf numFmtId="0" fontId="19" fillId="0" borderId="64" xfId="0" applyFont="1" applyFill="1" applyBorder="1" applyAlignment="1">
      <alignment horizontal="center" wrapText="1"/>
    </xf>
    <xf numFmtId="3" fontId="29" fillId="0" borderId="183" xfId="0" applyNumberFormat="1" applyFont="1" applyFill="1" applyBorder="1" applyAlignment="1">
      <alignment/>
    </xf>
    <xf numFmtId="3" fontId="29" fillId="0" borderId="184" xfId="0" applyNumberFormat="1" applyFont="1" applyFill="1" applyBorder="1" applyAlignment="1">
      <alignment/>
    </xf>
    <xf numFmtId="3" fontId="29" fillId="0" borderId="136" xfId="0" applyNumberFormat="1" applyFont="1" applyFill="1" applyBorder="1" applyAlignment="1">
      <alignment/>
    </xf>
    <xf numFmtId="3" fontId="29" fillId="0" borderId="94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64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5" xfId="0" applyNumberFormat="1" applyFont="1" applyFill="1" applyBorder="1" applyAlignment="1">
      <alignment/>
    </xf>
    <xf numFmtId="3" fontId="29" fillId="0" borderId="264" xfId="40" applyNumberFormat="1" applyFont="1" applyFill="1" applyBorder="1" applyAlignment="1" applyProtection="1">
      <alignment/>
      <protection/>
    </xf>
    <xf numFmtId="3" fontId="29" fillId="0" borderId="95" xfId="40" applyNumberFormat="1" applyFont="1" applyFill="1" applyBorder="1" applyAlignment="1" applyProtection="1">
      <alignment/>
      <protection/>
    </xf>
    <xf numFmtId="3" fontId="29" fillId="0" borderId="95" xfId="0" applyNumberFormat="1" applyFont="1" applyFill="1" applyBorder="1" applyAlignment="1">
      <alignment/>
    </xf>
    <xf numFmtId="3" fontId="19" fillId="0" borderId="53" xfId="0" applyNumberFormat="1" applyFont="1" applyFill="1" applyBorder="1" applyAlignment="1">
      <alignment/>
    </xf>
    <xf numFmtId="3" fontId="19" fillId="0" borderId="47" xfId="0" applyNumberFormat="1" applyFont="1" applyFill="1" applyBorder="1" applyAlignment="1">
      <alignment/>
    </xf>
    <xf numFmtId="3" fontId="19" fillId="0" borderId="95" xfId="0" applyNumberFormat="1" applyFont="1" applyFill="1" applyBorder="1" applyAlignment="1">
      <alignment horizontal="right"/>
    </xf>
    <xf numFmtId="0" fontId="23" fillId="0" borderId="0" xfId="56" applyFont="1" applyBorder="1" applyAlignment="1" applyProtection="1">
      <alignment horizontal="center"/>
      <protection/>
    </xf>
    <xf numFmtId="0" fontId="28" fillId="0" borderId="6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6" applyFont="1" applyBorder="1" applyAlignment="1" applyProtection="1">
      <alignment vertical="center"/>
      <protection/>
    </xf>
    <xf numFmtId="0" fontId="23" fillId="0" borderId="22" xfId="56" applyFont="1" applyBorder="1" applyAlignment="1" applyProtection="1">
      <alignment horizontal="center" vertical="center" wrapText="1"/>
      <protection/>
    </xf>
    <xf numFmtId="0" fontId="23" fillId="0" borderId="157" xfId="56" applyFont="1" applyBorder="1" applyAlignment="1" applyProtection="1">
      <alignment vertical="center"/>
      <protection/>
    </xf>
    <xf numFmtId="0" fontId="28" fillId="0" borderId="97" xfId="0" applyFont="1" applyBorder="1" applyAlignment="1">
      <alignment horizontal="center"/>
    </xf>
    <xf numFmtId="0" fontId="19" fillId="0" borderId="123" xfId="0" applyFont="1" applyBorder="1" applyAlignment="1">
      <alignment horizontal="right"/>
    </xf>
    <xf numFmtId="0" fontId="19" fillId="0" borderId="68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50" fillId="0" borderId="80" xfId="0" applyFont="1" applyBorder="1" applyAlignment="1">
      <alignment horizontal="center"/>
    </xf>
    <xf numFmtId="0" fontId="23" fillId="0" borderId="68" xfId="0" applyFont="1" applyBorder="1" applyAlignment="1">
      <alignment wrapText="1"/>
    </xf>
    <xf numFmtId="0" fontId="23" fillId="0" borderId="68" xfId="0" applyFont="1" applyBorder="1" applyAlignment="1">
      <alignment/>
    </xf>
    <xf numFmtId="0" fontId="23" fillId="0" borderId="132" xfId="0" applyFont="1" applyBorder="1" applyAlignment="1">
      <alignment/>
    </xf>
    <xf numFmtId="0" fontId="23" fillId="0" borderId="59" xfId="0" applyFont="1" applyBorder="1" applyAlignment="1">
      <alignment/>
    </xf>
    <xf numFmtId="0" fontId="19" fillId="0" borderId="104" xfId="0" applyFont="1" applyBorder="1" applyAlignment="1">
      <alignment/>
    </xf>
    <xf numFmtId="0" fontId="23" fillId="0" borderId="265" xfId="0" applyFont="1" applyBorder="1" applyAlignment="1">
      <alignment/>
    </xf>
    <xf numFmtId="0" fontId="19" fillId="0" borderId="104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205" xfId="0" applyFont="1" applyBorder="1" applyAlignment="1">
      <alignment/>
    </xf>
    <xf numFmtId="0" fontId="50" fillId="0" borderId="68" xfId="0" applyFont="1" applyBorder="1" applyAlignment="1">
      <alignment/>
    </xf>
    <xf numFmtId="0" fontId="23" fillId="0" borderId="59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0" fontId="50" fillId="0" borderId="59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5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6" xfId="0" applyFont="1" applyBorder="1" applyAlignment="1">
      <alignment wrapText="1"/>
    </xf>
    <xf numFmtId="0" fontId="21" fillId="0" borderId="106" xfId="0" applyFont="1" applyBorder="1" applyAlignment="1">
      <alignment horizontal="center"/>
    </xf>
    <xf numFmtId="0" fontId="33" fillId="0" borderId="53" xfId="0" applyFont="1" applyBorder="1" applyAlignment="1">
      <alignment horizontal="center" wrapText="1"/>
    </xf>
    <xf numFmtId="0" fontId="19" fillId="0" borderId="256" xfId="0" applyFont="1" applyBorder="1" applyAlignment="1">
      <alignment/>
    </xf>
    <xf numFmtId="3" fontId="19" fillId="0" borderId="80" xfId="0" applyNumberFormat="1" applyFont="1" applyBorder="1" applyAlignment="1">
      <alignment/>
    </xf>
    <xf numFmtId="0" fontId="19" fillId="0" borderId="99" xfId="0" applyFont="1" applyBorder="1" applyAlignment="1">
      <alignment vertical="center"/>
    </xf>
    <xf numFmtId="0" fontId="23" fillId="0" borderId="99" xfId="0" applyFont="1" applyBorder="1" applyAlignment="1">
      <alignment vertical="center"/>
    </xf>
    <xf numFmtId="0" fontId="23" fillId="0" borderId="73" xfId="0" applyFont="1" applyBorder="1" applyAlignment="1">
      <alignment/>
    </xf>
    <xf numFmtId="0" fontId="23" fillId="0" borderId="66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35" fillId="24" borderId="68" xfId="0" applyFont="1" applyFill="1" applyBorder="1" applyAlignment="1" applyProtection="1">
      <alignment wrapText="1" shrinkToFit="1"/>
      <protection locked="0"/>
    </xf>
    <xf numFmtId="3" fontId="23" fillId="0" borderId="62" xfId="0" applyNumberFormat="1" applyFont="1" applyBorder="1" applyAlignment="1">
      <alignment/>
    </xf>
    <xf numFmtId="3" fontId="19" fillId="0" borderId="66" xfId="0" applyNumberFormat="1" applyFont="1" applyBorder="1" applyAlignment="1">
      <alignment wrapText="1"/>
    </xf>
    <xf numFmtId="3" fontId="23" fillId="0" borderId="62" xfId="0" applyNumberFormat="1" applyFont="1" applyBorder="1" applyAlignment="1">
      <alignment horizontal="right"/>
    </xf>
    <xf numFmtId="0" fontId="35" fillId="0" borderId="52" xfId="0" applyFont="1" applyBorder="1" applyAlignment="1">
      <alignment shrinkToFit="1"/>
    </xf>
    <xf numFmtId="3" fontId="23" fillId="0" borderId="101" xfId="0" applyNumberFormat="1" applyFont="1" applyBorder="1" applyAlignment="1">
      <alignment wrapText="1"/>
    </xf>
    <xf numFmtId="3" fontId="19" fillId="0" borderId="53" xfId="0" applyNumberFormat="1" applyFont="1" applyBorder="1" applyAlignment="1">
      <alignment wrapText="1"/>
    </xf>
    <xf numFmtId="0" fontId="33" fillId="0" borderId="55" xfId="0" applyFont="1" applyFill="1" applyBorder="1" applyAlignment="1">
      <alignment/>
    </xf>
    <xf numFmtId="3" fontId="19" fillId="0" borderId="26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18" xfId="0" applyNumberFormat="1" applyFont="1" applyBorder="1" applyAlignment="1">
      <alignment/>
    </xf>
    <xf numFmtId="0" fontId="35" fillId="0" borderId="74" xfId="0" applyFont="1" applyBorder="1" applyAlignment="1">
      <alignment/>
    </xf>
    <xf numFmtId="0" fontId="35" fillId="0" borderId="52" xfId="0" applyFont="1" applyBorder="1" applyAlignment="1">
      <alignment/>
    </xf>
    <xf numFmtId="0" fontId="35" fillId="0" borderId="100" xfId="0" applyFont="1" applyBorder="1" applyAlignment="1">
      <alignment/>
    </xf>
    <xf numFmtId="164" fontId="35" fillId="0" borderId="73" xfId="0" applyNumberFormat="1" applyFont="1" applyBorder="1" applyAlignment="1">
      <alignment/>
    </xf>
    <xf numFmtId="164" fontId="33" fillId="0" borderId="73" xfId="0" applyNumberFormat="1" applyFont="1" applyBorder="1" applyAlignment="1">
      <alignment wrapText="1"/>
    </xf>
    <xf numFmtId="3" fontId="0" fillId="0" borderId="53" xfId="0" applyNumberFormat="1" applyBorder="1" applyAlignment="1">
      <alignment/>
    </xf>
    <xf numFmtId="0" fontId="19" fillId="0" borderId="151" xfId="0" applyFont="1" applyBorder="1" applyAlignment="1">
      <alignment wrapText="1"/>
    </xf>
    <xf numFmtId="0" fontId="74" fillId="0" borderId="0" xfId="0" applyFont="1" applyBorder="1" applyAlignment="1">
      <alignment/>
    </xf>
    <xf numFmtId="0" fontId="75" fillId="0" borderId="97" xfId="0" applyFont="1" applyBorder="1" applyAlignment="1">
      <alignment wrapText="1"/>
    </xf>
    <xf numFmtId="0" fontId="50" fillId="0" borderId="42" xfId="0" applyFont="1" applyBorder="1" applyAlignment="1">
      <alignment horizontal="center"/>
    </xf>
    <xf numFmtId="0" fontId="35" fillId="0" borderId="36" xfId="0" applyNumberFormat="1" applyFont="1" applyBorder="1" applyAlignment="1">
      <alignment horizontal="left"/>
    </xf>
    <xf numFmtId="0" fontId="35" fillId="0" borderId="72" xfId="0" applyFont="1" applyBorder="1" applyAlignment="1">
      <alignment horizontal="center"/>
    </xf>
    <xf numFmtId="0" fontId="50" fillId="0" borderId="157" xfId="0" applyFont="1" applyBorder="1" applyAlignment="1">
      <alignment horizontal="center"/>
    </xf>
    <xf numFmtId="0" fontId="35" fillId="0" borderId="147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14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67" xfId="0" applyFont="1" applyFill="1" applyBorder="1" applyAlignment="1">
      <alignment wrapText="1"/>
    </xf>
    <xf numFmtId="3" fontId="19" fillId="0" borderId="268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33" fillId="0" borderId="100" xfId="0" applyFont="1" applyBorder="1" applyAlignment="1">
      <alignment/>
    </xf>
    <xf numFmtId="164" fontId="50" fillId="0" borderId="64" xfId="0" applyNumberFormat="1" applyFont="1" applyBorder="1" applyAlignment="1">
      <alignment wrapText="1"/>
    </xf>
    <xf numFmtId="164" fontId="33" fillId="0" borderId="55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0" fontId="35" fillId="0" borderId="99" xfId="0" applyFont="1" applyBorder="1" applyAlignment="1">
      <alignment/>
    </xf>
    <xf numFmtId="0" fontId="23" fillId="24" borderId="56" xfId="0" applyFont="1" applyFill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139" xfId="0" applyNumberFormat="1" applyFont="1" applyBorder="1" applyAlignment="1">
      <alignment/>
    </xf>
    <xf numFmtId="164" fontId="35" fillId="0" borderId="209" xfId="0" applyNumberFormat="1" applyFont="1" applyBorder="1" applyAlignment="1">
      <alignment wrapText="1"/>
    </xf>
    <xf numFmtId="3" fontId="19" fillId="0" borderId="269" xfId="0" applyNumberFormat="1" applyFont="1" applyBorder="1" applyAlignment="1">
      <alignment/>
    </xf>
    <xf numFmtId="3" fontId="19" fillId="0" borderId="270" xfId="0" applyNumberFormat="1" applyFont="1" applyBorder="1" applyAlignment="1">
      <alignment/>
    </xf>
    <xf numFmtId="164" fontId="33" fillId="0" borderId="216" xfId="0" applyNumberFormat="1" applyFont="1" applyBorder="1" applyAlignment="1">
      <alignment wrapText="1"/>
    </xf>
    <xf numFmtId="0" fontId="19" fillId="0" borderId="103" xfId="0" applyFont="1" applyFill="1" applyBorder="1" applyAlignment="1">
      <alignment/>
    </xf>
    <xf numFmtId="0" fontId="23" fillId="0" borderId="205" xfId="0" applyFont="1" applyBorder="1" applyAlignment="1">
      <alignment horizontal="center" wrapText="1"/>
    </xf>
    <xf numFmtId="0" fontId="50" fillId="0" borderId="104" xfId="0" applyFont="1" applyBorder="1" applyAlignment="1">
      <alignment horizontal="center"/>
    </xf>
    <xf numFmtId="3" fontId="19" fillId="0" borderId="59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/>
    </xf>
    <xf numFmtId="0" fontId="19" fillId="0" borderId="12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1" xfId="0" applyNumberFormat="1" applyFont="1" applyBorder="1" applyAlignment="1">
      <alignment/>
    </xf>
    <xf numFmtId="0" fontId="23" fillId="0" borderId="83" xfId="0" applyFont="1" applyBorder="1" applyAlignment="1">
      <alignment/>
    </xf>
    <xf numFmtId="0" fontId="19" fillId="0" borderId="64" xfId="0" applyFont="1" applyBorder="1" applyAlignment="1">
      <alignment wrapText="1"/>
    </xf>
    <xf numFmtId="0" fontId="63" fillId="0" borderId="255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Alignment="1">
      <alignment/>
    </xf>
    <xf numFmtId="3" fontId="0" fillId="0" borderId="219" xfId="0" applyNumberFormat="1" applyBorder="1" applyAlignment="1">
      <alignment/>
    </xf>
    <xf numFmtId="3" fontId="0" fillId="0" borderId="271" xfId="0" applyNumberFormat="1" applyBorder="1" applyAlignment="1">
      <alignment/>
    </xf>
    <xf numFmtId="0" fontId="63" fillId="0" borderId="224" xfId="0" applyFont="1" applyBorder="1" applyAlignment="1">
      <alignment horizontal="center"/>
    </xf>
    <xf numFmtId="4" fontId="19" fillId="0" borderId="52" xfId="0" applyNumberFormat="1" applyFont="1" applyBorder="1" applyAlignment="1">
      <alignment/>
    </xf>
    <xf numFmtId="4" fontId="19" fillId="0" borderId="122" xfId="0" applyNumberFormat="1" applyFont="1" applyBorder="1" applyAlignment="1">
      <alignment/>
    </xf>
    <xf numFmtId="0" fontId="33" fillId="0" borderId="172" xfId="0" applyFont="1" applyBorder="1" applyAlignment="1">
      <alignment horizontal="center" wrapText="1"/>
    </xf>
    <xf numFmtId="0" fontId="35" fillId="0" borderId="172" xfId="0" applyFont="1" applyBorder="1" applyAlignment="1">
      <alignment horizontal="right"/>
    </xf>
    <xf numFmtId="0" fontId="35" fillId="0" borderId="123" xfId="0" applyFont="1" applyFill="1" applyBorder="1" applyAlignment="1">
      <alignment horizontal="right"/>
    </xf>
    <xf numFmtId="0" fontId="35" fillId="0" borderId="68" xfId="0" applyFont="1" applyFill="1" applyBorder="1" applyAlignment="1">
      <alignment horizontal="right"/>
    </xf>
    <xf numFmtId="0" fontId="23" fillId="0" borderId="53" xfId="0" applyFont="1" applyFill="1" applyBorder="1" applyAlignment="1">
      <alignment horizontal="left"/>
    </xf>
    <xf numFmtId="0" fontId="19" fillId="0" borderId="122" xfId="0" applyFont="1" applyBorder="1" applyAlignment="1">
      <alignment/>
    </xf>
    <xf numFmtId="0" fontId="21" fillId="0" borderId="64" xfId="0" applyFont="1" applyBorder="1" applyAlignment="1">
      <alignment horizontal="center"/>
    </xf>
    <xf numFmtId="0" fontId="35" fillId="0" borderId="104" xfId="0" applyFont="1" applyBorder="1" applyAlignment="1">
      <alignment horizontal="right"/>
    </xf>
    <xf numFmtId="0" fontId="50" fillId="0" borderId="56" xfId="0" applyFont="1" applyBorder="1" applyAlignment="1">
      <alignment/>
    </xf>
    <xf numFmtId="0" fontId="23" fillId="0" borderId="20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right"/>
    </xf>
    <xf numFmtId="0" fontId="23" fillId="0" borderId="10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35" fillId="0" borderId="104" xfId="0" applyFont="1" applyBorder="1" applyAlignment="1">
      <alignment/>
    </xf>
    <xf numFmtId="0" fontId="0" fillId="0" borderId="60" xfId="0" applyBorder="1" applyAlignment="1">
      <alignment/>
    </xf>
    <xf numFmtId="14" fontId="19" fillId="0" borderId="54" xfId="0" applyNumberFormat="1" applyFont="1" applyBorder="1" applyAlignment="1">
      <alignment/>
    </xf>
    <xf numFmtId="3" fontId="23" fillId="0" borderId="150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6" xfId="0" applyFont="1" applyFill="1" applyBorder="1" applyAlignment="1">
      <alignment/>
    </xf>
    <xf numFmtId="0" fontId="23" fillId="0" borderId="112" xfId="0" applyFont="1" applyFill="1" applyBorder="1" applyAlignment="1">
      <alignment horizontal="center"/>
    </xf>
    <xf numFmtId="0" fontId="19" fillId="0" borderId="77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50" fillId="0" borderId="111" xfId="0" applyFont="1" applyFill="1" applyBorder="1" applyAlignment="1">
      <alignment horizontal="center"/>
    </xf>
    <xf numFmtId="0" fontId="50" fillId="0" borderId="139" xfId="0" applyFont="1" applyFill="1" applyBorder="1" applyAlignment="1">
      <alignment horizontal="center"/>
    </xf>
    <xf numFmtId="3" fontId="19" fillId="0" borderId="209" xfId="0" applyNumberFormat="1" applyFont="1" applyFill="1" applyBorder="1" applyAlignment="1">
      <alignment horizontal="right"/>
    </xf>
    <xf numFmtId="3" fontId="19" fillId="0" borderId="99" xfId="0" applyNumberFormat="1" applyFont="1" applyFill="1" applyBorder="1" applyAlignment="1">
      <alignment horizontal="right"/>
    </xf>
    <xf numFmtId="3" fontId="19" fillId="0" borderId="73" xfId="0" applyNumberFormat="1" applyFont="1" applyFill="1" applyBorder="1" applyAlignment="1">
      <alignment horizontal="right"/>
    </xf>
    <xf numFmtId="3" fontId="19" fillId="0" borderId="100" xfId="0" applyNumberFormat="1" applyFont="1" applyFill="1" applyBorder="1" applyAlignment="1">
      <alignment horizontal="right"/>
    </xf>
    <xf numFmtId="0" fontId="23" fillId="0" borderId="205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19" fillId="0" borderId="59" xfId="0" applyFont="1" applyFill="1" applyBorder="1" applyAlignment="1">
      <alignment/>
    </xf>
    <xf numFmtId="0" fontId="23" fillId="0" borderId="59" xfId="0" applyFont="1" applyBorder="1" applyAlignment="1">
      <alignment horizontal="center"/>
    </xf>
    <xf numFmtId="0" fontId="33" fillId="0" borderId="61" xfId="0" applyFont="1" applyBorder="1" applyAlignment="1">
      <alignment/>
    </xf>
    <xf numFmtId="0" fontId="33" fillId="0" borderId="59" xfId="0" applyFont="1" applyBorder="1" applyAlignment="1">
      <alignment/>
    </xf>
    <xf numFmtId="0" fontId="35" fillId="0" borderId="101" xfId="0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35" fillId="0" borderId="66" xfId="0" applyFont="1" applyFill="1" applyBorder="1" applyAlignment="1">
      <alignment horizontal="right"/>
    </xf>
    <xf numFmtId="3" fontId="19" fillId="0" borderId="64" xfId="0" applyNumberFormat="1" applyFont="1" applyFill="1" applyBorder="1" applyAlignment="1">
      <alignment horizontal="right"/>
    </xf>
    <xf numFmtId="3" fontId="29" fillId="0" borderId="68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0" fontId="33" fillId="0" borderId="123" xfId="0" applyFont="1" applyBorder="1" applyAlignment="1">
      <alignment vertical="center" wrapText="1"/>
    </xf>
    <xf numFmtId="0" fontId="33" fillId="0" borderId="68" xfId="0" applyFont="1" applyBorder="1" applyAlignment="1">
      <alignment vertical="center" wrapText="1"/>
    </xf>
    <xf numFmtId="0" fontId="33" fillId="0" borderId="120" xfId="0" applyFont="1" applyBorder="1" applyAlignment="1">
      <alignment vertical="center" wrapText="1"/>
    </xf>
    <xf numFmtId="0" fontId="19" fillId="0" borderId="120" xfId="0" applyFont="1" applyBorder="1" applyAlignment="1">
      <alignment wrapText="1"/>
    </xf>
    <xf numFmtId="3" fontId="29" fillId="0" borderId="123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164" fontId="35" fillId="0" borderId="99" xfId="0" applyNumberFormat="1" applyFont="1" applyBorder="1" applyAlignment="1">
      <alignment wrapText="1"/>
    </xf>
    <xf numFmtId="3" fontId="31" fillId="0" borderId="56" xfId="0" applyNumberFormat="1" applyFont="1" applyBorder="1" applyAlignment="1">
      <alignment/>
    </xf>
    <xf numFmtId="3" fontId="31" fillId="0" borderId="123" xfId="0" applyNumberFormat="1" applyFont="1" applyBorder="1" applyAlignment="1">
      <alignment horizontal="right" vertical="center" wrapText="1"/>
    </xf>
    <xf numFmtId="3" fontId="33" fillId="0" borderId="212" xfId="0" applyNumberFormat="1" applyFont="1" applyBorder="1" applyAlignment="1">
      <alignment/>
    </xf>
    <xf numFmtId="3" fontId="23" fillId="0" borderId="209" xfId="0" applyNumberFormat="1" applyFont="1" applyBorder="1" applyAlignment="1">
      <alignment/>
    </xf>
    <xf numFmtId="0" fontId="31" fillId="0" borderId="172" xfId="0" applyFont="1" applyBorder="1" applyAlignment="1">
      <alignment vertical="center"/>
    </xf>
    <xf numFmtId="0" fontId="50" fillId="0" borderId="123" xfId="0" applyFont="1" applyBorder="1" applyAlignment="1">
      <alignment vertical="center"/>
    </xf>
    <xf numFmtId="0" fontId="35" fillId="0" borderId="54" xfId="0" applyFont="1" applyBorder="1" applyAlignment="1">
      <alignment/>
    </xf>
    <xf numFmtId="0" fontId="35" fillId="0" borderId="103" xfId="0" applyFont="1" applyFill="1" applyBorder="1" applyAlignment="1">
      <alignment/>
    </xf>
    <xf numFmtId="0" fontId="35" fillId="0" borderId="68" xfId="0" applyFont="1" applyFill="1" applyBorder="1" applyAlignment="1">
      <alignment/>
    </xf>
    <xf numFmtId="0" fontId="35" fillId="0" borderId="120" xfId="0" applyFont="1" applyFill="1" applyBorder="1" applyAlignment="1">
      <alignment/>
    </xf>
    <xf numFmtId="0" fontId="35" fillId="0" borderId="63" xfId="0" applyFont="1" applyFill="1" applyBorder="1" applyAlignment="1">
      <alignment/>
    </xf>
    <xf numFmtId="164" fontId="35" fillId="0" borderId="73" xfId="0" applyNumberFormat="1" applyFont="1" applyBorder="1" applyAlignment="1">
      <alignment wrapText="1"/>
    </xf>
    <xf numFmtId="0" fontId="50" fillId="0" borderId="41" xfId="0" applyFont="1" applyBorder="1" applyAlignment="1">
      <alignment/>
    </xf>
    <xf numFmtId="0" fontId="50" fillId="24" borderId="56" xfId="0" applyFont="1" applyFill="1" applyBorder="1" applyAlignment="1">
      <alignment/>
    </xf>
    <xf numFmtId="0" fontId="31" fillId="0" borderId="56" xfId="0" applyFont="1" applyBorder="1" applyAlignment="1">
      <alignment wrapText="1"/>
    </xf>
    <xf numFmtId="3" fontId="23" fillId="0" borderId="35" xfId="0" applyNumberFormat="1" applyFont="1" applyBorder="1" applyAlignment="1">
      <alignment/>
    </xf>
    <xf numFmtId="3" fontId="23" fillId="0" borderId="250" xfId="0" applyNumberFormat="1" applyFont="1" applyBorder="1" applyAlignment="1">
      <alignment/>
    </xf>
    <xf numFmtId="164" fontId="33" fillId="0" borderId="100" xfId="0" applyNumberFormat="1" applyFont="1" applyBorder="1" applyAlignment="1">
      <alignment wrapText="1"/>
    </xf>
    <xf numFmtId="0" fontId="23" fillId="0" borderId="272" xfId="0" applyFont="1" applyBorder="1" applyAlignment="1">
      <alignment horizontal="center"/>
    </xf>
    <xf numFmtId="0" fontId="31" fillId="0" borderId="272" xfId="0" applyFont="1" applyBorder="1" applyAlignment="1">
      <alignment/>
    </xf>
    <xf numFmtId="3" fontId="23" fillId="0" borderId="272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0" fontId="35" fillId="0" borderId="41" xfId="0" applyFont="1" applyBorder="1" applyAlignment="1">
      <alignment/>
    </xf>
    <xf numFmtId="164" fontId="50" fillId="0" borderId="56" xfId="0" applyNumberFormat="1" applyFont="1" applyBorder="1" applyAlignment="1">
      <alignment wrapText="1"/>
    </xf>
    <xf numFmtId="164" fontId="35" fillId="0" borderId="41" xfId="0" applyNumberFormat="1" applyFont="1" applyBorder="1" applyAlignment="1">
      <alignment wrapText="1"/>
    </xf>
    <xf numFmtId="164" fontId="33" fillId="0" borderId="103" xfId="0" applyNumberFormat="1" applyFont="1" applyBorder="1" applyAlignment="1">
      <alignment wrapText="1"/>
    </xf>
    <xf numFmtId="0" fontId="31" fillId="0" borderId="273" xfId="0" applyFont="1" applyBorder="1" applyAlignment="1">
      <alignment/>
    </xf>
    <xf numFmtId="0" fontId="35" fillId="0" borderId="0" xfId="0" applyFont="1" applyBorder="1" applyAlignment="1">
      <alignment/>
    </xf>
    <xf numFmtId="3" fontId="31" fillId="0" borderId="72" xfId="0" applyNumberFormat="1" applyFont="1" applyBorder="1" applyAlignment="1">
      <alignment horizontal="right" vertical="center" wrapText="1"/>
    </xf>
    <xf numFmtId="3" fontId="31" fillId="0" borderId="46" xfId="0" applyNumberFormat="1" applyFont="1" applyBorder="1" applyAlignment="1">
      <alignment horizontal="right" vertical="center" wrapText="1"/>
    </xf>
    <xf numFmtId="0" fontId="50" fillId="0" borderId="64" xfId="0" applyFont="1" applyBorder="1" applyAlignment="1">
      <alignment horizontal="center" vertical="center"/>
    </xf>
    <xf numFmtId="0" fontId="50" fillId="0" borderId="109" xfId="0" applyFont="1" applyBorder="1" applyAlignment="1">
      <alignment horizontal="center" wrapText="1"/>
    </xf>
    <xf numFmtId="0" fontId="50" fillId="0" borderId="107" xfId="0" applyFont="1" applyBorder="1" applyAlignment="1">
      <alignment horizontal="center" wrapText="1"/>
    </xf>
    <xf numFmtId="0" fontId="50" fillId="0" borderId="72" xfId="0" applyFont="1" applyBorder="1" applyAlignment="1">
      <alignment horizontal="center" wrapText="1"/>
    </xf>
    <xf numFmtId="0" fontId="35" fillId="0" borderId="41" xfId="0" applyFont="1" applyBorder="1" applyAlignment="1">
      <alignment/>
    </xf>
    <xf numFmtId="3" fontId="31" fillId="0" borderId="120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3" fontId="31" fillId="0" borderId="104" xfId="0" applyNumberFormat="1" applyFont="1" applyBorder="1" applyAlignment="1">
      <alignment/>
    </xf>
    <xf numFmtId="3" fontId="31" fillId="0" borderId="101" xfId="0" applyNumberFormat="1" applyFont="1" applyBorder="1" applyAlignment="1">
      <alignment/>
    </xf>
    <xf numFmtId="3" fontId="33" fillId="0" borderId="68" xfId="0" applyNumberFormat="1" applyFont="1" applyBorder="1" applyAlignment="1">
      <alignment/>
    </xf>
    <xf numFmtId="3" fontId="33" fillId="0" borderId="52" xfId="0" applyNumberFormat="1" applyFont="1" applyBorder="1" applyAlignment="1">
      <alignment/>
    </xf>
    <xf numFmtId="3" fontId="33" fillId="0" borderId="59" xfId="0" applyNumberFormat="1" applyFont="1" applyBorder="1" applyAlignment="1">
      <alignment/>
    </xf>
    <xf numFmtId="3" fontId="31" fillId="0" borderId="68" xfId="0" applyNumberFormat="1" applyFont="1" applyBorder="1" applyAlignment="1">
      <alignment/>
    </xf>
    <xf numFmtId="3" fontId="31" fillId="0" borderId="52" xfId="0" applyNumberFormat="1" applyFont="1" applyBorder="1" applyAlignment="1">
      <alignment/>
    </xf>
    <xf numFmtId="3" fontId="31" fillId="0" borderId="59" xfId="0" applyNumberFormat="1" applyFont="1" applyBorder="1" applyAlignment="1">
      <alignment/>
    </xf>
    <xf numFmtId="3" fontId="33" fillId="0" borderId="120" xfId="0" applyNumberFormat="1" applyFont="1" applyBorder="1" applyAlignment="1">
      <alignment/>
    </xf>
    <xf numFmtId="3" fontId="33" fillId="0" borderId="63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31" fillId="0" borderId="56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3" fillId="0" borderId="123" xfId="0" applyNumberFormat="1" applyFont="1" applyBorder="1" applyAlignment="1">
      <alignment/>
    </xf>
    <xf numFmtId="3" fontId="33" fillId="0" borderId="65" xfId="0" applyNumberFormat="1" applyFont="1" applyBorder="1" applyAlignment="1">
      <alignment/>
    </xf>
    <xf numFmtId="3" fontId="31" fillId="0" borderId="123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1" fillId="0" borderId="273" xfId="0" applyNumberFormat="1" applyFont="1" applyBorder="1" applyAlignment="1">
      <alignment/>
    </xf>
    <xf numFmtId="3" fontId="31" fillId="0" borderId="272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19" fillId="24" borderId="43" xfId="0" applyNumberFormat="1" applyFont="1" applyFill="1" applyBorder="1" applyAlignment="1">
      <alignment/>
    </xf>
    <xf numFmtId="0" fontId="35" fillId="24" borderId="68" xfId="0" applyFont="1" applyFill="1" applyBorder="1" applyAlignment="1">
      <alignment wrapText="1"/>
    </xf>
    <xf numFmtId="3" fontId="19" fillId="0" borderId="65" xfId="56" applyNumberFormat="1" applyFont="1" applyBorder="1" applyProtection="1">
      <alignment/>
      <protection/>
    </xf>
    <xf numFmtId="0" fontId="19" fillId="0" borderId="60" xfId="56" applyFont="1" applyBorder="1" applyProtection="1">
      <alignment/>
      <protection/>
    </xf>
    <xf numFmtId="0" fontId="35" fillId="0" borderId="162" xfId="0" applyFont="1" applyFill="1" applyBorder="1" applyAlignment="1">
      <alignment horizontal="right"/>
    </xf>
    <xf numFmtId="0" fontId="23" fillId="0" borderId="93" xfId="56" applyFont="1" applyBorder="1" applyProtection="1">
      <alignment/>
      <protection/>
    </xf>
    <xf numFmtId="3" fontId="23" fillId="0" borderId="254" xfId="56" applyNumberFormat="1" applyFont="1" applyBorder="1" applyProtection="1">
      <alignment/>
      <protection/>
    </xf>
    <xf numFmtId="3" fontId="23" fillId="0" borderId="178" xfId="56" applyNumberFormat="1" applyFont="1" applyBorder="1" applyProtection="1">
      <alignment/>
      <protection/>
    </xf>
    <xf numFmtId="3" fontId="23" fillId="0" borderId="101" xfId="56" applyNumberFormat="1" applyFont="1" applyBorder="1" applyProtection="1">
      <alignment/>
      <protection/>
    </xf>
    <xf numFmtId="3" fontId="23" fillId="0" borderId="52" xfId="56" applyNumberFormat="1" applyFont="1" applyBorder="1" applyProtection="1">
      <alignment/>
      <protection/>
    </xf>
    <xf numFmtId="3" fontId="23" fillId="0" borderId="65" xfId="56" applyNumberFormat="1" applyFont="1" applyBorder="1" applyProtection="1">
      <alignment/>
      <protection/>
    </xf>
    <xf numFmtId="3" fontId="19" fillId="0" borderId="53" xfId="56" applyNumberFormat="1" applyFont="1" applyBorder="1" applyProtection="1">
      <alignment/>
      <protection/>
    </xf>
    <xf numFmtId="0" fontId="23" fillId="0" borderId="274" xfId="56" applyFont="1" applyBorder="1" applyProtection="1">
      <alignment/>
      <protection/>
    </xf>
    <xf numFmtId="0" fontId="33" fillId="0" borderId="67" xfId="56" applyFont="1" applyBorder="1" applyProtection="1">
      <alignment/>
      <protection/>
    </xf>
    <xf numFmtId="0" fontId="33" fillId="0" borderId="206" xfId="56" applyFont="1" applyBorder="1" applyAlignment="1" applyProtection="1">
      <alignment wrapText="1"/>
      <protection/>
    </xf>
    <xf numFmtId="0" fontId="33" fillId="0" borderId="47" xfId="56" applyFont="1" applyBorder="1" applyAlignment="1" applyProtection="1">
      <alignment wrapText="1"/>
      <protection/>
    </xf>
    <xf numFmtId="0" fontId="33" fillId="0" borderId="67" xfId="56" applyFont="1" applyBorder="1" applyAlignment="1" applyProtection="1">
      <alignment wrapText="1"/>
      <protection/>
    </xf>
    <xf numFmtId="0" fontId="33" fillId="0" borderId="165" xfId="56" applyFont="1" applyBorder="1" applyAlignment="1" applyProtection="1">
      <alignment wrapText="1"/>
      <protection/>
    </xf>
    <xf numFmtId="0" fontId="19" fillId="0" borderId="34" xfId="56" applyFont="1" applyBorder="1" applyProtection="1">
      <alignment/>
      <protection/>
    </xf>
    <xf numFmtId="3" fontId="19" fillId="0" borderId="34" xfId="56" applyNumberFormat="1" applyFont="1" applyBorder="1" applyProtection="1">
      <alignment/>
      <protection/>
    </xf>
    <xf numFmtId="3" fontId="19" fillId="0" borderId="27" xfId="56" applyNumberFormat="1" applyFont="1" applyBorder="1" applyProtection="1">
      <alignment/>
      <protection/>
    </xf>
    <xf numFmtId="3" fontId="19" fillId="0" borderId="17" xfId="56" applyNumberFormat="1" applyFont="1" applyBorder="1" applyProtection="1">
      <alignment/>
      <protection/>
    </xf>
    <xf numFmtId="3" fontId="23" fillId="0" borderId="26" xfId="56" applyNumberFormat="1" applyFont="1" applyBorder="1" applyProtection="1">
      <alignment/>
      <protection/>
    </xf>
    <xf numFmtId="3" fontId="23" fillId="0" borderId="275" xfId="56" applyNumberFormat="1" applyFont="1" applyBorder="1" applyProtection="1">
      <alignment/>
      <protection/>
    </xf>
    <xf numFmtId="3" fontId="19" fillId="0" borderId="256" xfId="56" applyNumberFormat="1" applyFont="1" applyBorder="1" applyProtection="1">
      <alignment/>
      <protection/>
    </xf>
    <xf numFmtId="3" fontId="19" fillId="0" borderId="228" xfId="56" applyNumberFormat="1" applyFont="1" applyBorder="1" applyProtection="1">
      <alignment/>
      <protection/>
    </xf>
    <xf numFmtId="3" fontId="19" fillId="0" borderId="87" xfId="56" applyNumberFormat="1" applyFont="1" applyBorder="1" applyProtection="1">
      <alignment/>
      <protection/>
    </xf>
    <xf numFmtId="3" fontId="23" fillId="0" borderId="142" xfId="56" applyNumberFormat="1" applyFont="1" applyBorder="1" applyProtection="1">
      <alignment/>
      <protection/>
    </xf>
    <xf numFmtId="0" fontId="19" fillId="0" borderId="209" xfId="56" applyFont="1" applyBorder="1" applyProtection="1">
      <alignment/>
      <protection/>
    </xf>
    <xf numFmtId="0" fontId="19" fillId="0" borderId="99" xfId="56" applyFont="1" applyBorder="1" applyProtection="1">
      <alignment/>
      <protection/>
    </xf>
    <xf numFmtId="0" fontId="19" fillId="0" borderId="66" xfId="0" applyFont="1" applyFill="1" applyBorder="1" applyAlignment="1">
      <alignment/>
    </xf>
    <xf numFmtId="0" fontId="19" fillId="0" borderId="73" xfId="56" applyFont="1" applyBorder="1" applyProtection="1">
      <alignment/>
      <protection/>
    </xf>
    <xf numFmtId="0" fontId="23" fillId="0" borderId="98" xfId="56" applyFont="1" applyBorder="1" applyProtection="1">
      <alignment/>
      <protection/>
    </xf>
    <xf numFmtId="0" fontId="33" fillId="0" borderId="65" xfId="56" applyFont="1" applyBorder="1" applyAlignment="1" applyProtection="1">
      <alignment wrapText="1"/>
      <protection/>
    </xf>
    <xf numFmtId="0" fontId="33" fillId="0" borderId="52" xfId="56" applyFont="1" applyBorder="1" applyAlignment="1" applyProtection="1">
      <alignment wrapText="1"/>
      <protection/>
    </xf>
    <xf numFmtId="0" fontId="33" fillId="0" borderId="99" xfId="56" applyFont="1" applyBorder="1" applyProtection="1">
      <alignment/>
      <protection/>
    </xf>
    <xf numFmtId="0" fontId="23" fillId="0" borderId="64" xfId="56" applyFont="1" applyBorder="1" applyProtection="1">
      <alignment/>
      <protection/>
    </xf>
    <xf numFmtId="0" fontId="19" fillId="0" borderId="24" xfId="56" applyFont="1" applyBorder="1" applyProtection="1">
      <alignment/>
      <protection/>
    </xf>
    <xf numFmtId="0" fontId="35" fillId="0" borderId="46" xfId="0" applyFont="1" applyBorder="1" applyAlignment="1">
      <alignment horizontal="right"/>
    </xf>
    <xf numFmtId="0" fontId="19" fillId="0" borderId="121" xfId="56" applyFont="1" applyBorder="1" applyProtection="1">
      <alignment/>
      <protection/>
    </xf>
    <xf numFmtId="3" fontId="19" fillId="0" borderId="152" xfId="56" applyNumberFormat="1" applyFont="1" applyBorder="1" applyProtection="1">
      <alignment/>
      <protection/>
    </xf>
    <xf numFmtId="0" fontId="19" fillId="0" borderId="22" xfId="56" applyFont="1" applyBorder="1" applyProtection="1">
      <alignment/>
      <protection/>
    </xf>
    <xf numFmtId="0" fontId="50" fillId="0" borderId="64" xfId="56" applyFont="1" applyBorder="1" applyProtection="1">
      <alignment/>
      <protection/>
    </xf>
    <xf numFmtId="0" fontId="50" fillId="0" borderId="92" xfId="56" applyFont="1" applyBorder="1" applyProtection="1">
      <alignment/>
      <protection/>
    </xf>
    <xf numFmtId="3" fontId="19" fillId="0" borderId="73" xfId="56" applyNumberFormat="1" applyFont="1" applyBorder="1" applyProtection="1">
      <alignment/>
      <protection/>
    </xf>
    <xf numFmtId="0" fontId="35" fillId="0" borderId="276" xfId="56" applyFont="1" applyBorder="1" applyAlignment="1" applyProtection="1">
      <alignment wrapText="1"/>
      <protection/>
    </xf>
    <xf numFmtId="0" fontId="19" fillId="0" borderId="269" xfId="56" applyFont="1" applyBorder="1" applyProtection="1">
      <alignment/>
      <protection/>
    </xf>
    <xf numFmtId="3" fontId="29" fillId="0" borderId="65" xfId="0" applyNumberFormat="1" applyFont="1" applyBorder="1" applyAlignment="1">
      <alignment/>
    </xf>
    <xf numFmtId="3" fontId="23" fillId="0" borderId="118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164" fontId="33" fillId="0" borderId="172" xfId="0" applyNumberFormat="1" applyFont="1" applyBorder="1" applyAlignment="1">
      <alignment wrapText="1"/>
    </xf>
    <xf numFmtId="3" fontId="19" fillId="0" borderId="139" xfId="0" applyNumberFormat="1" applyFont="1" applyBorder="1" applyAlignment="1">
      <alignment/>
    </xf>
    <xf numFmtId="0" fontId="31" fillId="24" borderId="56" xfId="0" applyFont="1" applyFill="1" applyBorder="1" applyAlignment="1">
      <alignment/>
    </xf>
    <xf numFmtId="3" fontId="19" fillId="0" borderId="277" xfId="0" applyNumberFormat="1" applyFont="1" applyBorder="1" applyAlignment="1">
      <alignment/>
    </xf>
    <xf numFmtId="3" fontId="19" fillId="0" borderId="205" xfId="0" applyNumberFormat="1" applyFont="1" applyBorder="1" applyAlignment="1">
      <alignment/>
    </xf>
    <xf numFmtId="0" fontId="23" fillId="0" borderId="107" xfId="0" applyFont="1" applyBorder="1" applyAlignment="1">
      <alignment wrapText="1"/>
    </xf>
    <xf numFmtId="0" fontId="23" fillId="0" borderId="172" xfId="0" applyFont="1" applyBorder="1" applyAlignment="1">
      <alignment/>
    </xf>
    <xf numFmtId="3" fontId="19" fillId="24" borderId="278" xfId="0" applyNumberFormat="1" applyFont="1" applyFill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175" xfId="0" applyNumberFormat="1" applyFont="1" applyBorder="1" applyAlignment="1">
      <alignment/>
    </xf>
    <xf numFmtId="3" fontId="23" fillId="24" borderId="24" xfId="0" applyNumberFormat="1" applyFont="1" applyFill="1" applyBorder="1" applyAlignment="1">
      <alignment/>
    </xf>
    <xf numFmtId="3" fontId="23" fillId="24" borderId="55" xfId="0" applyNumberFormat="1" applyFont="1" applyFill="1" applyBorder="1" applyAlignment="1">
      <alignment/>
    </xf>
    <xf numFmtId="0" fontId="50" fillId="0" borderId="77" xfId="0" applyFont="1" applyBorder="1" applyAlignment="1">
      <alignment horizontal="center"/>
    </xf>
    <xf numFmtId="0" fontId="50" fillId="0" borderId="51" xfId="0" applyFont="1" applyBorder="1" applyAlignment="1">
      <alignment horizontal="center" wrapText="1"/>
    </xf>
    <xf numFmtId="0" fontId="50" fillId="0" borderId="86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72" xfId="0" applyNumberFormat="1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3" fontId="19" fillId="0" borderId="279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73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50" xfId="0" applyNumberFormat="1" applyFont="1" applyBorder="1" applyAlignment="1">
      <alignment/>
    </xf>
    <xf numFmtId="3" fontId="23" fillId="0" borderId="62" xfId="40" applyNumberFormat="1" applyFont="1" applyFill="1" applyBorder="1" applyAlignment="1" applyProtection="1">
      <alignment horizontal="right"/>
      <protection/>
    </xf>
    <xf numFmtId="3" fontId="23" fillId="0" borderId="106" xfId="40" applyNumberFormat="1" applyFont="1" applyFill="1" applyBorder="1" applyAlignment="1" applyProtection="1">
      <alignment horizontal="right"/>
      <protection/>
    </xf>
    <xf numFmtId="3" fontId="23" fillId="0" borderId="59" xfId="40" applyNumberFormat="1" applyFont="1" applyFill="1" applyBorder="1" applyAlignment="1" applyProtection="1">
      <alignment horizontal="right"/>
      <protection/>
    </xf>
    <xf numFmtId="3" fontId="19" fillId="0" borderId="59" xfId="40" applyNumberFormat="1" applyFont="1" applyFill="1" applyBorder="1" applyAlignment="1" applyProtection="1">
      <alignment horizontal="right"/>
      <protection/>
    </xf>
    <xf numFmtId="3" fontId="19" fillId="0" borderId="61" xfId="40" applyNumberFormat="1" applyFont="1" applyFill="1" applyBorder="1" applyAlignment="1" applyProtection="1">
      <alignment horizontal="right"/>
      <protection/>
    </xf>
    <xf numFmtId="3" fontId="19" fillId="0" borderId="173" xfId="40" applyNumberFormat="1" applyFont="1" applyFill="1" applyBorder="1" applyAlignment="1" applyProtection="1">
      <alignment horizontal="right"/>
      <protection/>
    </xf>
    <xf numFmtId="3" fontId="23" fillId="0" borderId="80" xfId="40" applyNumberFormat="1" applyFont="1" applyFill="1" applyBorder="1" applyAlignment="1" applyProtection="1">
      <alignment horizontal="right"/>
      <protection/>
    </xf>
    <xf numFmtId="3" fontId="23" fillId="0" borderId="94" xfId="40" applyNumberFormat="1" applyFont="1" applyFill="1" applyBorder="1" applyAlignment="1" applyProtection="1">
      <alignment horizontal="right"/>
      <protection/>
    </xf>
    <xf numFmtId="0" fontId="23" fillId="0" borderId="98" xfId="0" applyFont="1" applyBorder="1" applyAlignment="1">
      <alignment/>
    </xf>
    <xf numFmtId="0" fontId="43" fillId="0" borderId="52" xfId="0" applyFont="1" applyBorder="1" applyAlignment="1">
      <alignment/>
    </xf>
    <xf numFmtId="0" fontId="23" fillId="0" borderId="99" xfId="0" applyFont="1" applyBorder="1" applyAlignment="1">
      <alignment/>
    </xf>
    <xf numFmtId="3" fontId="19" fillId="0" borderId="73" xfId="40" applyNumberFormat="1" applyFont="1" applyFill="1" applyBorder="1" applyAlignment="1" applyProtection="1">
      <alignment/>
      <protection/>
    </xf>
    <xf numFmtId="3" fontId="23" fillId="0" borderId="73" xfId="40" applyNumberFormat="1" applyFont="1" applyFill="1" applyBorder="1" applyAlignment="1" applyProtection="1">
      <alignment/>
      <protection/>
    </xf>
    <xf numFmtId="3" fontId="19" fillId="0" borderId="99" xfId="40" applyNumberFormat="1" applyFont="1" applyFill="1" applyBorder="1" applyAlignment="1" applyProtection="1">
      <alignment/>
      <protection/>
    </xf>
    <xf numFmtId="3" fontId="23" fillId="0" borderId="74" xfId="40" applyNumberFormat="1" applyFont="1" applyFill="1" applyBorder="1" applyAlignment="1" applyProtection="1">
      <alignment/>
      <protection/>
    </xf>
    <xf numFmtId="0" fontId="23" fillId="0" borderId="41" xfId="0" applyFont="1" applyBorder="1" applyAlignment="1">
      <alignment vertical="center"/>
    </xf>
    <xf numFmtId="0" fontId="23" fillId="0" borderId="72" xfId="0" applyFont="1" applyBorder="1" applyAlignment="1">
      <alignment horizontal="center" vertical="center" wrapText="1"/>
    </xf>
    <xf numFmtId="0" fontId="59" fillId="0" borderId="145" xfId="0" applyFont="1" applyBorder="1" applyAlignment="1">
      <alignment horizontal="center"/>
    </xf>
    <xf numFmtId="0" fontId="19" fillId="0" borderId="215" xfId="0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39" xfId="0" applyNumberFormat="1" applyFont="1" applyFill="1" applyBorder="1" applyAlignment="1">
      <alignment horizontal="right"/>
    </xf>
    <xf numFmtId="3" fontId="35" fillId="0" borderId="279" xfId="0" applyNumberFormat="1" applyFont="1" applyFill="1" applyBorder="1" applyAlignment="1">
      <alignment horizontal="right"/>
    </xf>
    <xf numFmtId="3" fontId="35" fillId="0" borderId="250" xfId="0" applyNumberFormat="1" applyFont="1" applyFill="1" applyBorder="1" applyAlignment="1">
      <alignment horizontal="right"/>
    </xf>
    <xf numFmtId="0" fontId="23" fillId="24" borderId="215" xfId="0" applyFont="1" applyFill="1" applyBorder="1" applyAlignment="1">
      <alignment/>
    </xf>
    <xf numFmtId="0" fontId="23" fillId="24" borderId="219" xfId="0" applyFont="1" applyFill="1" applyBorder="1" applyAlignment="1">
      <alignment/>
    </xf>
    <xf numFmtId="0" fontId="23" fillId="0" borderId="219" xfId="0" applyFont="1" applyBorder="1" applyAlignment="1">
      <alignment/>
    </xf>
    <xf numFmtId="3" fontId="19" fillId="0" borderId="97" xfId="0" applyNumberFormat="1" applyFont="1" applyBorder="1" applyAlignment="1">
      <alignment/>
    </xf>
    <xf numFmtId="3" fontId="23" fillId="24" borderId="117" xfId="0" applyNumberFormat="1" applyFont="1" applyFill="1" applyBorder="1" applyAlignment="1">
      <alignment/>
    </xf>
    <xf numFmtId="3" fontId="23" fillId="24" borderId="175" xfId="0" applyNumberFormat="1" applyFont="1" applyFill="1" applyBorder="1" applyAlignment="1">
      <alignment/>
    </xf>
    <xf numFmtId="0" fontId="23" fillId="0" borderId="147" xfId="0" applyFont="1" applyBorder="1" applyAlignment="1">
      <alignment horizontal="center" wrapText="1"/>
    </xf>
    <xf numFmtId="3" fontId="23" fillId="0" borderId="280" xfId="0" applyNumberFormat="1" applyFont="1" applyBorder="1" applyAlignment="1">
      <alignment/>
    </xf>
    <xf numFmtId="0" fontId="23" fillId="0" borderId="72" xfId="0" applyFont="1" applyBorder="1" applyAlignment="1">
      <alignment horizontal="center" wrapText="1"/>
    </xf>
    <xf numFmtId="3" fontId="31" fillId="0" borderId="101" xfId="0" applyNumberFormat="1" applyFont="1" applyBorder="1" applyAlignment="1">
      <alignment horizontal="right" vertical="center" wrapText="1"/>
    </xf>
    <xf numFmtId="3" fontId="19" fillId="0" borderId="281" xfId="40" applyNumberFormat="1" applyFont="1" applyFill="1" applyBorder="1" applyAlignment="1" applyProtection="1">
      <alignment vertical="center"/>
      <protection/>
    </xf>
    <xf numFmtId="3" fontId="19" fillId="0" borderId="94" xfId="40" applyNumberFormat="1" applyFont="1" applyFill="1" applyBorder="1" applyAlignment="1" applyProtection="1">
      <alignment vertical="center"/>
      <protection/>
    </xf>
    <xf numFmtId="0" fontId="19" fillId="0" borderId="267" xfId="0" applyFont="1" applyBorder="1" applyAlignment="1">
      <alignment/>
    </xf>
    <xf numFmtId="0" fontId="19" fillId="0" borderId="282" xfId="0" applyFont="1" applyBorder="1" applyAlignment="1">
      <alignment/>
    </xf>
    <xf numFmtId="0" fontId="19" fillId="0" borderId="283" xfId="0" applyFont="1" applyBorder="1" applyAlignment="1">
      <alignment/>
    </xf>
    <xf numFmtId="3" fontId="19" fillId="0" borderId="283" xfId="0" applyNumberFormat="1" applyFont="1" applyBorder="1" applyAlignment="1">
      <alignment/>
    </xf>
    <xf numFmtId="3" fontId="29" fillId="0" borderId="284" xfId="0" applyNumberFormat="1" applyFont="1" applyFill="1" applyBorder="1" applyAlignment="1">
      <alignment/>
    </xf>
    <xf numFmtId="3" fontId="23" fillId="0" borderId="191" xfId="40" applyNumberFormat="1" applyFont="1" applyFill="1" applyBorder="1" applyAlignment="1" applyProtection="1">
      <alignment/>
      <protection/>
    </xf>
    <xf numFmtId="0" fontId="35" fillId="0" borderId="80" xfId="0" applyFont="1" applyBorder="1" applyAlignment="1">
      <alignment horizontal="center"/>
    </xf>
    <xf numFmtId="3" fontId="23" fillId="0" borderId="254" xfId="40" applyNumberFormat="1" applyFont="1" applyFill="1" applyBorder="1" applyAlignment="1" applyProtection="1">
      <alignment/>
      <protection/>
    </xf>
    <xf numFmtId="0" fontId="23" fillId="0" borderId="65" xfId="0" applyFont="1" applyBorder="1" applyAlignment="1">
      <alignment/>
    </xf>
    <xf numFmtId="0" fontId="23" fillId="0" borderId="74" xfId="0" applyFont="1" applyBorder="1" applyAlignment="1">
      <alignment/>
    </xf>
    <xf numFmtId="3" fontId="23" fillId="0" borderId="64" xfId="40" applyNumberFormat="1" applyFont="1" applyFill="1" applyBorder="1" applyAlignment="1" applyProtection="1">
      <alignment vertical="center"/>
      <protection/>
    </xf>
    <xf numFmtId="3" fontId="19" fillId="0" borderId="100" xfId="40" applyNumberFormat="1" applyFont="1" applyFill="1" applyBorder="1" applyAlignment="1" applyProtection="1">
      <alignment/>
      <protection/>
    </xf>
    <xf numFmtId="0" fontId="19" fillId="0" borderId="52" xfId="0" applyFont="1" applyBorder="1" applyAlignment="1">
      <alignment vertical="center"/>
    </xf>
    <xf numFmtId="3" fontId="19" fillId="0" borderId="61" xfId="0" applyNumberFormat="1" applyFont="1" applyFill="1" applyBorder="1" applyAlignment="1">
      <alignment horizontal="right"/>
    </xf>
    <xf numFmtId="0" fontId="30" fillId="0" borderId="91" xfId="0" applyFont="1" applyBorder="1" applyAlignment="1">
      <alignment wrapText="1"/>
    </xf>
    <xf numFmtId="3" fontId="30" fillId="0" borderId="250" xfId="40" applyNumberFormat="1" applyFont="1" applyFill="1" applyBorder="1" applyAlignment="1" applyProtection="1">
      <alignment/>
      <protection/>
    </xf>
    <xf numFmtId="3" fontId="33" fillId="0" borderId="52" xfId="0" applyNumberFormat="1" applyFont="1" applyBorder="1" applyAlignment="1">
      <alignment horizontal="right" vertical="center" wrapText="1"/>
    </xf>
    <xf numFmtId="3" fontId="19" fillId="0" borderId="54" xfId="0" applyNumberFormat="1" applyFont="1" applyFill="1" applyBorder="1" applyAlignment="1">
      <alignment/>
    </xf>
    <xf numFmtId="3" fontId="19" fillId="0" borderId="55" xfId="0" applyNumberFormat="1" applyFont="1" applyFill="1" applyBorder="1" applyAlignment="1">
      <alignment/>
    </xf>
    <xf numFmtId="3" fontId="23" fillId="0" borderId="56" xfId="0" applyNumberFormat="1" applyFont="1" applyFill="1" applyBorder="1" applyAlignment="1">
      <alignment/>
    </xf>
    <xf numFmtId="3" fontId="23" fillId="0" borderId="123" xfId="0" applyNumberFormat="1" applyFont="1" applyFill="1" applyBorder="1" applyAlignment="1">
      <alignment/>
    </xf>
    <xf numFmtId="3" fontId="23" fillId="0" borderId="91" xfId="0" applyNumberFormat="1" applyFont="1" applyFill="1" applyBorder="1" applyAlignment="1">
      <alignment/>
    </xf>
    <xf numFmtId="3" fontId="23" fillId="0" borderId="93" xfId="0" applyNumberFormat="1" applyFont="1" applyFill="1" applyBorder="1" applyAlignment="1">
      <alignment/>
    </xf>
    <xf numFmtId="3" fontId="33" fillId="0" borderId="54" xfId="0" applyNumberFormat="1" applyFont="1" applyFill="1" applyBorder="1" applyAlignment="1">
      <alignment/>
    </xf>
    <xf numFmtId="3" fontId="33" fillId="0" borderId="103" xfId="0" applyNumberFormat="1" applyFont="1" applyFill="1" applyBorder="1" applyAlignment="1">
      <alignment/>
    </xf>
    <xf numFmtId="3" fontId="31" fillId="0" borderId="56" xfId="0" applyNumberFormat="1" applyFont="1" applyFill="1" applyBorder="1" applyAlignment="1">
      <alignment/>
    </xf>
    <xf numFmtId="3" fontId="33" fillId="0" borderId="123" xfId="0" applyNumberFormat="1" applyFont="1" applyFill="1" applyBorder="1" applyAlignment="1">
      <alignment/>
    </xf>
    <xf numFmtId="3" fontId="33" fillId="0" borderId="120" xfId="0" applyNumberFormat="1" applyFont="1" applyFill="1" applyBorder="1" applyAlignment="1">
      <alignment/>
    </xf>
    <xf numFmtId="3" fontId="23" fillId="0" borderId="272" xfId="0" applyNumberFormat="1" applyFont="1" applyFill="1" applyBorder="1" applyAlignment="1">
      <alignment/>
    </xf>
    <xf numFmtId="3" fontId="23" fillId="0" borderId="41" xfId="0" applyNumberFormat="1" applyFont="1" applyFill="1" applyBorder="1" applyAlignment="1">
      <alignment/>
    </xf>
    <xf numFmtId="3" fontId="19" fillId="0" borderId="103" xfId="0" applyNumberFormat="1" applyFont="1" applyFill="1" applyBorder="1" applyAlignment="1">
      <alignment/>
    </xf>
    <xf numFmtId="3" fontId="19" fillId="0" borderId="76" xfId="0" applyNumberFormat="1" applyFont="1" applyFill="1" applyBorder="1" applyAlignment="1">
      <alignment/>
    </xf>
    <xf numFmtId="3" fontId="19" fillId="0" borderId="123" xfId="0" applyNumberFormat="1" applyFont="1" applyFill="1" applyBorder="1" applyAlignment="1">
      <alignment/>
    </xf>
    <xf numFmtId="3" fontId="23" fillId="0" borderId="55" xfId="0" applyNumberFormat="1" applyFont="1" applyFill="1" applyBorder="1" applyAlignment="1">
      <alignment/>
    </xf>
    <xf numFmtId="3" fontId="23" fillId="0" borderId="64" xfId="0" applyNumberFormat="1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3" fontId="19" fillId="0" borderId="74" xfId="0" applyNumberFormat="1" applyFont="1" applyFill="1" applyBorder="1" applyAlignment="1">
      <alignment/>
    </xf>
    <xf numFmtId="3" fontId="23" fillId="0" borderId="68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3" fontId="23" fillId="0" borderId="87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0" fontId="21" fillId="0" borderId="94" xfId="0" applyFont="1" applyBorder="1" applyAlignment="1">
      <alignment horizontal="center" wrapText="1"/>
    </xf>
    <xf numFmtId="3" fontId="30" fillId="0" borderId="94" xfId="0" applyNumberFormat="1" applyFont="1" applyBorder="1" applyAlignment="1">
      <alignment horizontal="right" wrapText="1"/>
    </xf>
    <xf numFmtId="3" fontId="30" fillId="0" borderId="95" xfId="40" applyNumberFormat="1" applyFont="1" applyFill="1" applyBorder="1" applyAlignment="1" applyProtection="1">
      <alignment/>
      <protection/>
    </xf>
    <xf numFmtId="3" fontId="30" fillId="0" borderId="96" xfId="40" applyNumberFormat="1" applyFont="1" applyFill="1" applyBorder="1" applyAlignment="1" applyProtection="1">
      <alignment/>
      <protection/>
    </xf>
    <xf numFmtId="3" fontId="30" fillId="0" borderId="155" xfId="40" applyNumberFormat="1" applyFont="1" applyFill="1" applyBorder="1" applyAlignment="1" applyProtection="1">
      <alignment/>
      <protection/>
    </xf>
    <xf numFmtId="3" fontId="30" fillId="0" borderId="60" xfId="40" applyNumberFormat="1" applyFont="1" applyFill="1" applyBorder="1" applyAlignment="1" applyProtection="1">
      <alignment/>
      <protection/>
    </xf>
    <xf numFmtId="3" fontId="30" fillId="0" borderId="62" xfId="40" applyNumberFormat="1" applyFont="1" applyFill="1" applyBorder="1" applyAlignment="1" applyProtection="1">
      <alignment/>
      <protection/>
    </xf>
    <xf numFmtId="3" fontId="21" fillId="0" borderId="171" xfId="40" applyNumberFormat="1" applyFont="1" applyFill="1" applyBorder="1" applyAlignment="1" applyProtection="1">
      <alignment/>
      <protection/>
    </xf>
    <xf numFmtId="0" fontId="21" fillId="0" borderId="160" xfId="0" applyFont="1" applyBorder="1" applyAlignment="1">
      <alignment horizontal="center" vertical="center"/>
    </xf>
    <xf numFmtId="0" fontId="41" fillId="0" borderId="99" xfId="0" applyFont="1" applyBorder="1" applyAlignment="1">
      <alignment/>
    </xf>
    <xf numFmtId="0" fontId="30" fillId="0" borderId="99" xfId="0" applyFont="1" applyBorder="1" applyAlignment="1">
      <alignment/>
    </xf>
    <xf numFmtId="0" fontId="30" fillId="0" borderId="73" xfId="0" applyFont="1" applyBorder="1" applyAlignment="1">
      <alignment wrapText="1"/>
    </xf>
    <xf numFmtId="0" fontId="30" fillId="0" borderId="66" xfId="0" applyFont="1" applyBorder="1" applyAlignment="1">
      <alignment wrapText="1"/>
    </xf>
    <xf numFmtId="0" fontId="30" fillId="0" borderId="100" xfId="0" applyFont="1" applyBorder="1" applyAlignment="1">
      <alignment wrapText="1"/>
    </xf>
    <xf numFmtId="0" fontId="30" fillId="0" borderId="99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3" fillId="0" borderId="56" xfId="0" applyFont="1" applyBorder="1" applyAlignment="1">
      <alignment horizontal="center" wrapText="1"/>
    </xf>
    <xf numFmtId="3" fontId="19" fillId="0" borderId="91" xfId="0" applyNumberFormat="1" applyFont="1" applyFill="1" applyBorder="1" applyAlignment="1">
      <alignment/>
    </xf>
    <xf numFmtId="0" fontId="29" fillId="0" borderId="63" xfId="0" applyFont="1" applyBorder="1" applyAlignment="1">
      <alignment/>
    </xf>
    <xf numFmtId="0" fontId="49" fillId="0" borderId="285" xfId="0" applyFont="1" applyBorder="1" applyAlignment="1">
      <alignment/>
    </xf>
    <xf numFmtId="0" fontId="49" fillId="0" borderId="286" xfId="0" applyFont="1" applyBorder="1" applyAlignment="1">
      <alignment horizontal="center"/>
    </xf>
    <xf numFmtId="0" fontId="30" fillId="0" borderId="156" xfId="0" applyFont="1" applyBorder="1" applyAlignment="1">
      <alignment/>
    </xf>
    <xf numFmtId="0" fontId="21" fillId="0" borderId="191" xfId="0" applyFont="1" applyBorder="1" applyAlignment="1">
      <alignment vertical="center"/>
    </xf>
    <xf numFmtId="168" fontId="21" fillId="0" borderId="287" xfId="40" applyNumberFormat="1" applyFont="1" applyFill="1" applyBorder="1" applyAlignment="1" applyProtection="1">
      <alignment horizontal="right" vertical="center"/>
      <protection/>
    </xf>
    <xf numFmtId="0" fontId="30" fillId="0" borderId="158" xfId="0" applyFont="1" applyBorder="1" applyAlignment="1">
      <alignment/>
    </xf>
    <xf numFmtId="3" fontId="30" fillId="0" borderId="288" xfId="0" applyNumberFormat="1" applyFont="1" applyBorder="1" applyAlignment="1">
      <alignment/>
    </xf>
    <xf numFmtId="0" fontId="30" fillId="0" borderId="284" xfId="0" applyFont="1" applyBorder="1" applyAlignment="1">
      <alignment/>
    </xf>
    <xf numFmtId="3" fontId="30" fillId="0" borderId="289" xfId="0" applyNumberFormat="1" applyFont="1" applyBorder="1" applyAlignment="1">
      <alignment/>
    </xf>
    <xf numFmtId="0" fontId="21" fillId="0" borderId="191" xfId="0" applyFont="1" applyBorder="1" applyAlignment="1">
      <alignment/>
    </xf>
    <xf numFmtId="3" fontId="21" fillId="0" borderId="287" xfId="0" applyNumberFormat="1" applyFont="1" applyBorder="1" applyAlignment="1">
      <alignment/>
    </xf>
    <xf numFmtId="0" fontId="30" fillId="0" borderId="290" xfId="0" applyFont="1" applyBorder="1" applyAlignment="1">
      <alignment/>
    </xf>
    <xf numFmtId="0" fontId="21" fillId="0" borderId="291" xfId="0" applyFont="1" applyBorder="1" applyAlignment="1">
      <alignment/>
    </xf>
    <xf numFmtId="3" fontId="21" fillId="0" borderId="292" xfId="0" applyNumberFormat="1" applyFont="1" applyBorder="1" applyAlignment="1">
      <alignment/>
    </xf>
    <xf numFmtId="0" fontId="21" fillId="0" borderId="293" xfId="0" applyFont="1" applyBorder="1" applyAlignment="1">
      <alignment/>
    </xf>
    <xf numFmtId="3" fontId="21" fillId="0" borderId="29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45" xfId="0" applyBorder="1" applyAlignment="1">
      <alignment/>
    </xf>
    <xf numFmtId="0" fontId="28" fillId="0" borderId="45" xfId="0" applyFont="1" applyBorder="1" applyAlignment="1">
      <alignment horizontal="center"/>
    </xf>
    <xf numFmtId="0" fontId="0" fillId="0" borderId="45" xfId="0" applyBorder="1" applyAlignment="1">
      <alignment horizontal="right"/>
    </xf>
    <xf numFmtId="0" fontId="19" fillId="0" borderId="67" xfId="0" applyFont="1" applyBorder="1" applyAlignment="1">
      <alignment vertical="center"/>
    </xf>
    <xf numFmtId="3" fontId="19" fillId="0" borderId="65" xfId="40" applyNumberFormat="1" applyFont="1" applyFill="1" applyBorder="1" applyAlignment="1" applyProtection="1">
      <alignment/>
      <protection/>
    </xf>
    <xf numFmtId="0" fontId="42" fillId="0" borderId="64" xfId="0" applyFont="1" applyFill="1" applyBorder="1" applyAlignment="1">
      <alignment horizontal="center"/>
    </xf>
    <xf numFmtId="0" fontId="42" fillId="0" borderId="191" xfId="0" applyFont="1" applyFill="1" applyBorder="1" applyAlignment="1">
      <alignment horizontal="center"/>
    </xf>
    <xf numFmtId="0" fontId="42" fillId="0" borderId="89" xfId="0" applyFont="1" applyFill="1" applyBorder="1" applyAlignment="1">
      <alignment horizontal="center"/>
    </xf>
    <xf numFmtId="0" fontId="42" fillId="0" borderId="226" xfId="0" applyFont="1" applyFill="1" applyBorder="1" applyAlignment="1">
      <alignment horizontal="center"/>
    </xf>
    <xf numFmtId="0" fontId="19" fillId="0" borderId="295" xfId="0" applyFont="1" applyBorder="1" applyAlignment="1">
      <alignment/>
    </xf>
    <xf numFmtId="3" fontId="29" fillId="0" borderId="296" xfId="0" applyNumberFormat="1" applyFont="1" applyFill="1" applyBorder="1" applyAlignment="1">
      <alignment/>
    </xf>
    <xf numFmtId="3" fontId="19" fillId="0" borderId="297" xfId="0" applyNumberFormat="1" applyFont="1" applyFill="1" applyBorder="1" applyAlignment="1">
      <alignment/>
    </xf>
    <xf numFmtId="3" fontId="19" fillId="0" borderId="298" xfId="0" applyNumberFormat="1" applyFont="1" applyFill="1" applyBorder="1" applyAlignment="1">
      <alignment/>
    </xf>
    <xf numFmtId="3" fontId="19" fillId="0" borderId="299" xfId="0" applyNumberFormat="1" applyFont="1" applyFill="1" applyBorder="1" applyAlignment="1">
      <alignment/>
    </xf>
    <xf numFmtId="3" fontId="19" fillId="0" borderId="133" xfId="0" applyNumberFormat="1" applyFont="1" applyFill="1" applyBorder="1" applyAlignment="1">
      <alignment/>
    </xf>
    <xf numFmtId="3" fontId="19" fillId="0" borderId="253" xfId="0" applyNumberFormat="1" applyFont="1" applyFill="1" applyBorder="1" applyAlignment="1">
      <alignment/>
    </xf>
    <xf numFmtId="0" fontId="29" fillId="0" borderId="184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29" fillId="0" borderId="300" xfId="0" applyFont="1" applyBorder="1" applyAlignment="1">
      <alignment wrapText="1"/>
    </xf>
    <xf numFmtId="0" fontId="42" fillId="0" borderId="226" xfId="0" applyFont="1" applyBorder="1" applyAlignment="1">
      <alignment/>
    </xf>
    <xf numFmtId="3" fontId="29" fillId="0" borderId="66" xfId="40" applyNumberFormat="1" applyFont="1" applyFill="1" applyBorder="1" applyAlignment="1" applyProtection="1">
      <alignment/>
      <protection/>
    </xf>
    <xf numFmtId="3" fontId="29" fillId="0" borderId="73" xfId="40" applyNumberFormat="1" applyFont="1" applyFill="1" applyBorder="1" applyAlignment="1" applyProtection="1">
      <alignment/>
      <protection/>
    </xf>
    <xf numFmtId="3" fontId="29" fillId="0" borderId="216" xfId="40" applyNumberFormat="1" applyFont="1" applyFill="1" applyBorder="1" applyAlignment="1" applyProtection="1">
      <alignment/>
      <protection/>
    </xf>
    <xf numFmtId="3" fontId="23" fillId="0" borderId="64" xfId="4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/>
      <protection/>
    </xf>
    <xf numFmtId="0" fontId="23" fillId="0" borderId="104" xfId="0" applyFont="1" applyBorder="1" applyAlignment="1">
      <alignment/>
    </xf>
    <xf numFmtId="0" fontId="43" fillId="0" borderId="68" xfId="0" applyFont="1" applyBorder="1" applyAlignment="1">
      <alignment/>
    </xf>
    <xf numFmtId="0" fontId="19" fillId="0" borderId="119" xfId="0" applyFont="1" applyBorder="1" applyAlignment="1">
      <alignment/>
    </xf>
    <xf numFmtId="3" fontId="23" fillId="0" borderId="101" xfId="40" applyNumberFormat="1" applyFont="1" applyFill="1" applyBorder="1" applyAlignment="1" applyProtection="1">
      <alignment/>
      <protection/>
    </xf>
    <xf numFmtId="14" fontId="30" fillId="0" borderId="65" xfId="0" applyNumberFormat="1" applyFont="1" applyBorder="1" applyAlignment="1">
      <alignment wrapText="1"/>
    </xf>
    <xf numFmtId="0" fontId="23" fillId="0" borderId="36" xfId="0" applyFont="1" applyFill="1" applyBorder="1" applyAlignment="1">
      <alignment/>
    </xf>
    <xf numFmtId="3" fontId="19" fillId="0" borderId="65" xfId="0" applyNumberFormat="1" applyFont="1" applyFill="1" applyBorder="1" applyAlignment="1">
      <alignment horizontal="right"/>
    </xf>
    <xf numFmtId="0" fontId="21" fillId="0" borderId="54" xfId="0" applyFont="1" applyBorder="1" applyAlignment="1">
      <alignment horizontal="center" vertical="center"/>
    </xf>
    <xf numFmtId="0" fontId="43" fillId="0" borderId="41" xfId="0" applyFont="1" applyBorder="1" applyAlignment="1">
      <alignment/>
    </xf>
    <xf numFmtId="0" fontId="23" fillId="0" borderId="55" xfId="0" applyFont="1" applyFill="1" applyBorder="1" applyAlignment="1">
      <alignment/>
    </xf>
    <xf numFmtId="3" fontId="23" fillId="0" borderId="209" xfId="0" applyNumberFormat="1" applyFont="1" applyBorder="1" applyAlignment="1">
      <alignment horizontal="right"/>
    </xf>
    <xf numFmtId="166" fontId="19" fillId="0" borderId="99" xfId="40" applyNumberFormat="1" applyFont="1" applyFill="1" applyBorder="1" applyAlignment="1" applyProtection="1">
      <alignment horizontal="right"/>
      <protection/>
    </xf>
    <xf numFmtId="3" fontId="19" fillId="0" borderId="73" xfId="40" applyNumberFormat="1" applyFont="1" applyFill="1" applyBorder="1" applyAlignment="1" applyProtection="1">
      <alignment horizontal="right"/>
      <protection/>
    </xf>
    <xf numFmtId="3" fontId="19" fillId="0" borderId="99" xfId="40" applyNumberFormat="1" applyFont="1" applyFill="1" applyBorder="1" applyAlignment="1" applyProtection="1">
      <alignment horizontal="right"/>
      <protection/>
    </xf>
    <xf numFmtId="3" fontId="19" fillId="0" borderId="216" xfId="40" applyNumberFormat="1" applyFont="1" applyFill="1" applyBorder="1" applyAlignment="1" applyProtection="1">
      <alignment horizontal="right"/>
      <protection/>
    </xf>
    <xf numFmtId="0" fontId="19" fillId="0" borderId="36" xfId="0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77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19" fillId="0" borderId="172" xfId="0" applyFont="1" applyBorder="1" applyAlignment="1">
      <alignment/>
    </xf>
    <xf numFmtId="0" fontId="19" fillId="0" borderId="301" xfId="0" applyFont="1" applyBorder="1" applyAlignment="1">
      <alignment/>
    </xf>
    <xf numFmtId="166" fontId="37" fillId="0" borderId="114" xfId="40" applyNumberFormat="1" applyFont="1" applyFill="1" applyBorder="1" applyAlignment="1" applyProtection="1">
      <alignment/>
      <protection/>
    </xf>
    <xf numFmtId="0" fontId="23" fillId="0" borderId="68" xfId="0" applyFont="1" applyBorder="1" applyAlignment="1">
      <alignment vertical="center"/>
    </xf>
    <xf numFmtId="0" fontId="21" fillId="0" borderId="140" xfId="0" applyFont="1" applyBorder="1" applyAlignment="1">
      <alignment vertical="center"/>
    </xf>
    <xf numFmtId="3" fontId="19" fillId="0" borderId="94" xfId="0" applyNumberFormat="1" applyFont="1" applyBorder="1" applyAlignment="1">
      <alignment horizontal="right" vertical="center" wrapText="1"/>
    </xf>
    <xf numFmtId="3" fontId="19" fillId="0" borderId="95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horizontal="right" vertical="center" wrapText="1"/>
    </xf>
    <xf numFmtId="3" fontId="23" fillId="0" borderId="94" xfId="0" applyNumberFormat="1" applyFont="1" applyBorder="1" applyAlignment="1">
      <alignment horizontal="right" vertical="center" wrapText="1"/>
    </xf>
    <xf numFmtId="3" fontId="23" fillId="0" borderId="62" xfId="0" applyNumberFormat="1" applyFont="1" applyBorder="1" applyAlignment="1">
      <alignment horizontal="right" vertical="center" wrapText="1"/>
    </xf>
    <xf numFmtId="3" fontId="23" fillId="0" borderId="43" xfId="0" applyNumberFormat="1" applyFont="1" applyBorder="1" applyAlignment="1">
      <alignment horizontal="right" vertical="center" wrapText="1"/>
    </xf>
    <xf numFmtId="3" fontId="23" fillId="0" borderId="274" xfId="0" applyNumberFormat="1" applyFont="1" applyBorder="1" applyAlignment="1">
      <alignment horizontal="right" vertical="center" wrapText="1"/>
    </xf>
    <xf numFmtId="3" fontId="19" fillId="0" borderId="42" xfId="40" applyNumberFormat="1" applyFont="1" applyFill="1" applyBorder="1" applyAlignment="1" applyProtection="1">
      <alignment horizontal="right" vertical="center"/>
      <protection/>
    </xf>
    <xf numFmtId="3" fontId="19" fillId="0" borderId="139" xfId="40" applyNumberFormat="1" applyFont="1" applyFill="1" applyBorder="1" applyAlignment="1" applyProtection="1">
      <alignment horizontal="right" vertical="center"/>
      <protection/>
    </xf>
    <xf numFmtId="0" fontId="21" fillId="0" borderId="76" xfId="0" applyFont="1" applyBorder="1" applyAlignment="1">
      <alignment vertical="center"/>
    </xf>
    <xf numFmtId="0" fontId="30" fillId="0" borderId="119" xfId="0" applyFont="1" applyBorder="1" applyAlignment="1">
      <alignment vertical="center"/>
    </xf>
    <xf numFmtId="3" fontId="19" fillId="0" borderId="65" xfId="40" applyNumberFormat="1" applyFont="1" applyFill="1" applyBorder="1" applyAlignment="1" applyProtection="1">
      <alignment horizontal="right" vertical="center"/>
      <protection/>
    </xf>
    <xf numFmtId="3" fontId="19" fillId="0" borderId="99" xfId="40" applyNumberFormat="1" applyFont="1" applyFill="1" applyBorder="1" applyAlignment="1" applyProtection="1">
      <alignment horizontal="right" vertical="center"/>
      <protection/>
    </xf>
    <xf numFmtId="3" fontId="19" fillId="0" borderId="73" xfId="40" applyNumberFormat="1" applyFont="1" applyFill="1" applyBorder="1" applyAlignment="1" applyProtection="1">
      <alignment horizontal="right" vertical="center"/>
      <protection/>
    </xf>
    <xf numFmtId="3" fontId="23" fillId="0" borderId="73" xfId="40" applyNumberFormat="1" applyFont="1" applyFill="1" applyBorder="1" applyAlignment="1" applyProtection="1">
      <alignment horizontal="right" vertical="center"/>
      <protection/>
    </xf>
    <xf numFmtId="3" fontId="23" fillId="0" borderId="100" xfId="40" applyNumberFormat="1" applyFont="1" applyFill="1" applyBorder="1" applyAlignment="1" applyProtection="1">
      <alignment horizontal="right" vertical="center"/>
      <protection/>
    </xf>
    <xf numFmtId="3" fontId="19" fillId="0" borderId="52" xfId="40" applyNumberFormat="1" applyFont="1" applyFill="1" applyBorder="1" applyAlignment="1" applyProtection="1">
      <alignment horizontal="right" vertical="center"/>
      <protection/>
    </xf>
    <xf numFmtId="3" fontId="23" fillId="0" borderId="66" xfId="40" applyNumberFormat="1" applyFont="1" applyFill="1" applyBorder="1" applyAlignment="1" applyProtection="1">
      <alignment horizontal="right" vertical="center"/>
      <protection/>
    </xf>
    <xf numFmtId="3" fontId="23" fillId="0" borderId="98" xfId="40" applyNumberFormat="1" applyFont="1" applyFill="1" applyBorder="1" applyAlignment="1" applyProtection="1">
      <alignment horizontal="right" vertical="center"/>
      <protection/>
    </xf>
    <xf numFmtId="3" fontId="23" fillId="0" borderId="121" xfId="40" applyNumberFormat="1" applyFont="1" applyFill="1" applyBorder="1" applyAlignment="1" applyProtection="1">
      <alignment horizontal="right" vertical="center"/>
      <protection/>
    </xf>
    <xf numFmtId="3" fontId="23" fillId="0" borderId="75" xfId="40" applyNumberFormat="1" applyFont="1" applyFill="1" applyBorder="1" applyAlignment="1" applyProtection="1">
      <alignment horizontal="right" vertical="center"/>
      <protection/>
    </xf>
    <xf numFmtId="3" fontId="30" fillId="0" borderId="60" xfId="0" applyNumberFormat="1" applyFont="1" applyBorder="1" applyAlignment="1">
      <alignment/>
    </xf>
    <xf numFmtId="3" fontId="30" fillId="0" borderId="59" xfId="0" applyNumberFormat="1" applyFont="1" applyBorder="1" applyAlignment="1">
      <alignment/>
    </xf>
    <xf numFmtId="0" fontId="21" fillId="0" borderId="122" xfId="0" applyFont="1" applyBorder="1" applyAlignment="1">
      <alignment/>
    </xf>
    <xf numFmtId="3" fontId="21" fillId="0" borderId="173" xfId="0" applyNumberFormat="1" applyFont="1" applyBorder="1" applyAlignment="1">
      <alignment/>
    </xf>
    <xf numFmtId="0" fontId="33" fillId="0" borderId="65" xfId="0" applyFont="1" applyBorder="1" applyAlignment="1">
      <alignment horizontal="right"/>
    </xf>
    <xf numFmtId="0" fontId="76" fillId="0" borderId="67" xfId="0" applyFont="1" applyBorder="1" applyAlignment="1">
      <alignment/>
    </xf>
    <xf numFmtId="3" fontId="77" fillId="0" borderId="101" xfId="0" applyNumberFormat="1" applyFont="1" applyBorder="1" applyAlignment="1">
      <alignment/>
    </xf>
    <xf numFmtId="0" fontId="77" fillId="0" borderId="36" xfId="0" applyFont="1" applyBorder="1" applyAlignment="1">
      <alignment/>
    </xf>
    <xf numFmtId="3" fontId="77" fillId="0" borderId="52" xfId="0" applyNumberFormat="1" applyFont="1" applyBorder="1" applyAlignment="1">
      <alignment/>
    </xf>
    <xf numFmtId="0" fontId="76" fillId="0" borderId="36" xfId="0" applyFont="1" applyBorder="1" applyAlignment="1">
      <alignment/>
    </xf>
    <xf numFmtId="3" fontId="76" fillId="0" borderId="52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77" fillId="0" borderId="52" xfId="0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76" fillId="0" borderId="36" xfId="0" applyFont="1" applyBorder="1" applyAlignment="1">
      <alignment wrapText="1"/>
    </xf>
    <xf numFmtId="0" fontId="77" fillId="0" borderId="36" xfId="0" applyFont="1" applyBorder="1" applyAlignment="1">
      <alignment wrapText="1"/>
    </xf>
    <xf numFmtId="0" fontId="77" fillId="0" borderId="36" xfId="0" applyFont="1" applyFill="1" applyBorder="1" applyAlignment="1">
      <alignment wrapText="1"/>
    </xf>
    <xf numFmtId="0" fontId="77" fillId="25" borderId="36" xfId="0" applyFont="1" applyFill="1" applyBorder="1" applyAlignment="1">
      <alignment/>
    </xf>
    <xf numFmtId="0" fontId="77" fillId="0" borderId="36" xfId="0" applyFont="1" applyFill="1" applyBorder="1" applyAlignment="1">
      <alignment/>
    </xf>
    <xf numFmtId="0" fontId="76" fillId="0" borderId="97" xfId="0" applyFont="1" applyBorder="1" applyAlignment="1">
      <alignment/>
    </xf>
    <xf numFmtId="3" fontId="76" fillId="0" borderId="64" xfId="0" applyNumberFormat="1" applyFont="1" applyBorder="1" applyAlignment="1">
      <alignment/>
    </xf>
    <xf numFmtId="0" fontId="33" fillId="0" borderId="64" xfId="0" applyFont="1" applyBorder="1" applyAlignment="1">
      <alignment wrapText="1"/>
    </xf>
    <xf numFmtId="0" fontId="31" fillId="0" borderId="80" xfId="0" applyFont="1" applyBorder="1" applyAlignment="1">
      <alignment horizontal="left" vertical="center"/>
    </xf>
    <xf numFmtId="0" fontId="31" fillId="0" borderId="80" xfId="0" applyFont="1" applyBorder="1" applyAlignment="1">
      <alignment horizontal="center" vertical="center" wrapText="1"/>
    </xf>
    <xf numFmtId="3" fontId="76" fillId="0" borderId="52" xfId="0" applyNumberFormat="1" applyFont="1" applyFill="1" applyBorder="1" applyAlignment="1">
      <alignment/>
    </xf>
    <xf numFmtId="3" fontId="19" fillId="0" borderId="39" xfId="0" applyNumberFormat="1" applyFont="1" applyBorder="1" applyAlignment="1">
      <alignment horizontal="right"/>
    </xf>
    <xf numFmtId="3" fontId="19" fillId="0" borderId="66" xfId="40" applyNumberFormat="1" applyFont="1" applyFill="1" applyBorder="1" applyAlignment="1" applyProtection="1">
      <alignment horizontal="right"/>
      <protection/>
    </xf>
    <xf numFmtId="3" fontId="19" fillId="0" borderId="94" xfId="40" applyNumberFormat="1" applyFont="1" applyFill="1" applyBorder="1" applyAlignment="1" applyProtection="1">
      <alignment horizontal="right"/>
      <protection/>
    </xf>
    <xf numFmtId="0" fontId="23" fillId="0" borderId="221" xfId="0" applyFont="1" applyFill="1" applyBorder="1" applyAlignment="1">
      <alignment/>
    </xf>
    <xf numFmtId="0" fontId="23" fillId="0" borderId="160" xfId="0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0" fontId="21" fillId="0" borderId="161" xfId="0" applyFont="1" applyBorder="1" applyAlignment="1">
      <alignment/>
    </xf>
    <xf numFmtId="2" fontId="19" fillId="0" borderId="256" xfId="0" applyNumberFormat="1" applyFont="1" applyBorder="1" applyAlignment="1">
      <alignment wrapText="1"/>
    </xf>
    <xf numFmtId="3" fontId="19" fillId="0" borderId="266" xfId="0" applyNumberFormat="1" applyFont="1" applyBorder="1" applyAlignment="1">
      <alignment horizontal="right"/>
    </xf>
    <xf numFmtId="3" fontId="19" fillId="0" borderId="113" xfId="0" applyNumberFormat="1" applyFont="1" applyBorder="1" applyAlignment="1">
      <alignment horizontal="right"/>
    </xf>
    <xf numFmtId="3" fontId="19" fillId="0" borderId="250" xfId="0" applyNumberFormat="1" applyFont="1" applyBorder="1" applyAlignment="1">
      <alignment horizontal="right"/>
    </xf>
    <xf numFmtId="3" fontId="23" fillId="0" borderId="277" xfId="0" applyNumberFormat="1" applyFont="1" applyBorder="1" applyAlignment="1">
      <alignment/>
    </xf>
    <xf numFmtId="0" fontId="19" fillId="0" borderId="41" xfId="0" applyFont="1" applyBorder="1" applyAlignment="1">
      <alignment wrapText="1"/>
    </xf>
    <xf numFmtId="0" fontId="19" fillId="0" borderId="54" xfId="0" applyFont="1" applyBorder="1" applyAlignment="1">
      <alignment wrapText="1"/>
    </xf>
    <xf numFmtId="0" fontId="19" fillId="0" borderId="76" xfId="0" applyFont="1" applyBorder="1" applyAlignment="1">
      <alignment wrapText="1"/>
    </xf>
    <xf numFmtId="3" fontId="19" fillId="0" borderId="41" xfId="0" applyNumberFormat="1" applyFont="1" applyBorder="1" applyAlignment="1">
      <alignment/>
    </xf>
    <xf numFmtId="3" fontId="19" fillId="0" borderId="76" xfId="0" applyNumberFormat="1" applyFont="1" applyBorder="1" applyAlignment="1">
      <alignment/>
    </xf>
    <xf numFmtId="3" fontId="19" fillId="0" borderId="66" xfId="0" applyNumberFormat="1" applyFont="1" applyBorder="1" applyAlignment="1">
      <alignment horizontal="right"/>
    </xf>
    <xf numFmtId="3" fontId="23" fillId="0" borderId="75" xfId="0" applyNumberFormat="1" applyFont="1" applyBorder="1" applyAlignment="1">
      <alignment horizontal="right"/>
    </xf>
    <xf numFmtId="0" fontId="43" fillId="0" borderId="161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77" fillId="0" borderId="0" xfId="0" applyFont="1" applyFill="1" applyBorder="1" applyAlignment="1">
      <alignment/>
    </xf>
    <xf numFmtId="3" fontId="77" fillId="0" borderId="66" xfId="0" applyNumberFormat="1" applyFont="1" applyFill="1" applyBorder="1" applyAlignment="1">
      <alignment/>
    </xf>
    <xf numFmtId="3" fontId="19" fillId="25" borderId="68" xfId="0" applyNumberFormat="1" applyFont="1" applyFill="1" applyBorder="1" applyAlignment="1">
      <alignment/>
    </xf>
    <xf numFmtId="0" fontId="19" fillId="0" borderId="73" xfId="0" applyFont="1" applyBorder="1" applyAlignment="1">
      <alignment horizontal="left" vertical="center"/>
    </xf>
    <xf numFmtId="3" fontId="19" fillId="0" borderId="96" xfId="0" applyNumberFormat="1" applyFont="1" applyBorder="1" applyAlignment="1">
      <alignment horizontal="right"/>
    </xf>
    <xf numFmtId="0" fontId="19" fillId="0" borderId="106" xfId="0" applyFont="1" applyBorder="1" applyAlignment="1">
      <alignment/>
    </xf>
    <xf numFmtId="0" fontId="19" fillId="0" borderId="59" xfId="0" applyFont="1" applyBorder="1" applyAlignment="1">
      <alignment horizontal="left"/>
    </xf>
    <xf numFmtId="0" fontId="19" fillId="0" borderId="173" xfId="0" applyFont="1" applyBorder="1" applyAlignment="1">
      <alignment horizontal="left"/>
    </xf>
    <xf numFmtId="0" fontId="19" fillId="0" borderId="41" xfId="0" applyFont="1" applyFill="1" applyBorder="1" applyAlignment="1">
      <alignment/>
    </xf>
    <xf numFmtId="0" fontId="23" fillId="0" borderId="122" xfId="0" applyFont="1" applyBorder="1" applyAlignment="1">
      <alignment vertical="center"/>
    </xf>
    <xf numFmtId="3" fontId="23" fillId="0" borderId="216" xfId="40" applyNumberFormat="1" applyFont="1" applyFill="1" applyBorder="1" applyAlignment="1" applyProtection="1">
      <alignment/>
      <protection/>
    </xf>
    <xf numFmtId="3" fontId="31" fillId="24" borderId="53" xfId="0" applyNumberFormat="1" applyFont="1" applyFill="1" applyBorder="1" applyAlignment="1">
      <alignment/>
    </xf>
    <xf numFmtId="3" fontId="31" fillId="24" borderId="201" xfId="0" applyNumberFormat="1" applyFont="1" applyFill="1" applyBorder="1" applyAlignment="1">
      <alignment/>
    </xf>
    <xf numFmtId="0" fontId="33" fillId="0" borderId="53" xfId="0" applyFont="1" applyBorder="1" applyAlignment="1">
      <alignment horizontal="center"/>
    </xf>
    <xf numFmtId="0" fontId="33" fillId="0" borderId="0" xfId="56" applyFont="1" applyBorder="1" applyAlignment="1" applyProtection="1">
      <alignment wrapText="1"/>
      <protection/>
    </xf>
    <xf numFmtId="0" fontId="19" fillId="0" borderId="0" xfId="56" applyFont="1" applyBorder="1" applyProtection="1">
      <alignment/>
      <protection/>
    </xf>
    <xf numFmtId="0" fontId="33" fillId="0" borderId="36" xfId="56" applyFont="1" applyBorder="1" applyAlignment="1" applyProtection="1">
      <alignment wrapText="1"/>
      <protection/>
    </xf>
    <xf numFmtId="0" fontId="23" fillId="0" borderId="19" xfId="56" applyFont="1" applyBorder="1" applyProtection="1">
      <alignment/>
      <protection/>
    </xf>
    <xf numFmtId="0" fontId="19" fillId="0" borderId="10" xfId="56" applyFont="1" applyBorder="1" applyProtection="1">
      <alignment/>
      <protection/>
    </xf>
    <xf numFmtId="3" fontId="19" fillId="0" borderId="216" xfId="56" applyNumberFormat="1" applyFont="1" applyBorder="1" applyProtection="1">
      <alignment/>
      <protection/>
    </xf>
    <xf numFmtId="3" fontId="19" fillId="0" borderId="52" xfId="56" applyNumberFormat="1" applyFont="1" applyBorder="1" applyProtection="1">
      <alignment/>
      <protection/>
    </xf>
    <xf numFmtId="0" fontId="33" fillId="0" borderId="147" xfId="56" applyFont="1" applyBorder="1" applyAlignment="1" applyProtection="1">
      <alignment wrapText="1"/>
      <protection/>
    </xf>
    <xf numFmtId="0" fontId="33" fillId="0" borderId="36" xfId="56" applyFont="1" applyBorder="1" applyProtection="1">
      <alignment/>
      <protection/>
    </xf>
    <xf numFmtId="0" fontId="35" fillId="0" borderId="67" xfId="56" applyFont="1" applyBorder="1" applyAlignment="1" applyProtection="1">
      <alignment wrapText="1"/>
      <protection/>
    </xf>
    <xf numFmtId="0" fontId="35" fillId="0" borderId="265" xfId="0" applyFont="1" applyBorder="1" applyAlignment="1">
      <alignment/>
    </xf>
    <xf numFmtId="0" fontId="19" fillId="0" borderId="165" xfId="56" applyFont="1" applyBorder="1" applyProtection="1">
      <alignment/>
      <protection/>
    </xf>
    <xf numFmtId="3" fontId="19" fillId="0" borderId="276" xfId="56" applyNumberFormat="1" applyFont="1" applyBorder="1" applyProtection="1">
      <alignment/>
      <protection/>
    </xf>
    <xf numFmtId="0" fontId="0" fillId="0" borderId="45" xfId="0" applyFont="1" applyBorder="1" applyAlignment="1">
      <alignment horizontal="left"/>
    </xf>
    <xf numFmtId="3" fontId="19" fillId="0" borderId="74" xfId="40" applyNumberFormat="1" applyFont="1" applyFill="1" applyBorder="1" applyAlignment="1" applyProtection="1">
      <alignment horizontal="right"/>
      <protection/>
    </xf>
    <xf numFmtId="14" fontId="21" fillId="0" borderId="133" xfId="0" applyNumberFormat="1" applyFont="1" applyBorder="1" applyAlignment="1">
      <alignment horizontal="center"/>
    </xf>
    <xf numFmtId="0" fontId="42" fillId="0" borderId="85" xfId="0" applyFont="1" applyBorder="1" applyAlignment="1">
      <alignment/>
    </xf>
    <xf numFmtId="0" fontId="19" fillId="0" borderId="66" xfId="0" applyFont="1" applyBorder="1" applyAlignment="1">
      <alignment horizontal="center" wrapText="1"/>
    </xf>
    <xf numFmtId="0" fontId="23" fillId="0" borderId="55" xfId="0" applyFont="1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135" xfId="0" applyFont="1" applyBorder="1" applyAlignment="1">
      <alignment horizontal="center"/>
    </xf>
    <xf numFmtId="0" fontId="19" fillId="0" borderId="156" xfId="0" applyFont="1" applyBorder="1" applyAlignment="1">
      <alignment horizontal="right"/>
    </xf>
    <xf numFmtId="0" fontId="19" fillId="0" borderId="45" xfId="0" applyFont="1" applyBorder="1" applyAlignment="1">
      <alignment vertical="center"/>
    </xf>
    <xf numFmtId="3" fontId="19" fillId="0" borderId="45" xfId="0" applyNumberFormat="1" applyFont="1" applyFill="1" applyBorder="1" applyAlignment="1">
      <alignment vertical="center"/>
    </xf>
    <xf numFmtId="0" fontId="19" fillId="0" borderId="47" xfId="0" applyFont="1" applyFill="1" applyBorder="1" applyAlignment="1">
      <alignment/>
    </xf>
    <xf numFmtId="0" fontId="19" fillId="0" borderId="158" xfId="0" applyFont="1" applyBorder="1" applyAlignment="1">
      <alignment horizontal="right"/>
    </xf>
    <xf numFmtId="0" fontId="19" fillId="0" borderId="48" xfId="0" applyFont="1" applyBorder="1" applyAlignment="1">
      <alignment vertical="center"/>
    </xf>
    <xf numFmtId="3" fontId="19" fillId="0" borderId="48" xfId="0" applyNumberFormat="1" applyFont="1" applyFill="1" applyBorder="1" applyAlignment="1">
      <alignment vertical="center"/>
    </xf>
    <xf numFmtId="3" fontId="19" fillId="0" borderId="49" xfId="0" applyNumberFormat="1" applyFont="1" applyFill="1" applyBorder="1" applyAlignment="1">
      <alignment/>
    </xf>
    <xf numFmtId="3" fontId="23" fillId="0" borderId="58" xfId="0" applyNumberFormat="1" applyFont="1" applyFill="1" applyBorder="1" applyAlignment="1">
      <alignment/>
    </xf>
    <xf numFmtId="3" fontId="23" fillId="0" borderId="102" xfId="0" applyNumberFormat="1" applyFont="1" applyFill="1" applyBorder="1" applyAlignment="1">
      <alignment/>
    </xf>
    <xf numFmtId="0" fontId="23" fillId="0" borderId="24" xfId="0" applyFont="1" applyBorder="1" applyAlignment="1">
      <alignment horizontal="center"/>
    </xf>
    <xf numFmtId="0" fontId="30" fillId="0" borderId="67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 horizontal="right" vertical="center"/>
      <protection/>
    </xf>
    <xf numFmtId="3" fontId="19" fillId="0" borderId="74" xfId="40" applyNumberFormat="1" applyFont="1" applyFill="1" applyBorder="1" applyAlignment="1" applyProtection="1">
      <alignment horizontal="right" vertical="center"/>
      <protection/>
    </xf>
    <xf numFmtId="3" fontId="23" fillId="0" borderId="52" xfId="4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Border="1" applyAlignment="1">
      <alignment/>
    </xf>
    <xf numFmtId="0" fontId="33" fillId="0" borderId="52" xfId="0" applyFont="1" applyBorder="1" applyAlignment="1">
      <alignment/>
    </xf>
    <xf numFmtId="0" fontId="23" fillId="0" borderId="67" xfId="0" applyFont="1" applyBorder="1" applyAlignment="1">
      <alignment vertical="center"/>
    </xf>
    <xf numFmtId="3" fontId="19" fillId="0" borderId="209" xfId="56" applyNumberFormat="1" applyFont="1" applyBorder="1" applyProtection="1">
      <alignment/>
      <protection/>
    </xf>
    <xf numFmtId="0" fontId="19" fillId="0" borderId="91" xfId="0" applyFont="1" applyBorder="1" applyAlignment="1">
      <alignment/>
    </xf>
    <xf numFmtId="3" fontId="19" fillId="0" borderId="110" xfId="0" applyNumberFormat="1" applyFont="1" applyFill="1" applyBorder="1" applyAlignment="1">
      <alignment/>
    </xf>
    <xf numFmtId="0" fontId="0" fillId="0" borderId="64" xfId="0" applyFont="1" applyBorder="1" applyAlignment="1">
      <alignment horizontal="center"/>
    </xf>
    <xf numFmtId="0" fontId="37" fillId="0" borderId="82" xfId="0" applyFont="1" applyBorder="1" applyAlignment="1">
      <alignment horizontal="justify" vertical="center"/>
    </xf>
    <xf numFmtId="3" fontId="19" fillId="0" borderId="13" xfId="0" applyNumberFormat="1" applyFont="1" applyBorder="1" applyAlignment="1">
      <alignment vertical="center"/>
    </xf>
    <xf numFmtId="0" fontId="37" fillId="0" borderId="82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23" fillId="0" borderId="149" xfId="0" applyFont="1" applyBorder="1" applyAlignment="1">
      <alignment vertical="center"/>
    </xf>
    <xf numFmtId="3" fontId="47" fillId="0" borderId="64" xfId="4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23" fillId="0" borderId="302" xfId="0" applyFont="1" applyBorder="1" applyAlignment="1">
      <alignment horizontal="center"/>
    </xf>
    <xf numFmtId="0" fontId="23" fillId="0" borderId="303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60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55" fillId="0" borderId="72" xfId="0" applyFont="1" applyBorder="1" applyAlignment="1">
      <alignment wrapText="1"/>
    </xf>
    <xf numFmtId="0" fontId="56" fillId="0" borderId="66" xfId="0" applyFont="1" applyBorder="1" applyAlignment="1">
      <alignment wrapText="1"/>
    </xf>
    <xf numFmtId="0" fontId="23" fillId="0" borderId="101" xfId="0" applyFont="1" applyBorder="1" applyAlignment="1">
      <alignment horizontal="center" wrapText="1"/>
    </xf>
    <xf numFmtId="0" fontId="23" fillId="0" borderId="122" xfId="0" applyFont="1" applyBorder="1" applyAlignment="1">
      <alignment horizontal="center" wrapText="1"/>
    </xf>
    <xf numFmtId="0" fontId="35" fillId="0" borderId="72" xfId="0" applyFont="1" applyBorder="1" applyAlignment="1">
      <alignment wrapText="1"/>
    </xf>
    <xf numFmtId="0" fontId="0" fillId="0" borderId="53" xfId="0" applyBorder="1" applyAlignment="1">
      <alignment wrapText="1"/>
    </xf>
    <xf numFmtId="0" fontId="31" fillId="0" borderId="160" xfId="0" applyFont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70" xfId="0" applyFont="1" applyBorder="1" applyAlignment="1">
      <alignment wrapText="1"/>
    </xf>
    <xf numFmtId="0" fontId="0" fillId="0" borderId="304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4" xfId="0" applyFont="1" applyBorder="1" applyAlignment="1">
      <alignment horizontal="center" wrapText="1"/>
    </xf>
    <xf numFmtId="0" fontId="35" fillId="0" borderId="53" xfId="0" applyFont="1" applyBorder="1" applyAlignment="1">
      <alignment wrapText="1"/>
    </xf>
    <xf numFmtId="0" fontId="23" fillId="0" borderId="112" xfId="0" applyFont="1" applyBorder="1" applyAlignment="1">
      <alignment wrapText="1"/>
    </xf>
    <xf numFmtId="0" fontId="0" fillId="0" borderId="113" xfId="0" applyBorder="1" applyAlignment="1">
      <alignment wrapText="1"/>
    </xf>
    <xf numFmtId="0" fontId="21" fillId="0" borderId="170" xfId="0" applyFont="1" applyBorder="1" applyAlignment="1">
      <alignment/>
    </xf>
    <xf numFmtId="0" fontId="0" fillId="0" borderId="304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2" xfId="0" applyFont="1" applyBorder="1" applyAlignment="1">
      <alignment wrapText="1"/>
    </xf>
    <xf numFmtId="0" fontId="19" fillId="0" borderId="66" xfId="0" applyFont="1" applyBorder="1" applyAlignment="1">
      <alignment wrapText="1"/>
    </xf>
    <xf numFmtId="0" fontId="23" fillId="0" borderId="46" xfId="0" applyFont="1" applyBorder="1" applyAlignment="1">
      <alignment horizontal="center" vertical="center"/>
    </xf>
    <xf numFmtId="0" fontId="23" fillId="0" borderId="161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21" fillId="0" borderId="46" xfId="0" applyFont="1" applyBorder="1" applyAlignment="1">
      <alignment/>
    </xf>
    <xf numFmtId="0" fontId="0" fillId="0" borderId="172" xfId="0" applyBorder="1" applyAlignment="1">
      <alignment/>
    </xf>
    <xf numFmtId="0" fontId="19" fillId="0" borderId="46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23" fillId="0" borderId="305" xfId="0" applyFont="1" applyBorder="1" applyAlignment="1">
      <alignment horizontal="center" vertical="center" wrapText="1"/>
    </xf>
    <xf numFmtId="0" fontId="23" fillId="0" borderId="21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42" fillId="0" borderId="0" xfId="0" applyFont="1" applyAlignment="1">
      <alignment horizontal="center"/>
    </xf>
    <xf numFmtId="0" fontId="0" fillId="0" borderId="55" xfId="0" applyBorder="1" applyAlignment="1">
      <alignment/>
    </xf>
    <xf numFmtId="0" fontId="19" fillId="0" borderId="72" xfId="0" applyFont="1" applyFill="1" applyBorder="1" applyAlignment="1">
      <alignment wrapText="1"/>
    </xf>
    <xf numFmtId="0" fontId="19" fillId="0" borderId="66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01" xfId="0" applyFont="1" applyBorder="1" applyAlignment="1">
      <alignment wrapText="1"/>
    </xf>
    <xf numFmtId="0" fontId="23" fillId="0" borderId="63" xfId="0" applyFont="1" applyBorder="1" applyAlignment="1">
      <alignment wrapText="1"/>
    </xf>
    <xf numFmtId="0" fontId="1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0" xfId="56" applyFont="1" applyBorder="1" applyAlignment="1" applyProtection="1">
      <alignment horizontal="center"/>
      <protection/>
    </xf>
    <xf numFmtId="0" fontId="23" fillId="0" borderId="166" xfId="56" applyFont="1" applyBorder="1" applyAlignment="1" applyProtection="1">
      <alignment horizontal="center"/>
      <protection/>
    </xf>
    <xf numFmtId="0" fontId="23" fillId="0" borderId="164" xfId="56" applyFont="1" applyBorder="1" applyAlignment="1" applyProtection="1">
      <alignment horizontal="center"/>
      <protection/>
    </xf>
    <xf numFmtId="0" fontId="41" fillId="0" borderId="0" xfId="56" applyFont="1" applyBorder="1" applyAlignment="1" applyProtection="1">
      <alignment horizontal="center"/>
      <protection/>
    </xf>
    <xf numFmtId="0" fontId="19" fillId="0" borderId="170" xfId="0" applyFont="1" applyBorder="1" applyAlignment="1">
      <alignment wrapText="1"/>
    </xf>
    <xf numFmtId="0" fontId="0" fillId="0" borderId="157" xfId="0" applyBorder="1" applyAlignment="1">
      <alignment wrapText="1"/>
    </xf>
    <xf numFmtId="3" fontId="30" fillId="0" borderId="68" xfId="0" applyNumberFormat="1" applyFont="1" applyBorder="1" applyAlignment="1">
      <alignment/>
    </xf>
    <xf numFmtId="3" fontId="30" fillId="0" borderId="59" xfId="0" applyNumberFormat="1" applyFont="1" applyBorder="1" applyAlignment="1">
      <alignment/>
    </xf>
    <xf numFmtId="0" fontId="30" fillId="0" borderId="132" xfId="0" applyFont="1" applyBorder="1" applyAlignment="1">
      <alignment/>
    </xf>
    <xf numFmtId="0" fontId="30" fillId="0" borderId="265" xfId="0" applyFont="1" applyBorder="1" applyAlignment="1">
      <alignment/>
    </xf>
    <xf numFmtId="0" fontId="50" fillId="0" borderId="56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0" fillId="0" borderId="56" xfId="0" applyFont="1" applyBorder="1" applyAlignment="1">
      <alignment/>
    </xf>
    <xf numFmtId="0" fontId="30" fillId="0" borderId="97" xfId="0" applyFont="1" applyBorder="1" applyAlignment="1">
      <alignment/>
    </xf>
    <xf numFmtId="3" fontId="30" fillId="0" borderId="56" xfId="0" applyNumberFormat="1" applyFont="1" applyBorder="1" applyAlignment="1">
      <alignment/>
    </xf>
    <xf numFmtId="3" fontId="30" fillId="0" borderId="80" xfId="0" applyNumberFormat="1" applyFont="1" applyBorder="1" applyAlignment="1">
      <alignment/>
    </xf>
    <xf numFmtId="0" fontId="30" fillId="0" borderId="104" xfId="0" applyFont="1" applyBorder="1" applyAlignment="1">
      <alignment/>
    </xf>
    <xf numFmtId="0" fontId="30" fillId="0" borderId="147" xfId="0" applyFont="1" applyBorder="1" applyAlignment="1">
      <alignment/>
    </xf>
    <xf numFmtId="3" fontId="30" fillId="0" borderId="104" xfId="0" applyNumberFormat="1" applyFont="1" applyBorder="1" applyAlignment="1">
      <alignment/>
    </xf>
    <xf numFmtId="3" fontId="30" fillId="0" borderId="205" xfId="0" applyNumberFormat="1" applyFont="1" applyBorder="1" applyAlignment="1">
      <alignment/>
    </xf>
    <xf numFmtId="0" fontId="30" fillId="0" borderId="123" xfId="0" applyFont="1" applyBorder="1" applyAlignment="1">
      <alignment/>
    </xf>
    <xf numFmtId="0" fontId="30" fillId="0" borderId="67" xfId="0" applyFont="1" applyBorder="1" applyAlignment="1">
      <alignment/>
    </xf>
    <xf numFmtId="0" fontId="30" fillId="0" borderId="0" xfId="0" applyFont="1" applyFill="1" applyAlignment="1">
      <alignment horizontal="left" wrapText="1"/>
    </xf>
    <xf numFmtId="0" fontId="23" fillId="0" borderId="0" xfId="0" applyFont="1" applyAlignment="1">
      <alignment horizontal="center"/>
    </xf>
    <xf numFmtId="3" fontId="30" fillId="0" borderId="132" xfId="0" applyNumberFormat="1" applyFont="1" applyBorder="1" applyAlignment="1">
      <alignment/>
    </xf>
    <xf numFmtId="3" fontId="30" fillId="0" borderId="173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30" fillId="0" borderId="56" xfId="0" applyFont="1" applyBorder="1" applyAlignment="1">
      <alignment horizontal="center"/>
    </xf>
    <xf numFmtId="0" fontId="30" fillId="0" borderId="8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2" xfId="0" applyFont="1" applyBorder="1" applyAlignment="1">
      <alignment horizontal="center" wrapText="1"/>
    </xf>
    <xf numFmtId="0" fontId="33" fillId="0" borderId="53" xfId="0" applyFont="1" applyBorder="1" applyAlignment="1">
      <alignment horizontal="center" wrapText="1"/>
    </xf>
    <xf numFmtId="0" fontId="0" fillId="0" borderId="66" xfId="0" applyBorder="1" applyAlignment="1">
      <alignment wrapText="1"/>
    </xf>
    <xf numFmtId="0" fontId="19" fillId="0" borderId="97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33" fillId="0" borderId="56" xfId="0" applyFont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50" fillId="0" borderId="30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66" xfId="0" applyFont="1" applyBorder="1" applyAlignment="1">
      <alignment horizontal="center" vertical="center"/>
    </xf>
    <xf numFmtId="0" fontId="50" fillId="0" borderId="161" xfId="0" applyFont="1" applyBorder="1" applyAlignment="1">
      <alignment horizontal="center" vertical="center"/>
    </xf>
    <xf numFmtId="0" fontId="50" fillId="0" borderId="164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Border="1" applyAlignment="1">
      <alignment horizontal="justify"/>
    </xf>
    <xf numFmtId="0" fontId="46" fillId="0" borderId="69" xfId="0" applyFont="1" applyBorder="1" applyAlignment="1">
      <alignment horizontal="center" vertical="center"/>
    </xf>
    <xf numFmtId="0" fontId="46" fillId="0" borderId="156" xfId="0" applyFont="1" applyBorder="1" applyAlignment="1">
      <alignment horizontal="center" vertical="center"/>
    </xf>
    <xf numFmtId="0" fontId="47" fillId="0" borderId="204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19" fillId="0" borderId="16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0" fillId="0" borderId="168" xfId="0" applyBorder="1" applyAlignment="1">
      <alignment horizontal="center"/>
    </xf>
    <xf numFmtId="0" fontId="42" fillId="0" borderId="170" xfId="0" applyFont="1" applyBorder="1" applyAlignment="1">
      <alignment horizontal="center" vertical="center"/>
    </xf>
    <xf numFmtId="0" fontId="42" fillId="0" borderId="306" xfId="0" applyFont="1" applyBorder="1" applyAlignment="1">
      <alignment horizontal="center" vertical="center"/>
    </xf>
    <xf numFmtId="0" fontId="42" fillId="0" borderId="30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08" xfId="0" applyFont="1" applyBorder="1" applyAlignment="1">
      <alignment horizontal="center" vertical="center" wrapText="1"/>
    </xf>
    <xf numFmtId="0" fontId="23" fillId="0" borderId="309" xfId="0" applyFont="1" applyBorder="1" applyAlignment="1">
      <alignment horizontal="center" vertical="center" wrapText="1"/>
    </xf>
    <xf numFmtId="0" fontId="42" fillId="0" borderId="310" xfId="0" applyFont="1" applyBorder="1" applyAlignment="1">
      <alignment horizontal="center" vertical="center"/>
    </xf>
    <xf numFmtId="0" fontId="42" fillId="0" borderId="311" xfId="0" applyFont="1" applyBorder="1" applyAlignment="1">
      <alignment horizontal="center" vertical="center"/>
    </xf>
    <xf numFmtId="0" fontId="23" fillId="0" borderId="209" xfId="0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1" fillId="0" borderId="163" xfId="0" applyFont="1" applyBorder="1" applyAlignment="1">
      <alignment vertical="center"/>
    </xf>
    <xf numFmtId="0" fontId="21" fillId="0" borderId="159" xfId="0" applyFont="1" applyBorder="1" applyAlignment="1">
      <alignment vertical="center"/>
    </xf>
    <xf numFmtId="0" fontId="21" fillId="0" borderId="70" xfId="0" applyFont="1" applyBorder="1" applyAlignment="1">
      <alignment/>
    </xf>
    <xf numFmtId="0" fontId="0" fillId="0" borderId="70" xfId="0" applyBorder="1" applyAlignment="1">
      <alignment/>
    </xf>
    <xf numFmtId="0" fontId="0" fillId="0" borderId="204" xfId="0" applyBorder="1" applyAlignment="1">
      <alignment/>
    </xf>
    <xf numFmtId="0" fontId="23" fillId="0" borderId="5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66" xfId="0" applyFont="1" applyBorder="1" applyAlignment="1">
      <alignment wrapText="1"/>
    </xf>
    <xf numFmtId="0" fontId="23" fillId="0" borderId="163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63" xfId="56" applyFont="1" applyBorder="1" applyAlignment="1" applyProtection="1">
      <alignment horizontal="center"/>
      <protection/>
    </xf>
    <xf numFmtId="0" fontId="23" fillId="0" borderId="312" xfId="56" applyFont="1" applyBorder="1" applyAlignment="1" applyProtection="1">
      <alignment horizontal="center"/>
      <protection/>
    </xf>
    <xf numFmtId="0" fontId="0" fillId="0" borderId="312" xfId="0" applyBorder="1" applyAlignment="1">
      <alignment horizontal="center"/>
    </xf>
    <xf numFmtId="0" fontId="23" fillId="0" borderId="56" xfId="56" applyFont="1" applyBorder="1" applyAlignment="1" applyProtection="1">
      <alignment horizontal="center"/>
      <protection/>
    </xf>
    <xf numFmtId="0" fontId="23" fillId="0" borderId="97" xfId="56" applyFont="1" applyBorder="1" applyAlignment="1" applyProtection="1">
      <alignment horizontal="center"/>
      <protection/>
    </xf>
    <xf numFmtId="0" fontId="0" fillId="0" borderId="97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imÓd7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I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  <col min="13" max="13" width="11.421875" style="0" bestFit="1" customWidth="1"/>
  </cols>
  <sheetData>
    <row r="1" spans="1:9" ht="12.75">
      <c r="A1" s="1654" t="s">
        <v>1404</v>
      </c>
      <c r="B1" s="1654"/>
      <c r="C1" s="1654"/>
      <c r="D1" s="1654"/>
      <c r="E1" s="1654"/>
      <c r="F1" s="1654"/>
      <c r="G1" s="1654"/>
      <c r="H1" s="1654"/>
      <c r="I1" s="1654"/>
    </row>
    <row r="2" spans="2:9" s="2" customFormat="1" ht="14.25" customHeight="1">
      <c r="B2" s="1655" t="s">
        <v>0</v>
      </c>
      <c r="C2" s="1655"/>
      <c r="D2" s="1655"/>
      <c r="E2" s="1655"/>
      <c r="F2" s="1655"/>
      <c r="G2" s="1655"/>
      <c r="H2" s="1655"/>
      <c r="I2" s="1655"/>
    </row>
    <row r="3" spans="2:9" s="2" customFormat="1" ht="13.5" customHeight="1">
      <c r="B3" s="1655" t="s">
        <v>604</v>
      </c>
      <c r="C3" s="1655"/>
      <c r="D3" s="1655"/>
      <c r="E3" s="1655"/>
      <c r="F3" s="1655"/>
      <c r="G3" s="1655"/>
      <c r="H3" s="1655"/>
      <c r="I3" s="1655"/>
    </row>
    <row r="4" spans="2:9" s="2" customFormat="1" ht="12" customHeight="1" thickBot="1">
      <c r="B4" s="588"/>
      <c r="C4" s="588"/>
      <c r="D4" s="588"/>
      <c r="E4" s="588"/>
      <c r="F4" s="588"/>
      <c r="G4" s="588"/>
      <c r="H4" s="588"/>
      <c r="I4" s="588" t="s">
        <v>237</v>
      </c>
    </row>
    <row r="5" spans="1:9" ht="13.5" thickBot="1">
      <c r="A5" s="1661" t="s">
        <v>311</v>
      </c>
      <c r="B5" s="1656" t="s">
        <v>1</v>
      </c>
      <c r="C5" s="1657"/>
      <c r="D5" s="1657"/>
      <c r="E5" s="1658"/>
      <c r="F5" s="1658" t="s">
        <v>2</v>
      </c>
      <c r="G5" s="1659"/>
      <c r="H5" s="1659"/>
      <c r="I5" s="1660"/>
    </row>
    <row r="6" spans="1:9" s="3" customFormat="1" ht="24" customHeight="1" thickBot="1">
      <c r="A6" s="1662"/>
      <c r="B6" s="587" t="s">
        <v>3</v>
      </c>
      <c r="C6" s="603" t="s">
        <v>1066</v>
      </c>
      <c r="D6" s="373" t="s">
        <v>1067</v>
      </c>
      <c r="E6" s="586" t="s">
        <v>1068</v>
      </c>
      <c r="F6" s="465" t="s">
        <v>3</v>
      </c>
      <c r="G6" s="373" t="s">
        <v>1069</v>
      </c>
      <c r="H6" s="373" t="s">
        <v>1070</v>
      </c>
      <c r="I6" s="586" t="s">
        <v>1068</v>
      </c>
    </row>
    <row r="7" spans="1:9" s="374" customFormat="1" ht="12" thickBot="1">
      <c r="A7" s="597" t="s">
        <v>312</v>
      </c>
      <c r="B7" s="598" t="s">
        <v>313</v>
      </c>
      <c r="C7" s="598" t="s">
        <v>314</v>
      </c>
      <c r="D7" s="599" t="s">
        <v>315</v>
      </c>
      <c r="E7" s="600" t="s">
        <v>335</v>
      </c>
      <c r="F7" s="601" t="s">
        <v>360</v>
      </c>
      <c r="G7" s="599" t="s">
        <v>335</v>
      </c>
      <c r="H7" s="599" t="s">
        <v>361</v>
      </c>
      <c r="I7" s="600" t="s">
        <v>387</v>
      </c>
    </row>
    <row r="8" spans="1:9" s="3" customFormat="1" ht="26.25" customHeight="1">
      <c r="A8" s="372" t="s">
        <v>399</v>
      </c>
      <c r="B8" s="584" t="s">
        <v>606</v>
      </c>
      <c r="C8" s="273">
        <f>C9+C10+C11+C13</f>
        <v>3536823</v>
      </c>
      <c r="D8" s="273">
        <f>D9+D10+D11+D12+D13</f>
        <v>3141139</v>
      </c>
      <c r="E8" s="149">
        <f>'13_sz_ melléklet'!F8</f>
        <v>3169900</v>
      </c>
      <c r="F8" s="584" t="s">
        <v>397</v>
      </c>
      <c r="G8" s="746">
        <f>G9+G10+G11+G12+G13</f>
        <v>3595731</v>
      </c>
      <c r="H8" s="1105">
        <f>H9+H10+H11+H12+H13</f>
        <v>2956347</v>
      </c>
      <c r="I8" s="593">
        <f>'2_sz_ melléklet'!F24</f>
        <v>4251301.74</v>
      </c>
    </row>
    <row r="9" spans="1:9" s="3" customFormat="1" ht="13.5" customHeight="1">
      <c r="A9" s="372" t="s">
        <v>400</v>
      </c>
      <c r="B9" s="585" t="s">
        <v>607</v>
      </c>
      <c r="C9" s="155">
        <v>609844</v>
      </c>
      <c r="D9" s="155">
        <v>436387</v>
      </c>
      <c r="E9" s="147">
        <f>'13_sz_ melléklet'!F9</f>
        <v>436162</v>
      </c>
      <c r="F9" s="585" t="s">
        <v>774</v>
      </c>
      <c r="G9" s="748">
        <v>979006</v>
      </c>
      <c r="H9" s="747">
        <v>1027706</v>
      </c>
      <c r="I9" s="594">
        <f>'2_sz_ melléklet'!F10</f>
        <v>1130241</v>
      </c>
    </row>
    <row r="10" spans="1:9" s="3" customFormat="1" ht="23.25" customHeight="1">
      <c r="A10" s="372" t="s">
        <v>401</v>
      </c>
      <c r="B10" s="585" t="s">
        <v>608</v>
      </c>
      <c r="C10" s="155">
        <v>1054761</v>
      </c>
      <c r="D10" s="155">
        <v>1002873</v>
      </c>
      <c r="E10" s="147">
        <f>'13_sz_ melléklet'!F10</f>
        <v>1022700</v>
      </c>
      <c r="F10" s="774" t="s">
        <v>775</v>
      </c>
      <c r="G10" s="748">
        <v>264896</v>
      </c>
      <c r="H10" s="747">
        <v>270854</v>
      </c>
      <c r="I10" s="594">
        <f>'2_sz_ melléklet'!F11</f>
        <v>299477</v>
      </c>
    </row>
    <row r="11" spans="1:9" s="3" customFormat="1" ht="23.25" customHeight="1">
      <c r="A11" s="372" t="s">
        <v>402</v>
      </c>
      <c r="B11" s="585" t="s">
        <v>678</v>
      </c>
      <c r="C11" s="155">
        <v>1857868</v>
      </c>
      <c r="D11" s="155">
        <v>1699610</v>
      </c>
      <c r="E11" s="147">
        <f>'13_sz_ melléklet'!F15</f>
        <v>1711038</v>
      </c>
      <c r="F11" s="229" t="s">
        <v>776</v>
      </c>
      <c r="G11" s="748">
        <v>919287</v>
      </c>
      <c r="H11" s="747">
        <v>959088</v>
      </c>
      <c r="I11" s="594">
        <f>'2_sz_ melléklet'!F12+'2_sz_ melléklet'!F13</f>
        <v>1100182.74</v>
      </c>
    </row>
    <row r="12" spans="1:9" s="3" customFormat="1" ht="13.5" customHeight="1">
      <c r="A12" s="372" t="s">
        <v>403</v>
      </c>
      <c r="B12" s="967" t="s">
        <v>296</v>
      </c>
      <c r="C12" s="155"/>
      <c r="D12" s="155"/>
      <c r="E12" s="147">
        <v>0</v>
      </c>
      <c r="F12" s="229" t="s">
        <v>777</v>
      </c>
      <c r="G12" s="748">
        <v>1191851</v>
      </c>
      <c r="H12" s="747">
        <v>558942</v>
      </c>
      <c r="I12" s="594">
        <f>'2_sz_ melléklet'!F15</f>
        <v>1597900</v>
      </c>
    </row>
    <row r="13" spans="1:9" s="3" customFormat="1" ht="26.25" customHeight="1">
      <c r="A13" s="372" t="s">
        <v>404</v>
      </c>
      <c r="B13" s="316" t="s">
        <v>677</v>
      </c>
      <c r="C13" s="155">
        <v>14350</v>
      </c>
      <c r="D13" s="155">
        <v>2269</v>
      </c>
      <c r="E13" s="147"/>
      <c r="F13" s="186" t="s">
        <v>693</v>
      </c>
      <c r="G13" s="748">
        <v>240691</v>
      </c>
      <c r="H13" s="747">
        <v>139757</v>
      </c>
      <c r="I13" s="594">
        <f>'2_sz_ melléklet'!F23</f>
        <v>123501</v>
      </c>
    </row>
    <row r="14" spans="1:9" s="3" customFormat="1" ht="6" customHeight="1">
      <c r="A14" s="372"/>
      <c r="B14" s="316"/>
      <c r="C14" s="155"/>
      <c r="D14" s="155"/>
      <c r="E14" s="147"/>
      <c r="F14" s="697"/>
      <c r="G14" s="748"/>
      <c r="H14" s="747"/>
      <c r="I14" s="594"/>
    </row>
    <row r="15" spans="1:9" s="3" customFormat="1" ht="21" customHeight="1">
      <c r="A15" s="372" t="s">
        <v>322</v>
      </c>
      <c r="B15" s="316" t="s">
        <v>407</v>
      </c>
      <c r="C15" s="155">
        <f>C16+C17+C18</f>
        <v>926851</v>
      </c>
      <c r="D15" s="155">
        <f>D16+D17+D18</f>
        <v>1421703</v>
      </c>
      <c r="E15" s="147">
        <f>'13_sz_ melléklet'!F28</f>
        <v>867044</v>
      </c>
      <c r="F15" s="316" t="s">
        <v>398</v>
      </c>
      <c r="G15" s="748">
        <f>G16+G17+G18</f>
        <v>907104</v>
      </c>
      <c r="H15" s="748">
        <f>H16+H17+H18</f>
        <v>1879640</v>
      </c>
      <c r="I15" s="594">
        <f>'2_sz_ melléklet'!F39</f>
        <v>1498024</v>
      </c>
    </row>
    <row r="16" spans="1:13" s="3" customFormat="1" ht="25.5" customHeight="1">
      <c r="A16" s="372" t="s">
        <v>323</v>
      </c>
      <c r="B16" s="585" t="s">
        <v>1071</v>
      </c>
      <c r="C16" s="155">
        <v>61061</v>
      </c>
      <c r="D16" s="155">
        <v>3181</v>
      </c>
      <c r="E16" s="147">
        <f>'13_sz_ melléklet'!F29</f>
        <v>0</v>
      </c>
      <c r="F16" s="229" t="s">
        <v>778</v>
      </c>
      <c r="G16" s="748">
        <v>580718</v>
      </c>
      <c r="H16" s="748">
        <v>1466460</v>
      </c>
      <c r="I16" s="594">
        <f>'2_sz_ melléklet'!F27</f>
        <v>1113763</v>
      </c>
      <c r="M16" s="1515"/>
    </row>
    <row r="17" spans="1:9" s="3" customFormat="1" ht="36.75" customHeight="1">
      <c r="A17" s="372" t="s">
        <v>324</v>
      </c>
      <c r="B17" s="585" t="s">
        <v>1072</v>
      </c>
      <c r="C17" s="155">
        <v>736302</v>
      </c>
      <c r="D17" s="155">
        <v>1248909</v>
      </c>
      <c r="E17" s="147">
        <f>'13_sz_ melléklet'!F35</f>
        <v>791263</v>
      </c>
      <c r="F17" s="229" t="s">
        <v>779</v>
      </c>
      <c r="G17" s="748">
        <v>170967</v>
      </c>
      <c r="H17" s="748">
        <v>106235</v>
      </c>
      <c r="I17" s="594">
        <f>'2_sz_ melléklet'!F28</f>
        <v>190656</v>
      </c>
    </row>
    <row r="18" spans="1:9" s="3" customFormat="1" ht="15" customHeight="1">
      <c r="A18" s="372" t="s">
        <v>325</v>
      </c>
      <c r="B18" s="585" t="s">
        <v>1073</v>
      </c>
      <c r="C18" s="155">
        <v>129488</v>
      </c>
      <c r="D18" s="155">
        <v>169613</v>
      </c>
      <c r="E18" s="147">
        <f>'13_sz_ melléklet'!F38</f>
        <v>0</v>
      </c>
      <c r="F18" s="229" t="s">
        <v>780</v>
      </c>
      <c r="G18" s="748">
        <v>155419</v>
      </c>
      <c r="H18" s="748">
        <v>306945</v>
      </c>
      <c r="I18" s="594">
        <f>'2_sz_ melléklet'!F29</f>
        <v>193605</v>
      </c>
    </row>
    <row r="19" spans="1:9" s="3" customFormat="1" ht="15.75" customHeight="1">
      <c r="A19" s="372" t="s">
        <v>326</v>
      </c>
      <c r="B19" s="967" t="s">
        <v>789</v>
      </c>
      <c r="C19" s="155"/>
      <c r="D19" s="155">
        <v>0</v>
      </c>
      <c r="E19" s="147">
        <v>0</v>
      </c>
      <c r="F19" s="967" t="s">
        <v>788</v>
      </c>
      <c r="G19" s="748"/>
      <c r="H19" s="748">
        <v>0</v>
      </c>
      <c r="I19" s="594">
        <v>0</v>
      </c>
    </row>
    <row r="20" spans="1:9" s="3" customFormat="1" ht="6.75" customHeight="1">
      <c r="A20" s="372"/>
      <c r="B20" s="967"/>
      <c r="C20" s="155"/>
      <c r="D20" s="147"/>
      <c r="E20" s="147"/>
      <c r="F20" s="967"/>
      <c r="G20" s="748"/>
      <c r="H20" s="748"/>
      <c r="I20" s="594"/>
    </row>
    <row r="21" spans="1:9" s="3" customFormat="1" ht="16.5" customHeight="1">
      <c r="A21" s="372" t="s">
        <v>327</v>
      </c>
      <c r="B21" s="316" t="s">
        <v>534</v>
      </c>
      <c r="C21" s="155">
        <f>SUM(C22:C28)</f>
        <v>4729170</v>
      </c>
      <c r="D21" s="147">
        <f>SUM(D22:D28)</f>
        <v>19202200</v>
      </c>
      <c r="E21" s="147">
        <f>SUM(E22:E29)</f>
        <v>15085350</v>
      </c>
      <c r="F21" s="316" t="s">
        <v>781</v>
      </c>
      <c r="G21" s="940">
        <f>SUM(G22:G28)</f>
        <v>2686930</v>
      </c>
      <c r="H21" s="940">
        <f>SUM(H22:H28)</f>
        <v>17197131</v>
      </c>
      <c r="I21" s="594">
        <f>SUM(I22:I28)</f>
        <v>13372968</v>
      </c>
    </row>
    <row r="22" spans="1:9" s="3" customFormat="1" ht="23.25" customHeight="1">
      <c r="A22" s="372" t="s">
        <v>328</v>
      </c>
      <c r="B22" s="969" t="s">
        <v>919</v>
      </c>
      <c r="C22" s="151">
        <v>2370426</v>
      </c>
      <c r="D22" s="151">
        <v>2003078</v>
      </c>
      <c r="E22" s="147">
        <f>'13_sz_ melléklet'!F50</f>
        <v>1742908</v>
      </c>
      <c r="F22" s="968" t="s">
        <v>782</v>
      </c>
      <c r="G22" s="747"/>
      <c r="H22" s="747">
        <v>16088066</v>
      </c>
      <c r="I22" s="594">
        <f>'2_sz_ melléklet'!F44</f>
        <v>12023365</v>
      </c>
    </row>
    <row r="23" spans="1:9" s="3" customFormat="1" ht="15" customHeight="1">
      <c r="A23" s="372" t="s">
        <v>329</v>
      </c>
      <c r="B23" s="969" t="s">
        <v>920</v>
      </c>
      <c r="C23" s="151">
        <v>27141</v>
      </c>
      <c r="D23" s="151">
        <v>30526</v>
      </c>
      <c r="E23" s="147">
        <f>'13_sz_ melléklet'!F51</f>
        <v>0</v>
      </c>
      <c r="F23" s="968" t="s">
        <v>783</v>
      </c>
      <c r="G23" s="747">
        <v>1206333</v>
      </c>
      <c r="H23" s="747">
        <v>1081924</v>
      </c>
      <c r="I23" s="594">
        <f>'2_sz_ melléklet'!F45</f>
        <v>1219077</v>
      </c>
    </row>
    <row r="24" spans="1:9" s="3" customFormat="1" ht="15" customHeight="1">
      <c r="A24" s="372" t="s">
        <v>330</v>
      </c>
      <c r="B24" s="969" t="s">
        <v>921</v>
      </c>
      <c r="C24" s="151"/>
      <c r="D24" s="151">
        <v>16086672</v>
      </c>
      <c r="E24" s="147">
        <f>'13_sz_ melléklet'!F54</f>
        <v>12023365</v>
      </c>
      <c r="F24" s="968" t="s">
        <v>1168</v>
      </c>
      <c r="G24" s="747"/>
      <c r="H24" s="747">
        <v>27141</v>
      </c>
      <c r="I24" s="594">
        <f>'2_sz_ melléklet'!F43</f>
        <v>30526</v>
      </c>
    </row>
    <row r="25" spans="1:9" s="3" customFormat="1" ht="15" customHeight="1">
      <c r="A25" s="372" t="s">
        <v>331</v>
      </c>
      <c r="B25" s="969" t="s">
        <v>922</v>
      </c>
      <c r="C25" s="151">
        <v>1206333</v>
      </c>
      <c r="D25" s="151">
        <v>1081924</v>
      </c>
      <c r="E25" s="147">
        <f>'13_sz_ melléklet'!F53</f>
        <v>1219077</v>
      </c>
      <c r="F25" s="970" t="s">
        <v>784</v>
      </c>
      <c r="G25" s="747">
        <v>1125270</v>
      </c>
      <c r="H25" s="747"/>
      <c r="I25" s="594">
        <f>'2_sz_ melléklet'!F47</f>
        <v>0</v>
      </c>
    </row>
    <row r="26" spans="1:9" s="3" customFormat="1" ht="21" customHeight="1">
      <c r="A26" s="372" t="s">
        <v>332</v>
      </c>
      <c r="B26" s="1276" t="s">
        <v>918</v>
      </c>
      <c r="C26" s="151">
        <v>1125270</v>
      </c>
      <c r="D26" s="151"/>
      <c r="E26" s="147"/>
      <c r="F26" s="1100" t="s">
        <v>785</v>
      </c>
      <c r="G26" s="747">
        <v>0</v>
      </c>
      <c r="H26" s="747"/>
      <c r="I26" s="594">
        <f>'2_sz_ melléklet'!F48</f>
        <v>100000</v>
      </c>
    </row>
    <row r="27" spans="1:9" s="3" customFormat="1" ht="15" customHeight="1">
      <c r="A27" s="372" t="s">
        <v>333</v>
      </c>
      <c r="B27" s="971" t="s">
        <v>924</v>
      </c>
      <c r="C27" s="151">
        <v>0</v>
      </c>
      <c r="D27" s="151"/>
      <c r="E27" s="147">
        <f>'13_sz_ melléklet'!F48</f>
        <v>0</v>
      </c>
      <c r="F27" s="971" t="s">
        <v>786</v>
      </c>
      <c r="G27" s="747">
        <v>99674</v>
      </c>
      <c r="H27" s="747"/>
      <c r="I27" s="594">
        <f>'2_sz_ melléklet'!F49</f>
        <v>0</v>
      </c>
    </row>
    <row r="28" spans="1:9" s="3" customFormat="1" ht="15" customHeight="1">
      <c r="A28" s="372" t="s">
        <v>334</v>
      </c>
      <c r="B28" s="1104" t="s">
        <v>917</v>
      </c>
      <c r="C28" s="151">
        <v>0</v>
      </c>
      <c r="D28" s="151"/>
      <c r="E28" s="147">
        <f>'13_sz_ melléklet'!F46</f>
        <v>0</v>
      </c>
      <c r="F28" s="1104" t="s">
        <v>787</v>
      </c>
      <c r="G28" s="747">
        <v>255653</v>
      </c>
      <c r="H28" s="747"/>
      <c r="I28" s="594">
        <f>'2_sz_ melléklet'!F50</f>
        <v>0</v>
      </c>
    </row>
    <row r="29" spans="1:9" s="3" customFormat="1" ht="15" customHeight="1" thickBot="1">
      <c r="A29" s="604"/>
      <c r="B29" s="972" t="s">
        <v>923</v>
      </c>
      <c r="C29" s="159"/>
      <c r="D29" s="159"/>
      <c r="E29" s="1101">
        <f>'13_sz_ melléklet'!F47</f>
        <v>100000</v>
      </c>
      <c r="F29" s="972" t="s">
        <v>790</v>
      </c>
      <c r="G29" s="1102"/>
      <c r="H29" s="1106"/>
      <c r="I29" s="1103"/>
    </row>
    <row r="30" spans="1:9" s="7" customFormat="1" ht="29.25" customHeight="1" thickBot="1">
      <c r="A30" s="395"/>
      <c r="B30" s="605" t="s">
        <v>717</v>
      </c>
      <c r="C30" s="158">
        <f>C8+C15+C19+C21</f>
        <v>9192844</v>
      </c>
      <c r="D30" s="158">
        <f>D8+D15+D19+D21</f>
        <v>23765042</v>
      </c>
      <c r="E30" s="158">
        <f>E8+E15+E19+E21</f>
        <v>19122294</v>
      </c>
      <c r="F30" s="606" t="s">
        <v>718</v>
      </c>
      <c r="G30" s="783">
        <f>G8+G15+G19+G21</f>
        <v>7189765</v>
      </c>
      <c r="H30" s="749">
        <f>H8+H15+H19+H21</f>
        <v>22033118</v>
      </c>
      <c r="I30" s="783">
        <f>I8+I15+I19+I21</f>
        <v>19122293.740000002</v>
      </c>
    </row>
    <row r="31" spans="1:11" s="7" customFormat="1" ht="29.25" customHeight="1">
      <c r="A31" s="596"/>
      <c r="B31" s="583"/>
      <c r="C31" s="589"/>
      <c r="D31" s="589"/>
      <c r="E31" s="590"/>
      <c r="F31" s="583"/>
      <c r="G31" s="369"/>
      <c r="H31" s="369"/>
      <c r="I31" s="591"/>
      <c r="J31" s="592"/>
      <c r="K31" s="592"/>
    </row>
    <row r="32" spans="1:11" s="7" customFormat="1" ht="29.25" customHeight="1">
      <c r="A32" s="596"/>
      <c r="B32" s="583"/>
      <c r="C32" s="589"/>
      <c r="D32" s="589"/>
      <c r="E32" s="590"/>
      <c r="F32" s="583"/>
      <c r="G32" s="369"/>
      <c r="H32" s="369"/>
      <c r="I32" s="591"/>
      <c r="J32" s="592"/>
      <c r="K32" s="592"/>
    </row>
    <row r="45" ht="12.75">
      <c r="H45" t="s">
        <v>42</v>
      </c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G62" sqref="G62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54" t="s">
        <v>1417</v>
      </c>
      <c r="B1" s="1654"/>
      <c r="C1" s="1654"/>
      <c r="D1" s="1654"/>
      <c r="E1" s="1654"/>
      <c r="F1" s="1654"/>
    </row>
    <row r="2" spans="2:6" ht="16.5" customHeight="1">
      <c r="B2" s="1"/>
      <c r="C2" s="1"/>
      <c r="D2" s="20"/>
      <c r="E2" s="20"/>
      <c r="F2" s="294" t="s">
        <v>42</v>
      </c>
    </row>
    <row r="3" spans="2:6" ht="15.75">
      <c r="B3" s="1674" t="s">
        <v>860</v>
      </c>
      <c r="C3" s="1674"/>
      <c r="D3" s="1674"/>
      <c r="E3" s="1674"/>
      <c r="F3" s="1674"/>
    </row>
    <row r="4" spans="2:6" ht="13.5" thickBot="1">
      <c r="B4" s="1"/>
      <c r="C4" s="1"/>
      <c r="D4" s="1"/>
      <c r="E4" s="1"/>
      <c r="F4" s="22" t="s">
        <v>4</v>
      </c>
    </row>
    <row r="5" spans="1:6" ht="41.25" customHeight="1" thickBot="1">
      <c r="A5" s="390" t="s">
        <v>311</v>
      </c>
      <c r="B5" s="298" t="s">
        <v>41</v>
      </c>
      <c r="C5" s="391" t="s">
        <v>10</v>
      </c>
      <c r="D5" s="412" t="s">
        <v>465</v>
      </c>
      <c r="E5" s="391" t="s">
        <v>828</v>
      </c>
      <c r="F5" s="455" t="s">
        <v>406</v>
      </c>
    </row>
    <row r="6" spans="1:6" ht="12.75">
      <c r="A6" s="871" t="s">
        <v>312</v>
      </c>
      <c r="B6" s="1146" t="s">
        <v>313</v>
      </c>
      <c r="C6" s="1146" t="s">
        <v>314</v>
      </c>
      <c r="D6" s="654" t="s">
        <v>315</v>
      </c>
      <c r="E6" s="1145" t="s">
        <v>335</v>
      </c>
      <c r="F6" s="1145" t="s">
        <v>360</v>
      </c>
    </row>
    <row r="7" spans="1:6" ht="12.75">
      <c r="A7" s="766" t="s">
        <v>317</v>
      </c>
      <c r="B7" s="138" t="s">
        <v>861</v>
      </c>
      <c r="C7" s="1149">
        <f>'30_ sz_ melléklet'!F8</f>
        <v>170</v>
      </c>
      <c r="D7" s="1150"/>
      <c r="E7" s="1147">
        <v>86</v>
      </c>
      <c r="F7" s="698">
        <f>SUM(C7:E7)</f>
        <v>256</v>
      </c>
    </row>
    <row r="8" spans="1:6" ht="12.75">
      <c r="A8" s="766" t="s">
        <v>318</v>
      </c>
      <c r="B8" s="138" t="s">
        <v>862</v>
      </c>
      <c r="C8" s="1149">
        <f>'30_ sz_ melléklet'!F9</f>
        <v>54021</v>
      </c>
      <c r="D8" s="1150"/>
      <c r="E8" s="1147">
        <f>34042</f>
        <v>34042</v>
      </c>
      <c r="F8" s="698">
        <f>SUM(C8:E8)</f>
        <v>88063</v>
      </c>
    </row>
    <row r="9" spans="1:6" ht="12.75">
      <c r="A9" s="767" t="s">
        <v>319</v>
      </c>
      <c r="B9" s="1144" t="s">
        <v>863</v>
      </c>
      <c r="C9" s="1149">
        <f>'30_ sz_ melléklet'!F10</f>
        <v>2395</v>
      </c>
      <c r="D9" s="815"/>
      <c r="E9" s="1148">
        <v>12300</v>
      </c>
      <c r="F9" s="698">
        <f aca="true" t="shared" si="0" ref="F9:F19">SUM(C9:E9)</f>
        <v>14695</v>
      </c>
    </row>
    <row r="10" spans="1:6" ht="12.75">
      <c r="A10" s="767" t="s">
        <v>320</v>
      </c>
      <c r="B10" s="667" t="s">
        <v>864</v>
      </c>
      <c r="C10" s="1149">
        <f>'30_ sz_ melléklet'!F11</f>
        <v>0</v>
      </c>
      <c r="D10" s="814">
        <f>'22 24  sz. melléklet'!D28</f>
        <v>0</v>
      </c>
      <c r="E10" s="1147">
        <f>'22 24  sz. melléklet'!E28</f>
        <v>207100</v>
      </c>
      <c r="F10" s="698">
        <f t="shared" si="0"/>
        <v>207100</v>
      </c>
    </row>
    <row r="11" spans="1:6" ht="12.75">
      <c r="A11" s="767" t="s">
        <v>321</v>
      </c>
      <c r="B11" s="667" t="s">
        <v>945</v>
      </c>
      <c r="C11" s="1149"/>
      <c r="D11" s="814"/>
      <c r="E11" s="1147"/>
      <c r="F11" s="698"/>
    </row>
    <row r="12" spans="1:6" ht="12.75">
      <c r="A12" s="767" t="s">
        <v>322</v>
      </c>
      <c r="B12" s="667" t="s">
        <v>865</v>
      </c>
      <c r="C12" s="1149">
        <f>'30_ sz_ melléklet'!F12</f>
        <v>37009</v>
      </c>
      <c r="D12" s="814"/>
      <c r="E12" s="1147"/>
      <c r="F12" s="698">
        <f t="shared" si="0"/>
        <v>37009</v>
      </c>
    </row>
    <row r="13" spans="1:6" ht="12.75">
      <c r="A13" s="767" t="s">
        <v>323</v>
      </c>
      <c r="B13" s="667" t="s">
        <v>866</v>
      </c>
      <c r="C13" s="1149">
        <f>'30_ sz_ melléklet'!F13</f>
        <v>21188</v>
      </c>
      <c r="D13" s="814"/>
      <c r="E13" s="1147">
        <v>52821</v>
      </c>
      <c r="F13" s="698">
        <f t="shared" si="0"/>
        <v>74009</v>
      </c>
    </row>
    <row r="14" spans="1:6" ht="12.75">
      <c r="A14" s="767" t="s">
        <v>324</v>
      </c>
      <c r="B14" s="667" t="s">
        <v>867</v>
      </c>
      <c r="C14" s="1149">
        <f>'30_ sz_ melléklet'!F14</f>
        <v>0</v>
      </c>
      <c r="D14" s="814"/>
      <c r="E14" s="1147"/>
      <c r="F14" s="698">
        <f t="shared" si="0"/>
        <v>0</v>
      </c>
    </row>
    <row r="15" spans="1:6" ht="12.75">
      <c r="A15" s="767" t="s">
        <v>325</v>
      </c>
      <c r="B15" s="667" t="s">
        <v>946</v>
      </c>
      <c r="C15" s="1149"/>
      <c r="D15" s="814"/>
      <c r="E15" s="1147"/>
      <c r="F15" s="698">
        <f t="shared" si="0"/>
        <v>0</v>
      </c>
    </row>
    <row r="16" spans="1:6" ht="12.75">
      <c r="A16" s="767" t="s">
        <v>326</v>
      </c>
      <c r="B16" s="667" t="s">
        <v>1121</v>
      </c>
      <c r="C16" s="1149">
        <f>'30_ sz_ melléklet'!F15</f>
        <v>30</v>
      </c>
      <c r="D16" s="814">
        <f>'22 24  sz. melléklet'!D47</f>
        <v>0</v>
      </c>
      <c r="E16" s="1147">
        <f>'22 24  sz. melléklet'!E47</f>
        <v>15000</v>
      </c>
      <c r="F16" s="698">
        <f t="shared" si="0"/>
        <v>15030</v>
      </c>
    </row>
    <row r="17" spans="1:6" ht="12.75">
      <c r="A17" s="767" t="s">
        <v>327</v>
      </c>
      <c r="B17" s="1151" t="s">
        <v>947</v>
      </c>
      <c r="C17" s="1149"/>
      <c r="D17" s="987"/>
      <c r="E17" s="1148">
        <v>10000</v>
      </c>
      <c r="F17" s="698">
        <f t="shared" si="0"/>
        <v>10000</v>
      </c>
    </row>
    <row r="18" spans="1:6" ht="12.75">
      <c r="A18" s="767" t="s">
        <v>328</v>
      </c>
      <c r="B18" s="1151" t="s">
        <v>869</v>
      </c>
      <c r="C18" s="1149">
        <f>'30_ sz_ melléklet'!F16</f>
        <v>0</v>
      </c>
      <c r="D18" s="987"/>
      <c r="E18" s="1148"/>
      <c r="F18" s="698">
        <f t="shared" si="0"/>
        <v>0</v>
      </c>
    </row>
    <row r="19" spans="1:6" ht="13.5" thickBot="1">
      <c r="A19" s="767" t="s">
        <v>329</v>
      </c>
      <c r="B19" s="1151" t="s">
        <v>870</v>
      </c>
      <c r="C19" s="1149">
        <f>'30_ sz_ melléklet'!F17</f>
        <v>0</v>
      </c>
      <c r="D19" s="987"/>
      <c r="E19" s="1148"/>
      <c r="F19" s="698">
        <f t="shared" si="0"/>
        <v>0</v>
      </c>
    </row>
    <row r="20" spans="1:6" ht="13.5" thickBot="1">
      <c r="A20" s="395" t="s">
        <v>330</v>
      </c>
      <c r="B20" s="315" t="s">
        <v>43</v>
      </c>
      <c r="C20" s="906">
        <f>SUM(C7:C19)</f>
        <v>114813</v>
      </c>
      <c r="D20" s="906">
        <f>SUM(D7:D19)</f>
        <v>0</v>
      </c>
      <c r="E20" s="906">
        <f>SUM(E7:E19)-E11-E15-E17</f>
        <v>321349</v>
      </c>
      <c r="F20" s="906">
        <f>SUM(F7:F19)-F11-F15-F17</f>
        <v>436162</v>
      </c>
    </row>
    <row r="21" spans="2:6" ht="16.5" customHeight="1">
      <c r="B21" s="44"/>
      <c r="C21" s="295"/>
      <c r="D21" s="44"/>
      <c r="E21" s="44"/>
      <c r="F21" s="44"/>
    </row>
    <row r="22" spans="2:6" ht="15">
      <c r="B22" s="44"/>
      <c r="C22" s="36"/>
      <c r="D22" s="19"/>
      <c r="E22" s="19"/>
      <c r="F22" s="19"/>
    </row>
    <row r="23" spans="1:6" ht="12.75">
      <c r="A23" s="1654" t="s">
        <v>1418</v>
      </c>
      <c r="B23" s="1654"/>
      <c r="C23" s="1654"/>
      <c r="D23" s="1654"/>
      <c r="E23" s="1654"/>
      <c r="F23" s="1654"/>
    </row>
    <row r="24" spans="1:6" ht="12.75">
      <c r="A24" s="384"/>
      <c r="B24" s="384"/>
      <c r="C24" s="384"/>
      <c r="D24" s="384"/>
      <c r="E24" s="384"/>
      <c r="F24" s="384"/>
    </row>
    <row r="25" spans="1:6" ht="15.75">
      <c r="A25" s="1674" t="s">
        <v>813</v>
      </c>
      <c r="B25" s="1675"/>
      <c r="C25" s="1675"/>
      <c r="D25" s="1675"/>
      <c r="E25" s="200"/>
      <c r="F25" s="200"/>
    </row>
    <row r="26" spans="2:6" ht="15.75" thickBot="1">
      <c r="B26" s="44"/>
      <c r="C26" s="135" t="s">
        <v>8</v>
      </c>
      <c r="D26" s="200"/>
      <c r="E26" s="200"/>
      <c r="F26" s="200"/>
    </row>
    <row r="27" spans="1:6" s="16" customFormat="1" ht="12.75">
      <c r="A27" s="1665" t="s">
        <v>311</v>
      </c>
      <c r="B27" s="1685" t="s">
        <v>41</v>
      </c>
      <c r="C27" s="1683" t="s">
        <v>830</v>
      </c>
      <c r="D27" s="44"/>
      <c r="E27" s="44"/>
      <c r="F27" s="44"/>
    </row>
    <row r="28" spans="1:6" s="16" customFormat="1" ht="21.75" customHeight="1" thickBot="1">
      <c r="A28" s="1682"/>
      <c r="B28" s="1686"/>
      <c r="C28" s="1684"/>
      <c r="D28" s="44"/>
      <c r="E28" s="44"/>
      <c r="F28" s="44"/>
    </row>
    <row r="29" spans="1:6" s="16" customFormat="1" ht="12.75">
      <c r="A29" s="385" t="s">
        <v>312</v>
      </c>
      <c r="B29" s="378" t="s">
        <v>313</v>
      </c>
      <c r="C29" s="377" t="s">
        <v>314</v>
      </c>
      <c r="D29" s="44"/>
      <c r="E29" s="44"/>
      <c r="F29" s="44"/>
    </row>
    <row r="30" spans="1:6" ht="12.75">
      <c r="A30" s="372" t="s">
        <v>316</v>
      </c>
      <c r="B30" s="9" t="s">
        <v>802</v>
      </c>
      <c r="C30" s="1131">
        <f>C31</f>
        <v>0</v>
      </c>
      <c r="D30" s="36"/>
      <c r="E30" s="36"/>
      <c r="F30" s="36"/>
    </row>
    <row r="31" spans="1:6" ht="12.75">
      <c r="A31" s="371" t="s">
        <v>317</v>
      </c>
      <c r="B31" s="34" t="s">
        <v>814</v>
      </c>
      <c r="C31" s="121">
        <f>C32</f>
        <v>0</v>
      </c>
      <c r="D31" s="36"/>
      <c r="E31" s="36"/>
      <c r="F31" s="36"/>
    </row>
    <row r="32" spans="1:6" ht="24" customHeight="1">
      <c r="A32" s="371" t="s">
        <v>318</v>
      </c>
      <c r="B32" s="750" t="s">
        <v>815</v>
      </c>
      <c r="C32" s="121"/>
      <c r="D32" s="36"/>
      <c r="E32" s="36"/>
      <c r="F32" s="36"/>
    </row>
    <row r="33" spans="1:6" ht="9" customHeight="1">
      <c r="A33" s="371" t="s">
        <v>319</v>
      </c>
      <c r="B33" s="1127"/>
      <c r="C33" s="121"/>
      <c r="D33" s="36"/>
      <c r="E33" s="36"/>
      <c r="F33" s="36"/>
    </row>
    <row r="34" spans="1:6" ht="11.25" customHeight="1">
      <c r="A34" s="371" t="s">
        <v>320</v>
      </c>
      <c r="B34" s="1128" t="s">
        <v>816</v>
      </c>
      <c r="C34" s="1131">
        <f>C35+C36+C37+C38</f>
        <v>152000</v>
      </c>
      <c r="D34" s="36"/>
      <c r="E34" s="36"/>
      <c r="F34" s="36"/>
    </row>
    <row r="35" spans="1:6" ht="11.25" customHeight="1">
      <c r="A35" s="371" t="s">
        <v>321</v>
      </c>
      <c r="B35" s="1127" t="s">
        <v>817</v>
      </c>
      <c r="C35" s="121">
        <v>152000</v>
      </c>
      <c r="D35" s="36"/>
      <c r="E35" s="36"/>
      <c r="F35" s="36"/>
    </row>
    <row r="36" spans="1:6" ht="11.25" customHeight="1">
      <c r="A36" s="371" t="s">
        <v>322</v>
      </c>
      <c r="B36" s="1127" t="s">
        <v>818</v>
      </c>
      <c r="C36" s="121"/>
      <c r="D36" s="36"/>
      <c r="E36" s="36"/>
      <c r="F36" s="36"/>
    </row>
    <row r="37" spans="1:6" ht="11.25" customHeight="1">
      <c r="A37" s="371" t="s">
        <v>323</v>
      </c>
      <c r="B37" s="1127" t="s">
        <v>819</v>
      </c>
      <c r="C37" s="121"/>
      <c r="D37" s="36"/>
      <c r="E37" s="36"/>
      <c r="F37" s="36"/>
    </row>
    <row r="38" spans="1:6" ht="11.25" customHeight="1">
      <c r="A38" s="371" t="s">
        <v>324</v>
      </c>
      <c r="B38" s="1127" t="s">
        <v>820</v>
      </c>
      <c r="C38" s="121"/>
      <c r="D38" s="36"/>
      <c r="E38" s="36"/>
      <c r="F38" s="36"/>
    </row>
    <row r="39" spans="1:6" ht="11.25" customHeight="1">
      <c r="A39" s="371" t="s">
        <v>325</v>
      </c>
      <c r="B39" s="1127"/>
      <c r="C39" s="121"/>
      <c r="D39" s="36"/>
      <c r="E39" s="36"/>
      <c r="F39" s="36"/>
    </row>
    <row r="40" spans="1:6" ht="11.25" customHeight="1">
      <c r="A40" s="371" t="s">
        <v>326</v>
      </c>
      <c r="B40" s="1128" t="s">
        <v>803</v>
      </c>
      <c r="C40" s="1131">
        <f>C41+C44+C45</f>
        <v>864000</v>
      </c>
      <c r="D40" s="36"/>
      <c r="E40" s="36"/>
      <c r="F40" s="36"/>
    </row>
    <row r="41" spans="1:6" ht="11.25" customHeight="1">
      <c r="A41" s="371" t="s">
        <v>327</v>
      </c>
      <c r="B41" s="1127" t="s">
        <v>821</v>
      </c>
      <c r="C41" s="121">
        <f>C42+C43</f>
        <v>785000</v>
      </c>
      <c r="D41" s="36"/>
      <c r="E41" s="36"/>
      <c r="F41" s="36"/>
    </row>
    <row r="42" spans="1:6" ht="25.5">
      <c r="A42" s="371" t="s">
        <v>328</v>
      </c>
      <c r="B42" s="296" t="s">
        <v>822</v>
      </c>
      <c r="C42" s="119">
        <v>785000</v>
      </c>
      <c r="D42" s="36"/>
      <c r="E42" s="36"/>
      <c r="F42" s="36"/>
    </row>
    <row r="43" spans="1:6" ht="25.5">
      <c r="A43" s="371" t="s">
        <v>329</v>
      </c>
      <c r="B43" s="296" t="s">
        <v>823</v>
      </c>
      <c r="C43" s="119"/>
      <c r="D43" s="297"/>
      <c r="E43" s="297"/>
      <c r="F43" s="297"/>
    </row>
    <row r="44" spans="1:6" ht="12.75">
      <c r="A44" s="371" t="s">
        <v>330</v>
      </c>
      <c r="B44" s="296" t="s">
        <v>824</v>
      </c>
      <c r="C44" s="1108">
        <v>40000</v>
      </c>
      <c r="D44" s="297"/>
      <c r="E44" s="297"/>
      <c r="F44" s="297"/>
    </row>
    <row r="45" spans="1:6" ht="15" customHeight="1">
      <c r="A45" s="371" t="s">
        <v>331</v>
      </c>
      <c r="B45" s="296" t="s">
        <v>825</v>
      </c>
      <c r="C45" s="904">
        <f>C46+C47+C48</f>
        <v>39000</v>
      </c>
      <c r="D45" s="297"/>
      <c r="E45" s="297"/>
      <c r="F45" s="297"/>
    </row>
    <row r="46" spans="1:6" ht="12.75">
      <c r="A46" s="371" t="s">
        <v>332</v>
      </c>
      <c r="B46" s="296" t="s">
        <v>826</v>
      </c>
      <c r="C46" s="904">
        <v>39000</v>
      </c>
      <c r="D46" s="297"/>
      <c r="E46" s="297"/>
      <c r="F46" s="297"/>
    </row>
    <row r="47" spans="1:6" ht="12.75">
      <c r="A47" s="371" t="s">
        <v>333</v>
      </c>
      <c r="B47" s="296" t="s">
        <v>1358</v>
      </c>
      <c r="C47" s="904"/>
      <c r="D47" s="297"/>
      <c r="E47" s="297"/>
      <c r="F47" s="297"/>
    </row>
    <row r="48" spans="1:6" ht="26.25" thickBot="1">
      <c r="A48" s="383" t="s">
        <v>334</v>
      </c>
      <c r="B48" s="1129" t="s">
        <v>827</v>
      </c>
      <c r="C48" s="1130"/>
      <c r="D48" s="297"/>
      <c r="E48" s="297"/>
      <c r="F48" s="297"/>
    </row>
    <row r="49" spans="2:6" ht="12.75">
      <c r="B49" s="299"/>
      <c r="C49" s="36"/>
      <c r="D49" s="36"/>
      <c r="E49" s="36"/>
      <c r="F49" s="36"/>
    </row>
    <row r="50" spans="2:6" ht="12.75">
      <c r="B50" s="299"/>
      <c r="C50" s="36"/>
      <c r="D50" s="36"/>
      <c r="E50" s="36"/>
      <c r="F50" s="36"/>
    </row>
    <row r="51" spans="2:6" ht="12.75">
      <c r="B51" s="299"/>
      <c r="C51" s="36"/>
      <c r="D51" s="36"/>
      <c r="E51" s="36"/>
      <c r="F51" s="36"/>
    </row>
    <row r="52" spans="2:6" ht="12.75">
      <c r="B52" s="299"/>
      <c r="C52" s="36"/>
      <c r="D52" s="36"/>
      <c r="E52" s="36"/>
      <c r="F52" s="36"/>
    </row>
    <row r="53" spans="2:6" ht="12.75">
      <c r="B53" s="299"/>
      <c r="C53" s="36"/>
      <c r="D53" s="36"/>
      <c r="E53" s="36"/>
      <c r="F53" s="36"/>
    </row>
    <row r="54" spans="2:6" ht="12.75">
      <c r="B54" s="299"/>
      <c r="C54" s="36"/>
      <c r="D54" s="36"/>
      <c r="E54" s="36"/>
      <c r="F54" s="36"/>
    </row>
    <row r="55" spans="2:6" ht="12.75">
      <c r="B55" s="299"/>
      <c r="C55" s="36"/>
      <c r="D55" s="36"/>
      <c r="E55" s="36"/>
      <c r="F55" s="36"/>
    </row>
    <row r="56" spans="2:6" ht="12.75">
      <c r="B56" s="299"/>
      <c r="C56" s="36"/>
      <c r="D56" s="36"/>
      <c r="E56" s="36"/>
      <c r="F56" s="36"/>
    </row>
    <row r="57" spans="2:6" ht="12.75">
      <c r="B57" s="299"/>
      <c r="C57" s="36"/>
      <c r="D57" s="36"/>
      <c r="E57" s="36"/>
      <c r="F57" s="36"/>
    </row>
    <row r="58" spans="2:6" ht="12.75">
      <c r="B58" s="299"/>
      <c r="C58" s="36"/>
      <c r="D58" s="36"/>
      <c r="E58" s="36"/>
      <c r="F58" s="36"/>
    </row>
    <row r="59" spans="1:6" ht="12.75">
      <c r="A59" s="1654" t="s">
        <v>1419</v>
      </c>
      <c r="B59" s="1654"/>
      <c r="C59" s="1654"/>
      <c r="D59" s="1654"/>
      <c r="E59" s="1654"/>
      <c r="F59" s="1654"/>
    </row>
    <row r="60" spans="1:6" ht="12.75">
      <c r="A60" s="384"/>
      <c r="B60" s="384"/>
      <c r="C60" s="384"/>
      <c r="D60" s="384"/>
      <c r="E60" s="384"/>
      <c r="F60" s="384"/>
    </row>
    <row r="61" spans="1:6" ht="15.75">
      <c r="A61" s="1674" t="s">
        <v>805</v>
      </c>
      <c r="B61" s="1675"/>
      <c r="C61" s="1675"/>
      <c r="D61" s="1675"/>
      <c r="E61" s="1"/>
      <c r="F61" s="1"/>
    </row>
    <row r="62" spans="2:6" ht="13.5" customHeight="1">
      <c r="B62" s="44"/>
      <c r="C62" s="36"/>
      <c r="D62" s="200"/>
      <c r="E62" s="200"/>
      <c r="F62" s="200"/>
    </row>
    <row r="63" spans="2:6" ht="15.75" customHeight="1" thickBot="1">
      <c r="B63" s="44"/>
      <c r="C63" s="135" t="s">
        <v>8</v>
      </c>
      <c r="D63" s="200"/>
      <c r="E63" s="200"/>
      <c r="F63" s="200"/>
    </row>
    <row r="64" spans="1:6" ht="30.75" customHeight="1" thickBot="1">
      <c r="A64" s="390" t="s">
        <v>311</v>
      </c>
      <c r="B64" s="386" t="s">
        <v>41</v>
      </c>
      <c r="C64" s="458" t="s">
        <v>25</v>
      </c>
      <c r="D64" s="200"/>
      <c r="E64" s="784"/>
      <c r="F64" s="200"/>
    </row>
    <row r="65" spans="1:6" ht="12" customHeight="1" thickBot="1">
      <c r="A65" s="1122" t="s">
        <v>312</v>
      </c>
      <c r="B65" s="1123" t="s">
        <v>313</v>
      </c>
      <c r="C65" s="1120" t="s">
        <v>314</v>
      </c>
      <c r="D65" s="200"/>
      <c r="E65" s="200"/>
      <c r="F65" s="200"/>
    </row>
    <row r="66" spans="1:6" ht="12" customHeight="1">
      <c r="A66" s="492" t="s">
        <v>316</v>
      </c>
      <c r="B66" s="1124" t="s">
        <v>806</v>
      </c>
      <c r="C66" s="1377"/>
      <c r="D66" s="200"/>
      <c r="E66" s="200"/>
      <c r="F66" s="200"/>
    </row>
    <row r="67" spans="1:6" ht="12" customHeight="1">
      <c r="A67" s="371" t="s">
        <v>317</v>
      </c>
      <c r="B67" s="1121" t="s">
        <v>807</v>
      </c>
      <c r="C67" s="1378">
        <v>1000</v>
      </c>
      <c r="D67" s="200"/>
      <c r="E67" s="200"/>
      <c r="F67" s="200"/>
    </row>
    <row r="68" spans="1:6" ht="12.75">
      <c r="A68" s="371" t="s">
        <v>318</v>
      </c>
      <c r="B68" s="229" t="s">
        <v>808</v>
      </c>
      <c r="C68" s="1037">
        <v>200</v>
      </c>
      <c r="D68" s="36"/>
      <c r="E68" s="36"/>
      <c r="F68" s="36"/>
    </row>
    <row r="69" spans="1:6" ht="12.75">
      <c r="A69" s="371" t="s">
        <v>319</v>
      </c>
      <c r="B69" s="1125" t="s">
        <v>809</v>
      </c>
      <c r="C69" s="1038"/>
      <c r="D69" s="36"/>
      <c r="E69" s="36"/>
      <c r="F69" s="36"/>
    </row>
    <row r="70" spans="1:6" ht="24">
      <c r="A70" s="371" t="s">
        <v>320</v>
      </c>
      <c r="B70" s="1126" t="s">
        <v>810</v>
      </c>
      <c r="C70" s="1376">
        <v>2000</v>
      </c>
      <c r="D70" s="36"/>
      <c r="E70" s="36"/>
      <c r="F70" s="36"/>
    </row>
    <row r="71" spans="1:6" ht="12.75">
      <c r="A71" s="371" t="s">
        <v>321</v>
      </c>
      <c r="B71" s="1126" t="s">
        <v>811</v>
      </c>
      <c r="C71" s="120">
        <v>1500</v>
      </c>
      <c r="D71" s="36"/>
      <c r="E71" s="36"/>
      <c r="F71" s="36"/>
    </row>
    <row r="72" spans="1:6" ht="13.5" thickBot="1">
      <c r="A72" s="371" t="s">
        <v>322</v>
      </c>
      <c r="B72" s="1126" t="s">
        <v>1357</v>
      </c>
      <c r="C72" s="120">
        <v>2000</v>
      </c>
      <c r="D72" s="36"/>
      <c r="E72" s="36"/>
      <c r="F72" s="36"/>
    </row>
    <row r="73" spans="1:6" ht="13.5" thickBot="1">
      <c r="A73" s="395" t="s">
        <v>323</v>
      </c>
      <c r="B73" s="897" t="s">
        <v>812</v>
      </c>
      <c r="C73" s="418">
        <f>SUM(C66:C72)</f>
        <v>6700</v>
      </c>
      <c r="D73" s="297"/>
      <c r="E73" s="297"/>
      <c r="F73" s="297"/>
    </row>
    <row r="74" spans="2:6" ht="12.75">
      <c r="B74" s="1"/>
      <c r="C74" s="1"/>
      <c r="D74" s="36"/>
      <c r="E74" s="36"/>
      <c r="F74" s="3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8"/>
  <sheetViews>
    <sheetView zoomScale="120" zoomScaleNormal="120" zoomScalePageLayoutView="0" workbookViewId="0" topLeftCell="A1">
      <selection activeCell="E71" sqref="E71"/>
    </sheetView>
  </sheetViews>
  <sheetFormatPr defaultColWidth="9.140625" defaultRowHeight="12.75"/>
  <cols>
    <col min="1" max="1" width="4.00390625" style="0" customWidth="1"/>
    <col min="2" max="2" width="64.421875" style="0" customWidth="1"/>
    <col min="3" max="3" width="15.8515625" style="0" customWidth="1"/>
    <col min="4" max="4" width="9.57421875" style="0" bestFit="1" customWidth="1"/>
  </cols>
  <sheetData>
    <row r="1" spans="1:5" ht="12.75">
      <c r="A1" s="384" t="s">
        <v>1420</v>
      </c>
      <c r="B1" s="384"/>
      <c r="C1" s="384"/>
      <c r="D1" s="384"/>
      <c r="E1" s="384"/>
    </row>
    <row r="2" spans="2:3" ht="15.75">
      <c r="B2" s="1674" t="s">
        <v>528</v>
      </c>
      <c r="C2" s="1674"/>
    </row>
    <row r="3" spans="2:3" ht="13.5" thickBot="1">
      <c r="B3" s="1"/>
      <c r="C3" s="43" t="s">
        <v>4</v>
      </c>
    </row>
    <row r="4" spans="1:3" ht="21.75" customHeight="1" thickBot="1">
      <c r="A4" s="1564" t="s">
        <v>311</v>
      </c>
      <c r="B4" s="1565" t="s">
        <v>44</v>
      </c>
      <c r="C4" s="1566" t="s">
        <v>25</v>
      </c>
    </row>
    <row r="5" spans="1:3" ht="10.5" customHeight="1" thickBot="1">
      <c r="A5" s="457" t="s">
        <v>312</v>
      </c>
      <c r="B5" s="1397" t="s">
        <v>313</v>
      </c>
      <c r="C5" s="1397" t="s">
        <v>314</v>
      </c>
    </row>
    <row r="6" spans="1:3" ht="12.75" customHeight="1">
      <c r="A6" s="1546" t="s">
        <v>316</v>
      </c>
      <c r="B6" s="1547" t="s">
        <v>614</v>
      </c>
      <c r="C6" s="1548"/>
    </row>
    <row r="7" spans="1:3" ht="12.75" customHeight="1">
      <c r="A7" s="1546" t="s">
        <v>317</v>
      </c>
      <c r="B7" s="1549" t="s">
        <v>1054</v>
      </c>
      <c r="C7" s="1550">
        <v>237885</v>
      </c>
    </row>
    <row r="8" spans="1:3" ht="12.75" customHeight="1">
      <c r="A8" s="1546" t="s">
        <v>318</v>
      </c>
      <c r="B8" s="1549" t="s">
        <v>966</v>
      </c>
      <c r="C8" s="1550">
        <v>237885</v>
      </c>
    </row>
    <row r="9" spans="1:5" ht="12.75" customHeight="1">
      <c r="A9" s="1546" t="s">
        <v>319</v>
      </c>
      <c r="B9" s="1549" t="s">
        <v>466</v>
      </c>
      <c r="C9" s="1550">
        <v>108890</v>
      </c>
      <c r="E9" s="79"/>
    </row>
    <row r="10" spans="1:8" ht="12.75" customHeight="1">
      <c r="A10" s="1546" t="s">
        <v>320</v>
      </c>
      <c r="B10" s="1549" t="s">
        <v>978</v>
      </c>
      <c r="C10" s="1550">
        <v>0</v>
      </c>
      <c r="E10" s="79"/>
      <c r="H10" s="79"/>
    </row>
    <row r="11" spans="1:5" ht="12.75" customHeight="1">
      <c r="A11" s="1546" t="s">
        <v>321</v>
      </c>
      <c r="B11" s="1549" t="s">
        <v>467</v>
      </c>
      <c r="C11" s="1550">
        <v>20202</v>
      </c>
      <c r="E11" s="79"/>
    </row>
    <row r="12" spans="1:3" ht="12.75" customHeight="1">
      <c r="A12" s="1546" t="s">
        <v>322</v>
      </c>
      <c r="B12" s="1549" t="s">
        <v>967</v>
      </c>
      <c r="C12" s="1550">
        <v>0</v>
      </c>
    </row>
    <row r="13" spans="1:3" ht="12.75" customHeight="1">
      <c r="A13" s="1546" t="s">
        <v>323</v>
      </c>
      <c r="B13" s="1549" t="s">
        <v>468</v>
      </c>
      <c r="C13" s="1550">
        <v>47320</v>
      </c>
    </row>
    <row r="14" spans="1:5" ht="12.75" customHeight="1">
      <c r="A14" s="1546" t="s">
        <v>324</v>
      </c>
      <c r="B14" s="1549" t="s">
        <v>968</v>
      </c>
      <c r="C14" s="1550">
        <v>0</v>
      </c>
      <c r="E14" s="79"/>
    </row>
    <row r="15" spans="1:5" ht="12.75" customHeight="1">
      <c r="A15" s="1546" t="s">
        <v>325</v>
      </c>
      <c r="B15" s="1549" t="s">
        <v>469</v>
      </c>
      <c r="C15" s="1550">
        <v>11700</v>
      </c>
      <c r="E15" s="79"/>
    </row>
    <row r="16" spans="1:7" ht="12.75" customHeight="1">
      <c r="A16" s="1546" t="s">
        <v>326</v>
      </c>
      <c r="B16" s="1549" t="s">
        <v>969</v>
      </c>
      <c r="C16" s="1550">
        <v>0</v>
      </c>
      <c r="E16" s="79"/>
      <c r="G16" s="79"/>
    </row>
    <row r="17" spans="1:3" ht="12.75" customHeight="1">
      <c r="A17" s="1546" t="s">
        <v>327</v>
      </c>
      <c r="B17" s="1549" t="s">
        <v>470</v>
      </c>
      <c r="C17" s="1550">
        <v>29668</v>
      </c>
    </row>
    <row r="18" spans="1:3" ht="12.75" customHeight="1">
      <c r="A18" s="1546" t="s">
        <v>328</v>
      </c>
      <c r="B18" s="1549" t="s">
        <v>970</v>
      </c>
      <c r="C18" s="1550">
        <v>0</v>
      </c>
    </row>
    <row r="19" spans="1:3" ht="12.75" customHeight="1">
      <c r="A19" s="1546" t="s">
        <v>329</v>
      </c>
      <c r="B19" s="1549" t="s">
        <v>563</v>
      </c>
      <c r="C19" s="1550">
        <v>44855</v>
      </c>
    </row>
    <row r="20" spans="1:3" ht="12.75" customHeight="1">
      <c r="A20" s="1546" t="s">
        <v>330</v>
      </c>
      <c r="B20" s="1549" t="s">
        <v>971</v>
      </c>
      <c r="C20" s="1550">
        <v>0</v>
      </c>
    </row>
    <row r="21" spans="1:3" ht="12.75" customHeight="1">
      <c r="A21" s="1546" t="s">
        <v>331</v>
      </c>
      <c r="B21" s="1549" t="s">
        <v>972</v>
      </c>
      <c r="C21" s="1550">
        <v>117</v>
      </c>
    </row>
    <row r="22" spans="1:3" ht="12.75" customHeight="1">
      <c r="A22" s="1546" t="s">
        <v>332</v>
      </c>
      <c r="B22" s="1549" t="s">
        <v>973</v>
      </c>
      <c r="C22" s="1550">
        <v>0</v>
      </c>
    </row>
    <row r="23" spans="1:3" ht="12.75" customHeight="1">
      <c r="A23" s="1546" t="s">
        <v>333</v>
      </c>
      <c r="B23" s="1549" t="s">
        <v>974</v>
      </c>
      <c r="C23" s="1550">
        <v>57886</v>
      </c>
    </row>
    <row r="24" spans="1:3" ht="12.75" customHeight="1">
      <c r="A24" s="1546" t="s">
        <v>334</v>
      </c>
      <c r="B24" s="1549" t="s">
        <v>975</v>
      </c>
      <c r="C24" s="1550">
        <v>30002</v>
      </c>
    </row>
    <row r="25" spans="1:5" ht="12.75" customHeight="1">
      <c r="A25" s="1546" t="s">
        <v>336</v>
      </c>
      <c r="B25" s="1549" t="s">
        <v>976</v>
      </c>
      <c r="C25" s="1550">
        <v>-181746</v>
      </c>
      <c r="E25" s="79"/>
    </row>
    <row r="26" spans="1:5" ht="12.75" customHeight="1">
      <c r="A26" s="1546" t="s">
        <v>337</v>
      </c>
      <c r="B26" s="1549" t="s">
        <v>1192</v>
      </c>
      <c r="C26" s="1550">
        <v>2636</v>
      </c>
      <c r="E26" s="79"/>
    </row>
    <row r="27" spans="1:4" ht="12.75" customHeight="1">
      <c r="A27" s="1546" t="s">
        <v>338</v>
      </c>
      <c r="B27" s="1551" t="s">
        <v>977</v>
      </c>
      <c r="C27" s="1552">
        <f>C7+C9+C19+C21+C23+C25+C26</f>
        <v>270523</v>
      </c>
      <c r="D27" s="79"/>
    </row>
    <row r="28" spans="1:3" ht="12" customHeight="1">
      <c r="A28" s="1546" t="s">
        <v>339</v>
      </c>
      <c r="B28" s="1553" t="s">
        <v>609</v>
      </c>
      <c r="C28" s="1567">
        <f>SUM(C29:C38)</f>
        <v>257969</v>
      </c>
    </row>
    <row r="29" spans="1:3" ht="12.75" customHeight="1">
      <c r="A29" s="1546" t="s">
        <v>340</v>
      </c>
      <c r="B29" s="1555" t="s">
        <v>471</v>
      </c>
      <c r="C29" s="1550">
        <f>111434+574</f>
        <v>112008</v>
      </c>
    </row>
    <row r="30" spans="1:3" ht="12.75" customHeight="1">
      <c r="A30" s="1546" t="s">
        <v>341</v>
      </c>
      <c r="B30" s="1556" t="s">
        <v>472</v>
      </c>
      <c r="C30" s="1550">
        <v>28800</v>
      </c>
    </row>
    <row r="31" spans="1:3" ht="12.75" customHeight="1">
      <c r="A31" s="1546" t="s">
        <v>342</v>
      </c>
      <c r="B31" s="1555" t="s">
        <v>473</v>
      </c>
      <c r="C31" s="1550">
        <f>53132+4883</f>
        <v>58015</v>
      </c>
    </row>
    <row r="32" spans="1:3" ht="12.75" customHeight="1">
      <c r="A32" s="1546" t="s">
        <v>343</v>
      </c>
      <c r="B32" s="1555" t="s">
        <v>564</v>
      </c>
      <c r="C32" s="1550">
        <f>1295+119</f>
        <v>1414</v>
      </c>
    </row>
    <row r="33" spans="1:3" ht="12.75" customHeight="1">
      <c r="A33" s="1546" t="s">
        <v>344</v>
      </c>
      <c r="B33" s="1556" t="s">
        <v>474</v>
      </c>
      <c r="C33" s="1550">
        <v>14400</v>
      </c>
    </row>
    <row r="34" spans="1:3" ht="12.75" customHeight="1">
      <c r="A34" s="1546" t="s">
        <v>345</v>
      </c>
      <c r="B34" s="1549" t="s">
        <v>475</v>
      </c>
      <c r="C34" s="1550">
        <f>24160+160</f>
        <v>24320</v>
      </c>
    </row>
    <row r="35" spans="1:4" ht="12.75" customHeight="1">
      <c r="A35" s="1546" t="s">
        <v>346</v>
      </c>
      <c r="B35" s="1549" t="s">
        <v>476</v>
      </c>
      <c r="C35" s="1550">
        <f>11573+987</f>
        <v>12560</v>
      </c>
      <c r="D35" s="79"/>
    </row>
    <row r="36" spans="1:4" ht="12.75" customHeight="1">
      <c r="A36" s="1546" t="s">
        <v>347</v>
      </c>
      <c r="B36" s="1549" t="s">
        <v>1055</v>
      </c>
      <c r="C36" s="1550">
        <v>3513</v>
      </c>
      <c r="D36" s="79"/>
    </row>
    <row r="37" spans="1:4" ht="12.75" customHeight="1">
      <c r="A37" s="1546" t="s">
        <v>348</v>
      </c>
      <c r="B37" s="1549" t="s">
        <v>979</v>
      </c>
      <c r="C37" s="1550">
        <v>1536</v>
      </c>
      <c r="D37" s="79"/>
    </row>
    <row r="38" spans="1:4" ht="12.75" customHeight="1">
      <c r="A38" s="1546" t="s">
        <v>349</v>
      </c>
      <c r="B38" s="1549" t="s">
        <v>980</v>
      </c>
      <c r="C38" s="1550">
        <v>1403</v>
      </c>
      <c r="D38" s="79"/>
    </row>
    <row r="39" spans="1:3" ht="25.5" customHeight="1">
      <c r="A39" s="1546" t="s">
        <v>350</v>
      </c>
      <c r="B39" s="1557" t="s">
        <v>610</v>
      </c>
      <c r="C39" s="1552">
        <f>SUM(C40:C56)</f>
        <v>347715</v>
      </c>
    </row>
    <row r="40" spans="1:3" ht="12.75" customHeight="1">
      <c r="A40" s="1546" t="s">
        <v>351</v>
      </c>
      <c r="B40" s="1549" t="s">
        <v>981</v>
      </c>
      <c r="C40" s="1550">
        <v>0</v>
      </c>
    </row>
    <row r="41" spans="1:3" ht="12.75" customHeight="1">
      <c r="A41" s="1546" t="s">
        <v>352</v>
      </c>
      <c r="B41" s="1549" t="s">
        <v>1056</v>
      </c>
      <c r="C41" s="1550">
        <v>35700</v>
      </c>
    </row>
    <row r="42" spans="1:3" ht="12.75" customHeight="1">
      <c r="A42" s="1546" t="s">
        <v>353</v>
      </c>
      <c r="B42" s="1549" t="s">
        <v>1057</v>
      </c>
      <c r="C42" s="1550">
        <v>21600</v>
      </c>
    </row>
    <row r="43" spans="1:3" ht="12.75" customHeight="1">
      <c r="A43" s="1546" t="s">
        <v>354</v>
      </c>
      <c r="B43" s="1549" t="s">
        <v>1058</v>
      </c>
      <c r="C43" s="1550">
        <v>8913</v>
      </c>
    </row>
    <row r="44" spans="1:3" ht="12.75" customHeight="1">
      <c r="A44" s="1546" t="s">
        <v>355</v>
      </c>
      <c r="B44" s="1549" t="s">
        <v>1059</v>
      </c>
      <c r="C44" s="1550">
        <f>41470-3770</f>
        <v>37700</v>
      </c>
    </row>
    <row r="45" spans="1:3" ht="12.75" customHeight="1">
      <c r="A45" s="1546" t="s">
        <v>356</v>
      </c>
      <c r="B45" s="1549" t="s">
        <v>1060</v>
      </c>
      <c r="C45" s="1550">
        <v>1308</v>
      </c>
    </row>
    <row r="46" spans="1:3" ht="12.75" customHeight="1">
      <c r="A46" s="1546" t="s">
        <v>357</v>
      </c>
      <c r="B46" s="1549" t="s">
        <v>565</v>
      </c>
      <c r="C46" s="1550">
        <f>34587+494</f>
        <v>35081</v>
      </c>
    </row>
    <row r="47" spans="1:3" ht="12.75" customHeight="1">
      <c r="A47" s="1546" t="s">
        <v>358</v>
      </c>
      <c r="B47" s="1549" t="s">
        <v>567</v>
      </c>
      <c r="C47" s="1550">
        <f>519+519</f>
        <v>1038</v>
      </c>
    </row>
    <row r="48" spans="1:3" ht="12.75" customHeight="1">
      <c r="A48" s="1546" t="s">
        <v>359</v>
      </c>
      <c r="B48" s="1549" t="s">
        <v>566</v>
      </c>
      <c r="C48" s="1550">
        <v>2174</v>
      </c>
    </row>
    <row r="49" spans="1:4" ht="14.25" customHeight="1">
      <c r="A49" s="1546" t="s">
        <v>370</v>
      </c>
      <c r="B49" s="1558" t="s">
        <v>1281</v>
      </c>
      <c r="C49" s="1550">
        <v>31272</v>
      </c>
      <c r="D49" s="79"/>
    </row>
    <row r="50" spans="1:4" ht="13.5" customHeight="1">
      <c r="A50" s="1546" t="s">
        <v>371</v>
      </c>
      <c r="B50" s="1558" t="s">
        <v>1282</v>
      </c>
      <c r="C50" s="1550">
        <f>32967-464</f>
        <v>32503</v>
      </c>
      <c r="D50" s="79"/>
    </row>
    <row r="51" spans="1:4" ht="13.5" customHeight="1">
      <c r="A51" s="1546" t="s">
        <v>372</v>
      </c>
      <c r="B51" s="1558" t="s">
        <v>568</v>
      </c>
      <c r="C51" s="1550">
        <f>42758-130</f>
        <v>42628</v>
      </c>
      <c r="D51" s="79"/>
    </row>
    <row r="52" spans="1:4" ht="12.75" customHeight="1">
      <c r="A52" s="1546" t="s">
        <v>373</v>
      </c>
      <c r="B52" s="1559" t="s">
        <v>570</v>
      </c>
      <c r="C52" s="1554">
        <v>46848</v>
      </c>
      <c r="D52" s="79"/>
    </row>
    <row r="53" spans="1:4" ht="12.75" customHeight="1">
      <c r="A53" s="1546" t="s">
        <v>374</v>
      </c>
      <c r="B53" s="1559" t="s">
        <v>1061</v>
      </c>
      <c r="C53" s="1554">
        <f>4242+1893+354</f>
        <v>6489</v>
      </c>
      <c r="D53" s="79"/>
    </row>
    <row r="54" spans="1:4" ht="12.75" customHeight="1">
      <c r="A54" s="1546" t="s">
        <v>375</v>
      </c>
      <c r="B54" s="1559" t="s">
        <v>1359</v>
      </c>
      <c r="C54" s="1554">
        <f>3112+6757+3321+20408</f>
        <v>33598</v>
      </c>
      <c r="D54" s="79"/>
    </row>
    <row r="55" spans="1:4" ht="12.75" customHeight="1">
      <c r="A55" s="1546" t="s">
        <v>376</v>
      </c>
      <c r="B55" s="1559" t="s">
        <v>1193</v>
      </c>
      <c r="C55" s="1554">
        <f>1509+754</f>
        <v>2263</v>
      </c>
      <c r="D55" s="79"/>
    </row>
    <row r="56" spans="1:3" ht="12.75" customHeight="1">
      <c r="A56" s="1546" t="s">
        <v>377</v>
      </c>
      <c r="B56" s="1561" t="s">
        <v>1194</v>
      </c>
      <c r="C56" s="1554">
        <f>8300+300</f>
        <v>8600</v>
      </c>
    </row>
    <row r="57" spans="1:3" ht="12.75" customHeight="1">
      <c r="A57" s="1546" t="s">
        <v>378</v>
      </c>
      <c r="B57" s="1551" t="s">
        <v>611</v>
      </c>
      <c r="C57" s="1552">
        <f>SUM(C58:C60)</f>
        <v>40140</v>
      </c>
    </row>
    <row r="58" spans="1:3" ht="12.75" customHeight="1">
      <c r="A58" s="1546" t="s">
        <v>379</v>
      </c>
      <c r="B58" s="1560" t="s">
        <v>484</v>
      </c>
      <c r="C58" s="1554">
        <v>18939</v>
      </c>
    </row>
    <row r="59" spans="1:3" ht="12.75" customHeight="1">
      <c r="A59" s="1546" t="s">
        <v>380</v>
      </c>
      <c r="B59" s="1561" t="s">
        <v>485</v>
      </c>
      <c r="C59" s="1554">
        <v>19360</v>
      </c>
    </row>
    <row r="60" spans="1:3" ht="12.75" customHeight="1" thickBot="1">
      <c r="A60" s="1546" t="s">
        <v>381</v>
      </c>
      <c r="B60" s="1590" t="s">
        <v>1284</v>
      </c>
      <c r="C60" s="1591">
        <v>1841</v>
      </c>
    </row>
    <row r="61" spans="1:4" ht="12.75" customHeight="1" thickBot="1">
      <c r="A61" s="1546" t="s">
        <v>1283</v>
      </c>
      <c r="B61" s="1562" t="s">
        <v>615</v>
      </c>
      <c r="C61" s="1563">
        <f>C27+C28+C39+C57</f>
        <v>916347</v>
      </c>
      <c r="D61" s="7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1:3" ht="12.75" customHeight="1">
      <c r="A68" s="1654" t="s">
        <v>1421</v>
      </c>
      <c r="B68" s="1654"/>
      <c r="C68" s="1654"/>
    </row>
    <row r="69" spans="1:3" ht="12.75" customHeight="1">
      <c r="A69" s="384"/>
      <c r="B69" s="384"/>
      <c r="C69" s="384"/>
    </row>
    <row r="70" spans="1:3" ht="12.75" customHeight="1">
      <c r="A70" s="384"/>
      <c r="B70" s="384"/>
      <c r="C70" s="384"/>
    </row>
    <row r="71" spans="1:3" ht="12.75" customHeight="1">
      <c r="A71" s="1677" t="s">
        <v>798</v>
      </c>
      <c r="B71" s="1678"/>
      <c r="C71" s="1678"/>
    </row>
    <row r="72" spans="1:3" ht="12.75" customHeight="1">
      <c r="A72" s="37"/>
      <c r="B72" s="166"/>
      <c r="C72" s="166"/>
    </row>
    <row r="73" spans="2:3" ht="12.75" customHeight="1" thickBot="1">
      <c r="B73" s="1"/>
      <c r="C73" s="43" t="s">
        <v>4</v>
      </c>
    </row>
    <row r="74" spans="1:3" ht="26.25" customHeight="1" thickBot="1">
      <c r="A74" s="459" t="s">
        <v>311</v>
      </c>
      <c r="B74" s="798" t="s">
        <v>44</v>
      </c>
      <c r="C74" s="799" t="s">
        <v>25</v>
      </c>
    </row>
    <row r="75" spans="1:3" s="914" customFormat="1" ht="12.75" customHeight="1" thickBot="1">
      <c r="A75" s="457" t="s">
        <v>312</v>
      </c>
      <c r="B75" s="912" t="s">
        <v>313</v>
      </c>
      <c r="C75" s="913" t="s">
        <v>314</v>
      </c>
    </row>
    <row r="76" spans="1:3" ht="14.25" customHeight="1">
      <c r="A76" s="800" t="s">
        <v>316</v>
      </c>
      <c r="B76" s="1117"/>
      <c r="C76" s="478"/>
    </row>
    <row r="77" spans="1:3" ht="12.75" customHeight="1">
      <c r="A77" s="670" t="s">
        <v>317</v>
      </c>
      <c r="B77" s="998"/>
      <c r="C77" s="607"/>
    </row>
    <row r="78" spans="1:3" ht="12.75" customHeight="1">
      <c r="A78" s="670" t="s">
        <v>318</v>
      </c>
      <c r="B78" s="997"/>
      <c r="C78" s="831"/>
    </row>
    <row r="79" spans="1:3" ht="12.75" customHeight="1">
      <c r="A79" s="668" t="s">
        <v>319</v>
      </c>
      <c r="B79" s="997"/>
      <c r="C79" s="831"/>
    </row>
    <row r="80" spans="1:3" ht="12.75" customHeight="1">
      <c r="A80" s="668" t="s">
        <v>320</v>
      </c>
      <c r="B80" s="997"/>
      <c r="C80" s="831"/>
    </row>
    <row r="81" spans="1:3" ht="12.75" customHeight="1">
      <c r="A81" s="668" t="s">
        <v>321</v>
      </c>
      <c r="B81" s="997"/>
      <c r="C81" s="832"/>
    </row>
    <row r="82" spans="1:3" ht="12.75" customHeight="1">
      <c r="A82" s="668" t="s">
        <v>322</v>
      </c>
      <c r="B82" s="997"/>
      <c r="C82" s="831"/>
    </row>
    <row r="83" spans="1:3" ht="12.75" customHeight="1" thickBot="1">
      <c r="A83" s="675" t="s">
        <v>323</v>
      </c>
      <c r="B83" s="1118"/>
      <c r="C83" s="911"/>
    </row>
    <row r="84" spans="1:3" ht="26.25" customHeight="1" thickBot="1">
      <c r="A84" s="461" t="s">
        <v>324</v>
      </c>
      <c r="B84" s="1119" t="s">
        <v>799</v>
      </c>
      <c r="C84" s="158">
        <f>SUM(C78:C83)</f>
        <v>0</v>
      </c>
    </row>
    <row r="85" ht="12.75" customHeight="1"/>
    <row r="86" ht="12.75" customHeight="1"/>
    <row r="87" ht="12.75" customHeight="1"/>
    <row r="88" ht="12.75" customHeight="1">
      <c r="C88" s="79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2:3" ht="12.75" customHeight="1">
      <c r="B97" s="1"/>
      <c r="C97" s="1"/>
    </row>
    <row r="98" spans="2:3" ht="12.75" customHeight="1">
      <c r="B98" s="1"/>
      <c r="C98" s="1"/>
    </row>
    <row r="99" spans="2:3" ht="12.75" customHeight="1">
      <c r="B99" s="1"/>
      <c r="C99" s="1"/>
    </row>
    <row r="100" spans="2:5" ht="12.75">
      <c r="B100" s="1"/>
      <c r="C100" s="1"/>
      <c r="D100" s="384"/>
      <c r="E100" s="384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9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3" ht="12.75" customHeight="1">
      <c r="B135" s="1"/>
      <c r="C135" s="1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3" ht="12.75" customHeight="1">
      <c r="B144" s="1"/>
      <c r="C144" s="1"/>
    </row>
    <row r="145" spans="2:5" ht="12.75" customHeight="1">
      <c r="B145" s="1"/>
      <c r="C145" s="1"/>
      <c r="D145" s="488"/>
      <c r="E145" s="488"/>
    </row>
    <row r="146" spans="2:3" ht="12.75" customHeight="1">
      <c r="B146" s="1"/>
      <c r="C146" s="1"/>
    </row>
    <row r="147" spans="2:3" ht="12.75" customHeight="1">
      <c r="B147" s="1"/>
      <c r="C147" s="1"/>
    </row>
    <row r="148" spans="2:3" ht="12.75" customHeight="1">
      <c r="B148" s="1"/>
      <c r="C148" s="1"/>
    </row>
    <row r="149" spans="2:3" ht="12.75" customHeight="1">
      <c r="B149" s="1"/>
      <c r="C149" s="1"/>
    </row>
    <row r="150" spans="2:3" ht="12.75" customHeight="1">
      <c r="B150" s="1"/>
      <c r="C150" s="1"/>
    </row>
    <row r="151" spans="2:3" ht="12.75" customHeight="1">
      <c r="B151" s="1"/>
      <c r="C151" s="1"/>
    </row>
    <row r="152" spans="2:3" ht="12.75" customHeight="1">
      <c r="B152" s="1"/>
      <c r="C152" s="1"/>
    </row>
    <row r="153" spans="2:3" ht="12.75" customHeight="1">
      <c r="B153" s="1"/>
      <c r="C153" s="1"/>
    </row>
    <row r="154" spans="2:3" ht="12.75" customHeight="1">
      <c r="B154" s="1"/>
      <c r="C154" s="1"/>
    </row>
    <row r="155" spans="2:3" ht="12.75" customHeight="1">
      <c r="B155" s="1"/>
      <c r="C155" s="1"/>
    </row>
    <row r="156" spans="2:3" ht="12.75" customHeight="1">
      <c r="B156" s="1"/>
      <c r="C156" s="1"/>
    </row>
    <row r="157" spans="2:3" ht="12.75">
      <c r="B157" s="1"/>
      <c r="C157" s="1"/>
    </row>
    <row r="158" spans="2:5" ht="12.75">
      <c r="B158" s="1"/>
      <c r="C158" s="1"/>
      <c r="D158" s="79"/>
      <c r="E158" t="s">
        <v>460</v>
      </c>
    </row>
    <row r="159" spans="2:4" ht="12.75">
      <c r="B159" s="1"/>
      <c r="C159" s="1"/>
      <c r="D159" s="79"/>
    </row>
    <row r="160" spans="2:4" ht="12.75">
      <c r="B160" s="1"/>
      <c r="C160" s="1"/>
      <c r="D160" s="79"/>
    </row>
    <row r="161" spans="2:4" ht="12.75">
      <c r="B161" s="1"/>
      <c r="C161" s="1"/>
      <c r="D161" s="79"/>
    </row>
    <row r="162" spans="2:4" ht="12.75">
      <c r="B162" s="1"/>
      <c r="C162" s="1"/>
      <c r="D162" s="79"/>
    </row>
    <row r="163" spans="2:4" ht="12.75">
      <c r="B163" s="1"/>
      <c r="C163" s="1"/>
      <c r="D163" s="79"/>
    </row>
    <row r="164" spans="2:4" ht="12.75">
      <c r="B164" s="1"/>
      <c r="C164" s="1"/>
      <c r="D164" s="79"/>
    </row>
    <row r="165" spans="2:4" ht="12.75">
      <c r="B165" s="1"/>
      <c r="C165" s="1"/>
      <c r="D165" s="79"/>
    </row>
    <row r="166" spans="2:4" ht="12.75">
      <c r="B166" s="1"/>
      <c r="C166" s="1"/>
      <c r="D166" s="79"/>
    </row>
    <row r="167" spans="2:4" ht="12.75">
      <c r="B167" s="1"/>
      <c r="C167" s="1"/>
      <c r="D167" s="79"/>
    </row>
    <row r="168" spans="2:4" ht="12.75">
      <c r="B168" s="1"/>
      <c r="C168" s="1"/>
      <c r="D168" s="79"/>
    </row>
    <row r="169" spans="2:4" ht="12.75">
      <c r="B169" s="1"/>
      <c r="C169" s="1"/>
      <c r="D169" s="79"/>
    </row>
    <row r="170" spans="2:4" ht="12.75">
      <c r="B170" s="1"/>
      <c r="C170" s="1"/>
      <c r="D170" s="79"/>
    </row>
    <row r="171" spans="2:4" ht="12.75">
      <c r="B171" s="1"/>
      <c r="C171" s="1"/>
      <c r="D171" s="79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6" ht="12.75">
      <c r="E186" s="79"/>
    </row>
    <row r="188" ht="12.75">
      <c r="E188" s="79"/>
    </row>
  </sheetData>
  <sheetProtection/>
  <mergeCells count="3">
    <mergeCell ref="B2:C2"/>
    <mergeCell ref="A68:C68"/>
    <mergeCell ref="A71:C71"/>
  </mergeCells>
  <printOptions/>
  <pageMargins left="0.7086614173228347" right="0.5118110236220472" top="0.35433070866141736" bottom="0.3543307086614173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E59" sqref="E59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84" t="s">
        <v>1422</v>
      </c>
      <c r="B1" s="384"/>
      <c r="C1" s="384"/>
      <c r="D1" s="384"/>
      <c r="E1" s="384"/>
    </row>
    <row r="2" spans="2:3" ht="15.75">
      <c r="B2" s="113"/>
      <c r="C2" s="1"/>
    </row>
    <row r="3" spans="1:3" ht="15.75">
      <c r="A3" s="1674" t="s">
        <v>1111</v>
      </c>
      <c r="B3" s="1675"/>
      <c r="C3" s="1675"/>
    </row>
    <row r="4" spans="2:3" ht="15.75">
      <c r="B4" s="42"/>
      <c r="C4" s="112"/>
    </row>
    <row r="5" spans="2:3" ht="13.5" thickBot="1">
      <c r="B5" s="1680" t="s">
        <v>37</v>
      </c>
      <c r="C5" s="1680"/>
    </row>
    <row r="6" spans="1:3" ht="15.75">
      <c r="A6" s="1688" t="s">
        <v>311</v>
      </c>
      <c r="B6" s="1574" t="s">
        <v>46</v>
      </c>
      <c r="C6" s="302" t="s">
        <v>39</v>
      </c>
    </row>
    <row r="7" spans="1:3" ht="13.5" thickBot="1">
      <c r="A7" s="1689"/>
      <c r="B7" s="36"/>
      <c r="C7" s="462" t="s">
        <v>5</v>
      </c>
    </row>
    <row r="8" spans="1:3" ht="13.5" thickBot="1">
      <c r="A8" s="449" t="s">
        <v>312</v>
      </c>
      <c r="B8" s="401" t="s">
        <v>313</v>
      </c>
      <c r="C8" s="401" t="s">
        <v>314</v>
      </c>
    </row>
    <row r="9" spans="1:3" ht="12.75">
      <c r="A9" s="372" t="s">
        <v>316</v>
      </c>
      <c r="B9" s="229" t="s">
        <v>1113</v>
      </c>
      <c r="C9" s="1037">
        <f>304729-67820-3407+95691-7100-16000-200000+1168-198+1500-1636-1509-2636-274-23562</f>
        <v>78946</v>
      </c>
    </row>
    <row r="10" spans="1:3" ht="25.5">
      <c r="A10" s="371" t="s">
        <v>317</v>
      </c>
      <c r="B10" s="1575" t="s">
        <v>1114</v>
      </c>
      <c r="C10" s="1038"/>
    </row>
    <row r="11" spans="1:3" ht="12.75">
      <c r="A11" s="371" t="s">
        <v>318</v>
      </c>
      <c r="B11" s="1091" t="s">
        <v>1116</v>
      </c>
      <c r="C11" s="305"/>
    </row>
    <row r="12" spans="1:3" ht="12.75">
      <c r="A12" s="371" t="s">
        <v>319</v>
      </c>
      <c r="B12" s="1091" t="s">
        <v>1197</v>
      </c>
      <c r="C12" s="1568"/>
    </row>
    <row r="13" spans="1:3" ht="12.75">
      <c r="A13" s="371" t="s">
        <v>320</v>
      </c>
      <c r="B13" s="936" t="s">
        <v>1196</v>
      </c>
      <c r="C13" s="1576">
        <f>5082+12329+7097+2324</f>
        <v>26832</v>
      </c>
    </row>
    <row r="14" spans="1:3" ht="12.75">
      <c r="A14" s="371" t="s">
        <v>321</v>
      </c>
      <c r="B14" s="161" t="s">
        <v>1208</v>
      </c>
      <c r="C14" s="1578">
        <v>42522</v>
      </c>
    </row>
    <row r="15" spans="1:3" ht="12.75">
      <c r="A15" s="371" t="s">
        <v>322</v>
      </c>
      <c r="B15" s="161" t="s">
        <v>1209</v>
      </c>
      <c r="C15" s="1578">
        <v>1662</v>
      </c>
    </row>
    <row r="16" spans="1:3" ht="13.5" thickBot="1">
      <c r="A16" s="371" t="s">
        <v>323</v>
      </c>
      <c r="B16" s="36" t="s">
        <v>1287</v>
      </c>
      <c r="C16" s="1577">
        <f>1800+2839+1218</f>
        <v>5857</v>
      </c>
    </row>
    <row r="17" spans="1:3" ht="13.5" thickBot="1">
      <c r="A17" s="371" t="s">
        <v>324</v>
      </c>
      <c r="B17" s="417" t="s">
        <v>1112</v>
      </c>
      <c r="C17" s="1184">
        <f>SUM(C9:C16)</f>
        <v>155819</v>
      </c>
    </row>
    <row r="18" spans="1:3" ht="12.75">
      <c r="A18" s="393"/>
      <c r="B18" s="44"/>
      <c r="C18" s="407"/>
    </row>
    <row r="19" spans="1:3" ht="12.75">
      <c r="A19" s="393"/>
      <c r="B19" s="44"/>
      <c r="C19" s="407"/>
    </row>
    <row r="20" spans="1:3" ht="12.75">
      <c r="A20" s="393"/>
      <c r="B20" s="44"/>
      <c r="C20" s="407"/>
    </row>
    <row r="21" spans="1:3" ht="12.75">
      <c r="A21" s="393"/>
      <c r="B21" s="44"/>
      <c r="C21" s="407"/>
    </row>
    <row r="22" spans="2:3" ht="12.75">
      <c r="B22" s="44"/>
      <c r="C22" s="250"/>
    </row>
    <row r="23" spans="1:5" ht="12.75">
      <c r="A23" s="384" t="s">
        <v>1423</v>
      </c>
      <c r="B23" s="384"/>
      <c r="C23" s="384"/>
      <c r="D23" s="384"/>
      <c r="E23" s="384"/>
    </row>
    <row r="24" spans="2:3" ht="12.75">
      <c r="B24" s="1"/>
      <c r="C24" s="1"/>
    </row>
    <row r="25" spans="1:3" ht="15.75">
      <c r="A25" s="1674" t="s">
        <v>1115</v>
      </c>
      <c r="B25" s="1675"/>
      <c r="C25" s="1675"/>
    </row>
    <row r="26" spans="2:3" ht="15.75">
      <c r="B26" s="113"/>
      <c r="C26" s="1"/>
    </row>
    <row r="27" spans="2:3" ht="13.5" thickBot="1">
      <c r="B27" s="1680" t="s">
        <v>47</v>
      </c>
      <c r="C27" s="1680"/>
    </row>
    <row r="28" spans="1:3" ht="15.75">
      <c r="A28" s="1688" t="s">
        <v>311</v>
      </c>
      <c r="B28" s="129" t="s">
        <v>46</v>
      </c>
      <c r="C28" s="302" t="s">
        <v>39</v>
      </c>
    </row>
    <row r="29" spans="1:3" ht="13.5" thickBot="1">
      <c r="A29" s="1689"/>
      <c r="B29" s="139"/>
      <c r="C29" s="303" t="s">
        <v>5</v>
      </c>
    </row>
    <row r="30" spans="1:3" ht="13.5" thickBot="1">
      <c r="A30" s="449" t="s">
        <v>312</v>
      </c>
      <c r="B30" s="204" t="s">
        <v>313</v>
      </c>
      <c r="C30" s="436" t="s">
        <v>314</v>
      </c>
    </row>
    <row r="31" spans="1:3" ht="12.75">
      <c r="A31" s="429" t="s">
        <v>316</v>
      </c>
      <c r="B31" s="1035" t="s">
        <v>1309</v>
      </c>
      <c r="C31" s="1034">
        <v>7640</v>
      </c>
    </row>
    <row r="32" spans="1:3" ht="12.75">
      <c r="A32" s="415" t="s">
        <v>317</v>
      </c>
      <c r="B32" s="1036"/>
      <c r="C32" s="288"/>
    </row>
    <row r="33" spans="1:3" ht="13.5" thickBot="1">
      <c r="A33" s="416"/>
      <c r="B33" s="139"/>
      <c r="C33" s="289"/>
    </row>
    <row r="34" spans="1:3" ht="13.5" thickBot="1">
      <c r="A34" s="395" t="s">
        <v>318</v>
      </c>
      <c r="B34" s="188" t="s">
        <v>1117</v>
      </c>
      <c r="C34" s="318">
        <f>SUM(C31:C33)</f>
        <v>7640</v>
      </c>
    </row>
    <row r="35" spans="2:3" ht="12.75">
      <c r="B35" s="44"/>
      <c r="C35" s="250"/>
    </row>
    <row r="36" spans="2:3" ht="12.75">
      <c r="B36" s="44"/>
      <c r="C36" s="250"/>
    </row>
    <row r="37" spans="2:3" ht="12.75">
      <c r="B37" s="44"/>
      <c r="C37" s="250"/>
    </row>
    <row r="38" spans="2:3" ht="12.75">
      <c r="B38" s="44"/>
      <c r="C38" s="250"/>
    </row>
    <row r="39" spans="2:3" ht="12.75">
      <c r="B39" s="44"/>
      <c r="C39" s="250"/>
    </row>
    <row r="40" spans="2:3" ht="12.75">
      <c r="B40" s="44"/>
      <c r="C40" s="250"/>
    </row>
    <row r="41" spans="2:3" ht="12.75">
      <c r="B41" s="44"/>
      <c r="C41" s="250"/>
    </row>
    <row r="42" spans="2:3" ht="12.75">
      <c r="B42" s="44"/>
      <c r="C42" s="250"/>
    </row>
    <row r="43" spans="2:3" ht="12.75">
      <c r="B43" s="44"/>
      <c r="C43" s="250"/>
    </row>
    <row r="44" spans="2:3" ht="12.75">
      <c r="B44" s="44"/>
      <c r="C44" s="250"/>
    </row>
    <row r="45" spans="2:3" ht="12.75">
      <c r="B45" s="44"/>
      <c r="C45" s="250"/>
    </row>
    <row r="46" spans="2:3" ht="12.75">
      <c r="B46" s="44"/>
      <c r="C46" s="250"/>
    </row>
    <row r="47" spans="2:3" ht="12.75">
      <c r="B47" s="44"/>
      <c r="C47" s="250"/>
    </row>
    <row r="48" spans="2:3" ht="12.75">
      <c r="B48" s="44"/>
      <c r="C48" s="250"/>
    </row>
    <row r="49" spans="2:3" ht="12.75">
      <c r="B49" s="44"/>
      <c r="C49" s="250"/>
    </row>
    <row r="50" spans="2:3" ht="12.75">
      <c r="B50" s="44"/>
      <c r="C50" s="250"/>
    </row>
    <row r="51" spans="2:3" ht="12.75">
      <c r="B51" s="44"/>
      <c r="C51" s="250"/>
    </row>
    <row r="52" spans="2:3" ht="12.75">
      <c r="B52" s="44"/>
      <c r="C52" s="250"/>
    </row>
    <row r="53" spans="2:3" ht="12.75">
      <c r="B53" s="44"/>
      <c r="C53" s="250"/>
    </row>
    <row r="54" spans="1:5" ht="12.75">
      <c r="A54" s="384" t="s">
        <v>1424</v>
      </c>
      <c r="B54" s="384"/>
      <c r="C54" s="384"/>
      <c r="D54" s="384"/>
      <c r="E54" s="384"/>
    </row>
    <row r="55" spans="2:3" ht="12.75">
      <c r="B55" s="1"/>
      <c r="C55" s="1"/>
    </row>
    <row r="56" spans="1:3" ht="15.75">
      <c r="A56" s="1687" t="s">
        <v>872</v>
      </c>
      <c r="B56" s="1675"/>
      <c r="C56" s="1675"/>
    </row>
    <row r="57" spans="2:5" ht="11.25" customHeight="1">
      <c r="B57" s="42"/>
      <c r="C57" s="42"/>
      <c r="D57" s="12"/>
      <c r="E57" s="12"/>
    </row>
    <row r="58" spans="2:3" ht="13.5" thickBot="1">
      <c r="B58" s="135"/>
      <c r="C58" s="135" t="s">
        <v>306</v>
      </c>
    </row>
    <row r="59" spans="1:3" ht="27" thickBot="1">
      <c r="A59" s="1155" t="s">
        <v>311</v>
      </c>
      <c r="B59" s="1171" t="s">
        <v>46</v>
      </c>
      <c r="C59" s="533" t="s">
        <v>26</v>
      </c>
    </row>
    <row r="60" spans="1:3" s="1159" customFormat="1" ht="12.75" thickBot="1">
      <c r="A60" s="1090" t="s">
        <v>312</v>
      </c>
      <c r="B60" s="1156" t="s">
        <v>313</v>
      </c>
      <c r="C60" s="1156" t="s">
        <v>314</v>
      </c>
    </row>
    <row r="61" spans="1:3" ht="13.5" thickBot="1">
      <c r="A61" s="487" t="s">
        <v>316</v>
      </c>
      <c r="B61" s="1153" t="s">
        <v>871</v>
      </c>
      <c r="C61" s="323">
        <f>C62+C67+C73</f>
        <v>631232</v>
      </c>
    </row>
    <row r="62" spans="1:3" ht="13.5" thickBot="1">
      <c r="A62" s="395" t="s">
        <v>317</v>
      </c>
      <c r="B62" s="322" t="s">
        <v>305</v>
      </c>
      <c r="C62" s="158">
        <f>SUM(C63:C66)</f>
        <v>361891</v>
      </c>
    </row>
    <row r="63" spans="1:3" ht="12.75">
      <c r="A63" s="429" t="s">
        <v>318</v>
      </c>
      <c r="B63" s="122" t="s">
        <v>303</v>
      </c>
      <c r="C63" s="270">
        <f>327870+21719+563</f>
        <v>350152</v>
      </c>
    </row>
    <row r="64" spans="1:3" ht="12.75">
      <c r="A64" s="429" t="s">
        <v>319</v>
      </c>
      <c r="B64" s="138" t="s">
        <v>482</v>
      </c>
      <c r="C64" s="182">
        <f>606+51</f>
        <v>657</v>
      </c>
    </row>
    <row r="65" spans="1:3" ht="12.75">
      <c r="A65" s="429" t="s">
        <v>320</v>
      </c>
      <c r="B65" s="138" t="s">
        <v>1204</v>
      </c>
      <c r="C65" s="182">
        <v>9495</v>
      </c>
    </row>
    <row r="66" spans="1:3" ht="13.5" thickBot="1">
      <c r="A66" s="450" t="s">
        <v>321</v>
      </c>
      <c r="B66" s="139" t="s">
        <v>1288</v>
      </c>
      <c r="C66" s="159">
        <v>1587</v>
      </c>
    </row>
    <row r="67" spans="1:3" ht="13.5" thickBot="1">
      <c r="A67" s="395" t="s">
        <v>322</v>
      </c>
      <c r="B67" s="140" t="s">
        <v>613</v>
      </c>
      <c r="C67" s="158">
        <f>C68+C69+C70+C72+C71</f>
        <v>7632</v>
      </c>
    </row>
    <row r="68" spans="1:3" ht="12.75">
      <c r="A68" s="429" t="s">
        <v>323</v>
      </c>
      <c r="B68" s="511" t="s">
        <v>1207</v>
      </c>
      <c r="C68" s="1032">
        <f>4440+184</f>
        <v>4624</v>
      </c>
    </row>
    <row r="69" spans="1:3" ht="12.75">
      <c r="A69" s="429" t="s">
        <v>324</v>
      </c>
      <c r="B69" s="128" t="s">
        <v>1307</v>
      </c>
      <c r="C69" s="1058">
        <f>89</f>
        <v>89</v>
      </c>
    </row>
    <row r="70" spans="1:3" ht="12.75">
      <c r="A70" s="429" t="s">
        <v>325</v>
      </c>
      <c r="B70" s="128" t="s">
        <v>1302</v>
      </c>
      <c r="C70" s="1058">
        <f>640+312</f>
        <v>952</v>
      </c>
    </row>
    <row r="71" spans="1:3" ht="12.75">
      <c r="A71" s="450" t="s">
        <v>326</v>
      </c>
      <c r="B71" s="128" t="s">
        <v>1311</v>
      </c>
      <c r="C71" s="1058">
        <f>510+305</f>
        <v>815</v>
      </c>
    </row>
    <row r="72" spans="1:3" ht="13.5" thickBot="1">
      <c r="A72" s="450" t="s">
        <v>327</v>
      </c>
      <c r="B72" s="128" t="s">
        <v>1303</v>
      </c>
      <c r="C72" s="773">
        <v>1152</v>
      </c>
    </row>
    <row r="73" spans="1:3" ht="13.5" thickBot="1">
      <c r="A73" s="395" t="s">
        <v>328</v>
      </c>
      <c r="B73" s="1154" t="s">
        <v>612</v>
      </c>
      <c r="C73" s="274">
        <f>SUM(C74:C88)</f>
        <v>261709</v>
      </c>
    </row>
    <row r="74" spans="1:3" ht="12.75">
      <c r="A74" s="777" t="s">
        <v>329</v>
      </c>
      <c r="B74" s="1595" t="s">
        <v>304</v>
      </c>
      <c r="C74" s="1033">
        <f>15550</f>
        <v>15550</v>
      </c>
    </row>
    <row r="75" spans="1:3" ht="12.75">
      <c r="A75" s="429" t="s">
        <v>330</v>
      </c>
      <c r="B75" s="1019" t="s">
        <v>599</v>
      </c>
      <c r="C75" s="1023">
        <f>6032+28089+36731+14818+73529+47752-231-87</f>
        <v>206633</v>
      </c>
    </row>
    <row r="76" spans="1:3" ht="12.75">
      <c r="A76" s="429" t="s">
        <v>331</v>
      </c>
      <c r="B76" s="1596" t="s">
        <v>1294</v>
      </c>
      <c r="C76" s="1023">
        <f>1430</f>
        <v>1430</v>
      </c>
    </row>
    <row r="77" spans="1:3" ht="12.75">
      <c r="A77" s="450" t="s">
        <v>332</v>
      </c>
      <c r="B77" s="1596" t="s">
        <v>1295</v>
      </c>
      <c r="C77" s="1032"/>
    </row>
    <row r="78" spans="1:3" ht="12.75">
      <c r="A78" s="429" t="s">
        <v>333</v>
      </c>
      <c r="B78" s="1596" t="s">
        <v>1296</v>
      </c>
      <c r="C78" s="1032">
        <f>1800-1800</f>
        <v>0</v>
      </c>
    </row>
    <row r="79" spans="1:3" ht="12.75">
      <c r="A79" s="429" t="s">
        <v>334</v>
      </c>
      <c r="B79" s="1596" t="s">
        <v>1403</v>
      </c>
      <c r="C79" s="1032">
        <v>7934</v>
      </c>
    </row>
    <row r="80" spans="1:3" ht="12.75">
      <c r="A80" s="450" t="s">
        <v>336</v>
      </c>
      <c r="B80" s="1596" t="s">
        <v>1297</v>
      </c>
      <c r="C80" s="271">
        <f>14128</f>
        <v>14128</v>
      </c>
    </row>
    <row r="81" spans="1:3" ht="12.75">
      <c r="A81" s="429" t="s">
        <v>337</v>
      </c>
      <c r="B81" s="1596" t="s">
        <v>1298</v>
      </c>
      <c r="C81" s="271">
        <v>14000</v>
      </c>
    </row>
    <row r="82" spans="1:3" ht="12.75">
      <c r="A82" s="429" t="s">
        <v>338</v>
      </c>
      <c r="B82" s="1596" t="s">
        <v>1319</v>
      </c>
      <c r="C82" s="271">
        <v>1594</v>
      </c>
    </row>
    <row r="83" spans="1:8" s="15" customFormat="1" ht="13.5" thickBot="1">
      <c r="A83" s="778" t="s">
        <v>339</v>
      </c>
      <c r="B83" s="1597" t="s">
        <v>1299</v>
      </c>
      <c r="C83" s="733">
        <f>417+23</f>
        <v>440</v>
      </c>
      <c r="H83" s="39"/>
    </row>
    <row r="84" spans="1:3" s="15" customFormat="1" ht="12.75">
      <c r="A84" s="393"/>
      <c r="B84" s="1152"/>
      <c r="C84" s="30"/>
    </row>
    <row r="85" spans="1:3" s="15" customFormat="1" ht="15.75">
      <c r="A85" s="1687" t="s">
        <v>1377</v>
      </c>
      <c r="B85" s="1687"/>
      <c r="C85" s="1687"/>
    </row>
    <row r="86" spans="1:3" s="15" customFormat="1" ht="15.75">
      <c r="A86" s="42"/>
      <c r="B86" s="13"/>
      <c r="C86" s="13"/>
    </row>
    <row r="87" spans="1:3" s="15" customFormat="1" ht="13.5" thickBot="1">
      <c r="A87"/>
      <c r="B87" s="135"/>
      <c r="C87" s="135" t="s">
        <v>306</v>
      </c>
    </row>
    <row r="88" spans="1:8" s="39" customFormat="1" ht="28.5" customHeight="1" thickBot="1">
      <c r="A88" s="1155" t="s">
        <v>311</v>
      </c>
      <c r="B88" s="1171" t="s">
        <v>46</v>
      </c>
      <c r="C88" s="533" t="s">
        <v>26</v>
      </c>
      <c r="H88" s="15"/>
    </row>
    <row r="89" spans="1:8" s="1157" customFormat="1" ht="12.75" thickBot="1">
      <c r="A89" s="1165" t="s">
        <v>312</v>
      </c>
      <c r="B89" s="1162" t="s">
        <v>313</v>
      </c>
      <c r="C89" s="1162" t="s">
        <v>314</v>
      </c>
      <c r="H89" s="1158"/>
    </row>
    <row r="90" spans="1:3" ht="13.5" thickBot="1">
      <c r="A90" s="1166" t="s">
        <v>346</v>
      </c>
      <c r="B90" s="1169" t="s">
        <v>1378</v>
      </c>
      <c r="C90" s="484">
        <f>C91+C95+C100</f>
        <v>0</v>
      </c>
    </row>
    <row r="91" spans="1:3" ht="13.5" thickBot="1">
      <c r="A91" s="408" t="s">
        <v>347</v>
      </c>
      <c r="B91" s="177" t="s">
        <v>10</v>
      </c>
      <c r="C91" s="153">
        <f>SUM(C92:C94)</f>
        <v>0</v>
      </c>
    </row>
    <row r="92" spans="1:3" ht="12.75">
      <c r="A92" s="765" t="s">
        <v>348</v>
      </c>
      <c r="B92" s="206"/>
      <c r="C92" s="154"/>
    </row>
    <row r="93" spans="1:3" ht="12.75">
      <c r="A93" s="766">
        <v>33</v>
      </c>
      <c r="B93" s="136"/>
      <c r="C93" s="151"/>
    </row>
    <row r="94" spans="1:3" ht="13.5" thickBot="1">
      <c r="A94" s="766">
        <v>34</v>
      </c>
      <c r="B94" s="324"/>
      <c r="C94" s="156"/>
    </row>
    <row r="95" spans="1:3" ht="13.5" thickBot="1">
      <c r="A95" s="408" t="s">
        <v>351</v>
      </c>
      <c r="B95" s="177" t="s">
        <v>493</v>
      </c>
      <c r="C95" s="153">
        <f>SUM(C96:C99)</f>
        <v>0</v>
      </c>
    </row>
    <row r="96" spans="1:3" ht="12.75">
      <c r="A96" s="765" t="s">
        <v>352</v>
      </c>
      <c r="B96" s="206"/>
      <c r="C96" s="154"/>
    </row>
    <row r="97" spans="1:3" ht="12.75">
      <c r="A97" s="766" t="s">
        <v>353</v>
      </c>
      <c r="B97" s="136"/>
      <c r="C97" s="151"/>
    </row>
    <row r="98" spans="1:3" ht="12.75">
      <c r="A98" s="766" t="s">
        <v>354</v>
      </c>
      <c r="B98" s="136"/>
      <c r="C98" s="151"/>
    </row>
    <row r="99" spans="1:3" ht="13.5" thickBot="1">
      <c r="A99" s="767" t="s">
        <v>355</v>
      </c>
      <c r="B99" s="324"/>
      <c r="C99" s="156"/>
    </row>
    <row r="100" spans="1:3" ht="13.5" thickBot="1">
      <c r="A100" s="408" t="s">
        <v>356</v>
      </c>
      <c r="B100" s="177" t="s">
        <v>62</v>
      </c>
      <c r="C100" s="153">
        <f>SUM(C101:C105)</f>
        <v>0</v>
      </c>
    </row>
    <row r="101" spans="1:3" ht="12.75">
      <c r="A101" s="1167" t="s">
        <v>357</v>
      </c>
      <c r="B101" s="206"/>
      <c r="C101" s="154"/>
    </row>
    <row r="102" spans="1:3" ht="12.75">
      <c r="A102" s="1168" t="s">
        <v>358</v>
      </c>
      <c r="B102" s="136"/>
      <c r="C102" s="1163"/>
    </row>
    <row r="103" spans="1:3" ht="12.75">
      <c r="A103" s="1168" t="s">
        <v>359</v>
      </c>
      <c r="B103" s="136"/>
      <c r="C103" s="1163"/>
    </row>
    <row r="104" spans="1:3" ht="12.75">
      <c r="A104" s="1168" t="s">
        <v>369</v>
      </c>
      <c r="B104" s="136"/>
      <c r="C104" s="1163"/>
    </row>
    <row r="105" spans="1:3" ht="13.5" thickBot="1">
      <c r="A105" s="1069" t="s">
        <v>370</v>
      </c>
      <c r="B105" s="1170"/>
      <c r="C105" s="1164"/>
    </row>
    <row r="106" s="17" customFormat="1" ht="12.75">
      <c r="H106"/>
    </row>
    <row r="107" ht="12.75">
      <c r="H107" s="17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</sheetData>
  <sheetProtection/>
  <mergeCells count="8">
    <mergeCell ref="A85:C85"/>
    <mergeCell ref="B27:C27"/>
    <mergeCell ref="B5:C5"/>
    <mergeCell ref="A6:A7"/>
    <mergeCell ref="A28:A29"/>
    <mergeCell ref="A3:C3"/>
    <mergeCell ref="A25:C25"/>
    <mergeCell ref="A56:C56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54" t="s">
        <v>1425</v>
      </c>
      <c r="B1" s="1654"/>
      <c r="C1" s="1654"/>
      <c r="D1" s="1654"/>
      <c r="E1" s="1654"/>
    </row>
    <row r="2" spans="2:6" ht="15.75">
      <c r="B2" s="1674" t="s">
        <v>886</v>
      </c>
      <c r="C2" s="1674"/>
      <c r="D2" s="1674"/>
      <c r="E2" s="1674"/>
      <c r="F2" s="21"/>
    </row>
    <row r="3" spans="2:5" ht="7.5" customHeight="1">
      <c r="B3" s="18"/>
      <c r="C3" s="18"/>
      <c r="D3" s="18"/>
      <c r="E3" s="18"/>
    </row>
    <row r="4" spans="2:6" ht="15.75" thickBot="1">
      <c r="B4" s="18"/>
      <c r="C4" s="18"/>
      <c r="D4" s="18"/>
      <c r="E4" s="37" t="s">
        <v>54</v>
      </c>
      <c r="F4" s="37"/>
    </row>
    <row r="5" spans="1:6" ht="13.5" thickBot="1">
      <c r="A5" s="1695" t="s">
        <v>311</v>
      </c>
      <c r="B5" s="1697" t="s">
        <v>50</v>
      </c>
      <c r="C5" s="1699" t="s">
        <v>51</v>
      </c>
      <c r="D5" s="1700"/>
      <c r="E5" s="1700"/>
      <c r="F5" s="1701"/>
    </row>
    <row r="6" spans="1:6" ht="13.5" thickBot="1">
      <c r="A6" s="1696"/>
      <c r="B6" s="1698"/>
      <c r="C6" s="706" t="s">
        <v>52</v>
      </c>
      <c r="D6" s="467" t="s">
        <v>558</v>
      </c>
      <c r="E6" s="707" t="s">
        <v>39</v>
      </c>
      <c r="F6" s="708" t="s">
        <v>148</v>
      </c>
    </row>
    <row r="7" spans="1:6" ht="13.5" thickBot="1">
      <c r="A7" s="1000" t="s">
        <v>312</v>
      </c>
      <c r="B7" s="463" t="s">
        <v>313</v>
      </c>
      <c r="C7" s="464" t="s">
        <v>314</v>
      </c>
      <c r="D7" s="465" t="s">
        <v>315</v>
      </c>
      <c r="E7" s="785" t="s">
        <v>335</v>
      </c>
      <c r="F7" s="179" t="s">
        <v>360</v>
      </c>
    </row>
    <row r="8" spans="1:6" ht="12.75">
      <c r="A8" s="1172" t="s">
        <v>316</v>
      </c>
      <c r="B8" s="1181" t="s">
        <v>887</v>
      </c>
      <c r="C8" s="1176"/>
      <c r="D8" s="1179"/>
      <c r="E8" s="1174"/>
      <c r="F8" s="608">
        <f>SUM(C8:E8)</f>
        <v>0</v>
      </c>
    </row>
    <row r="9" spans="1:6" ht="12.75">
      <c r="A9" s="766" t="s">
        <v>317</v>
      </c>
      <c r="B9" s="845" t="s">
        <v>888</v>
      </c>
      <c r="C9" s="1177"/>
      <c r="D9" s="1180"/>
      <c r="E9" s="1175"/>
      <c r="F9" s="1002">
        <f>SUM(C9:E9)</f>
        <v>0</v>
      </c>
    </row>
    <row r="10" spans="1:6" ht="12.75">
      <c r="A10" s="766" t="s">
        <v>318</v>
      </c>
      <c r="B10" s="845" t="s">
        <v>889</v>
      </c>
      <c r="C10" s="1177"/>
      <c r="D10" s="1180"/>
      <c r="E10" s="1175"/>
      <c r="F10" s="1002">
        <f>SUM(C10:E10)</f>
        <v>0</v>
      </c>
    </row>
    <row r="11" spans="1:6" ht="12.75">
      <c r="A11" s="766" t="s">
        <v>319</v>
      </c>
      <c r="B11" s="845" t="s">
        <v>890</v>
      </c>
      <c r="C11" s="1177"/>
      <c r="D11" s="1180"/>
      <c r="E11" s="1175"/>
      <c r="F11" s="1002">
        <f>SUM(C11:E11)</f>
        <v>0</v>
      </c>
    </row>
    <row r="12" spans="1:6" ht="13.5" thickBot="1">
      <c r="A12" s="766" t="s">
        <v>320</v>
      </c>
      <c r="B12" s="845" t="s">
        <v>891</v>
      </c>
      <c r="C12" s="1177"/>
      <c r="D12" s="1180"/>
      <c r="E12" s="1175"/>
      <c r="F12" s="1182">
        <f>SUM(C12:E12)</f>
        <v>0</v>
      </c>
    </row>
    <row r="13" spans="1:6" ht="13.5" thickBot="1">
      <c r="A13" s="408" t="s">
        <v>321</v>
      </c>
      <c r="B13" s="1173" t="s">
        <v>892</v>
      </c>
      <c r="C13" s="1178">
        <f>SUM(C8:C12)</f>
        <v>0</v>
      </c>
      <c r="D13" s="1178">
        <f>SUM(D8:D12)</f>
        <v>0</v>
      </c>
      <c r="E13" s="1178">
        <f>SUM(E8:E12)</f>
        <v>0</v>
      </c>
      <c r="F13" s="318">
        <f>SUM(F8:F12)</f>
        <v>0</v>
      </c>
    </row>
    <row r="14" spans="2:5" ht="12.75" customHeight="1">
      <c r="B14" s="18"/>
      <c r="C14" s="18"/>
      <c r="D14" s="18"/>
      <c r="E14" s="18"/>
    </row>
    <row r="15" spans="2:5" ht="12.75" customHeight="1">
      <c r="B15" s="18"/>
      <c r="C15" s="18"/>
      <c r="D15" s="18"/>
      <c r="E15" s="18"/>
    </row>
    <row r="16" spans="1:5" ht="12.75">
      <c r="A16" s="1654" t="s">
        <v>1426</v>
      </c>
      <c r="B16" s="1654"/>
      <c r="C16" s="1654"/>
      <c r="D16" s="1654"/>
      <c r="E16" s="1654"/>
    </row>
    <row r="17" spans="2:5" ht="15">
      <c r="B17" s="18"/>
      <c r="C17" s="18"/>
      <c r="D17" s="18"/>
      <c r="E17" s="18"/>
    </row>
    <row r="18" spans="1:6" ht="15.75">
      <c r="A18" s="1674" t="s">
        <v>906</v>
      </c>
      <c r="B18" s="1675"/>
      <c r="C18" s="1675"/>
      <c r="D18" s="1675"/>
      <c r="E18" s="1675"/>
      <c r="F18" s="1675"/>
    </row>
    <row r="19" spans="2:5" ht="14.25">
      <c r="B19" s="1702"/>
      <c r="C19" s="1702"/>
      <c r="D19" s="1702"/>
      <c r="E19" s="1702"/>
    </row>
    <row r="20" spans="2:5" ht="15.75" thickBot="1">
      <c r="B20" s="18"/>
      <c r="C20" s="18"/>
      <c r="D20" s="18"/>
      <c r="E20" s="37" t="s">
        <v>54</v>
      </c>
    </row>
    <row r="21" spans="1:6" ht="13.5" thickBot="1">
      <c r="A21" s="1688" t="s">
        <v>311</v>
      </c>
      <c r="B21" s="1693" t="s">
        <v>44</v>
      </c>
      <c r="C21" s="1690" t="s">
        <v>51</v>
      </c>
      <c r="D21" s="1691"/>
      <c r="E21" s="1691"/>
      <c r="F21" s="1692"/>
    </row>
    <row r="22" spans="1:6" ht="13.5" thickBot="1">
      <c r="A22" s="1689"/>
      <c r="B22" s="1703"/>
      <c r="C22" s="704" t="s">
        <v>52</v>
      </c>
      <c r="D22" s="467" t="s">
        <v>558</v>
      </c>
      <c r="E22" s="307" t="s">
        <v>39</v>
      </c>
      <c r="F22" s="701" t="s">
        <v>148</v>
      </c>
    </row>
    <row r="23" spans="1:6" ht="13.5" thickBot="1">
      <c r="A23" s="449" t="s">
        <v>312</v>
      </c>
      <c r="B23" s="474" t="s">
        <v>313</v>
      </c>
      <c r="C23" s="463" t="s">
        <v>314</v>
      </c>
      <c r="D23" s="465" t="s">
        <v>315</v>
      </c>
      <c r="E23" s="473" t="s">
        <v>335</v>
      </c>
      <c r="F23" s="533" t="s">
        <v>360</v>
      </c>
    </row>
    <row r="24" spans="1:6" ht="26.25">
      <c r="A24" s="429" t="s">
        <v>316</v>
      </c>
      <c r="B24" s="702" t="s">
        <v>1162</v>
      </c>
      <c r="C24" s="1214">
        <f>'30_ sz_ melléklet'!F11</f>
        <v>0</v>
      </c>
      <c r="D24" s="480">
        <v>0</v>
      </c>
      <c r="E24" s="1030">
        <f>207100</f>
        <v>207100</v>
      </c>
      <c r="F24" s="146">
        <f>SUM(C24:E24)</f>
        <v>207100</v>
      </c>
    </row>
    <row r="25" spans="1:6" ht="15">
      <c r="A25" s="415" t="s">
        <v>317</v>
      </c>
      <c r="B25" s="161" t="s">
        <v>1163</v>
      </c>
      <c r="C25" s="822">
        <v>0</v>
      </c>
      <c r="D25" s="481">
        <v>0</v>
      </c>
      <c r="E25" s="1031"/>
      <c r="F25" s="146">
        <f>SUM(C25:E25)</f>
        <v>0</v>
      </c>
    </row>
    <row r="26" spans="1:6" ht="26.25">
      <c r="A26" s="416" t="s">
        <v>318</v>
      </c>
      <c r="B26" s="1213" t="s">
        <v>910</v>
      </c>
      <c r="C26" s="823"/>
      <c r="D26" s="482">
        <v>0</v>
      </c>
      <c r="E26" s="941"/>
      <c r="F26" s="146">
        <f>SUM(C26:E26)</f>
        <v>0</v>
      </c>
    </row>
    <row r="27" spans="1:6" ht="15.75" thickBot="1">
      <c r="A27" s="416" t="s">
        <v>319</v>
      </c>
      <c r="B27" s="317" t="s">
        <v>911</v>
      </c>
      <c r="C27" s="823">
        <v>0</v>
      </c>
      <c r="D27" s="824">
        <v>0</v>
      </c>
      <c r="E27" s="825"/>
      <c r="F27" s="150">
        <f>SUM(C27:E27)</f>
        <v>0</v>
      </c>
    </row>
    <row r="28" spans="1:6" ht="24.75" thickBot="1">
      <c r="A28" s="395" t="s">
        <v>320</v>
      </c>
      <c r="B28" s="703" t="s">
        <v>907</v>
      </c>
      <c r="C28" s="826">
        <f>SUM(C24:C27)</f>
        <v>0</v>
      </c>
      <c r="D28" s="483">
        <f>SUM(D24:D27)</f>
        <v>0</v>
      </c>
      <c r="E28" s="410">
        <f>SUM(E24:E27)</f>
        <v>207100</v>
      </c>
      <c r="F28" s="158">
        <f>SUM(C28:E28)</f>
        <v>207100</v>
      </c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1:5" ht="12.75">
      <c r="A31" s="1654" t="s">
        <v>1427</v>
      </c>
      <c r="B31" s="1654"/>
      <c r="C31" s="1654"/>
      <c r="D31" s="1654"/>
      <c r="E31" s="1654"/>
    </row>
    <row r="32" spans="2:5" ht="15">
      <c r="B32" s="18"/>
      <c r="C32" s="18"/>
      <c r="D32" s="18"/>
      <c r="E32" s="18"/>
    </row>
    <row r="33" spans="2:6" ht="15.75">
      <c r="B33" s="1687" t="s">
        <v>1118</v>
      </c>
      <c r="C33" s="1687"/>
      <c r="D33" s="1687"/>
      <c r="E33" s="1687"/>
      <c r="F33" s="1675"/>
    </row>
    <row r="34" spans="2:5" ht="15">
      <c r="B34" s="18"/>
      <c r="C34" s="18"/>
      <c r="D34" s="18"/>
      <c r="E34" s="18"/>
    </row>
    <row r="35" spans="2:5" ht="15.75" thickBot="1">
      <c r="B35" s="18"/>
      <c r="C35" s="18"/>
      <c r="D35" s="18"/>
      <c r="E35" s="37" t="s">
        <v>54</v>
      </c>
    </row>
    <row r="36" spans="1:6" ht="13.5" thickBot="1">
      <c r="A36" s="1688" t="s">
        <v>311</v>
      </c>
      <c r="B36" s="1693" t="s">
        <v>44</v>
      </c>
      <c r="C36" s="1690" t="s">
        <v>51</v>
      </c>
      <c r="D36" s="1691"/>
      <c r="E36" s="1691"/>
      <c r="F36" s="1692"/>
    </row>
    <row r="37" spans="1:6" ht="13.5" thickBot="1">
      <c r="A37" s="1689"/>
      <c r="B37" s="1694"/>
      <c r="C37" s="700" t="s">
        <v>52</v>
      </c>
      <c r="D37" s="467" t="s">
        <v>558</v>
      </c>
      <c r="E37" s="468" t="s">
        <v>53</v>
      </c>
      <c r="F37" s="701" t="s">
        <v>148</v>
      </c>
    </row>
    <row r="38" spans="1:6" ht="13.5" thickBot="1">
      <c r="A38" s="449" t="s">
        <v>312</v>
      </c>
      <c r="B38" s="474" t="s">
        <v>313</v>
      </c>
      <c r="C38" s="463" t="s">
        <v>314</v>
      </c>
      <c r="D38" s="465" t="s">
        <v>315</v>
      </c>
      <c r="E38" s="473" t="s">
        <v>335</v>
      </c>
      <c r="F38" s="533" t="s">
        <v>360</v>
      </c>
    </row>
    <row r="39" spans="1:6" ht="29.25" customHeight="1">
      <c r="A39" s="429" t="s">
        <v>316</v>
      </c>
      <c r="B39" s="1210" t="s">
        <v>1119</v>
      </c>
      <c r="C39" s="817"/>
      <c r="D39" s="820"/>
      <c r="E39" s="819"/>
      <c r="F39" s="640">
        <f>SUM(C39:E39)</f>
        <v>0</v>
      </c>
    </row>
    <row r="40" spans="1:6" ht="29.25" customHeight="1">
      <c r="A40" s="429" t="s">
        <v>317</v>
      </c>
      <c r="B40" s="1210" t="s">
        <v>943</v>
      </c>
      <c r="C40" s="817"/>
      <c r="D40" s="1322"/>
      <c r="E40" s="819"/>
      <c r="F40" s="154">
        <f>SUM(C40:E40)</f>
        <v>0</v>
      </c>
    </row>
    <row r="41" spans="1:6" ht="36">
      <c r="A41" s="429" t="s">
        <v>318</v>
      </c>
      <c r="B41" s="1211" t="s">
        <v>908</v>
      </c>
      <c r="C41" s="1207"/>
      <c r="D41" s="1208"/>
      <c r="E41" s="1209"/>
      <c r="F41" s="154"/>
    </row>
    <row r="42" spans="1:6" ht="24">
      <c r="A42" s="429" t="s">
        <v>319</v>
      </c>
      <c r="B42" s="1211" t="s">
        <v>1120</v>
      </c>
      <c r="C42" s="1207">
        <f>'30_ sz_ melléklet'!F15</f>
        <v>30</v>
      </c>
      <c r="D42" s="1208"/>
      <c r="E42" s="1209">
        <v>15000</v>
      </c>
      <c r="F42" s="154">
        <f>SUM(C42:E42)</f>
        <v>15030</v>
      </c>
    </row>
    <row r="43" spans="1:6" ht="24">
      <c r="A43" s="429" t="s">
        <v>320</v>
      </c>
      <c r="B43" s="1210" t="s">
        <v>943</v>
      </c>
      <c r="C43" s="1207"/>
      <c r="D43" s="1208"/>
      <c r="E43" s="1209">
        <v>10000</v>
      </c>
      <c r="F43" s="154">
        <f>SUM(C43:E43)</f>
        <v>10000</v>
      </c>
    </row>
    <row r="44" spans="1:6" ht="15">
      <c r="A44" s="429" t="s">
        <v>321</v>
      </c>
      <c r="B44" s="1211"/>
      <c r="C44" s="1207"/>
      <c r="D44" s="1208"/>
      <c r="E44" s="1209"/>
      <c r="F44" s="154"/>
    </row>
    <row r="45" spans="1:6" ht="15">
      <c r="A45" s="429" t="s">
        <v>322</v>
      </c>
      <c r="B45" s="1211"/>
      <c r="C45" s="1207"/>
      <c r="D45" s="1208"/>
      <c r="E45" s="1209"/>
      <c r="F45" s="154"/>
    </row>
    <row r="46" spans="1:6" ht="15.75" thickBot="1">
      <c r="A46" s="429" t="s">
        <v>323</v>
      </c>
      <c r="B46" s="1212"/>
      <c r="C46" s="818">
        <v>0</v>
      </c>
      <c r="D46" s="821">
        <v>0</v>
      </c>
      <c r="E46" s="1029"/>
      <c r="F46" s="154"/>
    </row>
    <row r="47" spans="1:6" ht="15" thickBot="1">
      <c r="A47" s="395" t="s">
        <v>324</v>
      </c>
      <c r="B47" s="699" t="s">
        <v>909</v>
      </c>
      <c r="C47" s="396">
        <f>SUM(C39:C46)-C40</f>
        <v>30</v>
      </c>
      <c r="D47" s="396">
        <f>SUM(D39:D46)-D40</f>
        <v>0</v>
      </c>
      <c r="E47" s="396">
        <f>SUM(E39:E46)-E40-E43</f>
        <v>15000</v>
      </c>
      <c r="F47" s="396">
        <f>SUM(F39:F46)-F40-F43</f>
        <v>15030</v>
      </c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2.75">
      <c r="B54" s="1"/>
      <c r="C54" s="1"/>
      <c r="D54" s="1"/>
      <c r="E54" s="1"/>
    </row>
    <row r="67" ht="16.5" customHeight="1"/>
    <row r="68" ht="16.5" customHeight="1"/>
    <row r="69" ht="16.5" customHeight="1"/>
  </sheetData>
  <sheetProtection/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84" t="s">
        <v>1428</v>
      </c>
      <c r="B2" s="384"/>
      <c r="C2" s="384"/>
      <c r="D2" s="384"/>
      <c r="E2" s="384"/>
    </row>
    <row r="3" spans="2:3" ht="15.75">
      <c r="B3" s="113"/>
      <c r="C3" s="1"/>
    </row>
    <row r="4" spans="2:3" ht="15.75">
      <c r="B4" s="1674" t="s">
        <v>893</v>
      </c>
      <c r="C4" s="1674"/>
    </row>
    <row r="5" spans="2:3" ht="15.75">
      <c r="B5" s="42"/>
      <c r="C5" s="112"/>
    </row>
    <row r="6" spans="2:3" ht="13.5" thickBot="1">
      <c r="B6" s="1680" t="s">
        <v>37</v>
      </c>
      <c r="C6" s="1680"/>
    </row>
    <row r="7" spans="1:3" ht="15.75">
      <c r="A7" s="1688" t="s">
        <v>311</v>
      </c>
      <c r="B7" s="129" t="s">
        <v>46</v>
      </c>
      <c r="C7" s="302" t="s">
        <v>39</v>
      </c>
    </row>
    <row r="8" spans="1:3" ht="13.5" thickBot="1">
      <c r="A8" s="1689"/>
      <c r="B8" s="187"/>
      <c r="C8" s="303" t="s">
        <v>5</v>
      </c>
    </row>
    <row r="9" spans="1:3" ht="13.5" thickBot="1">
      <c r="A9" s="449" t="s">
        <v>312</v>
      </c>
      <c r="B9" s="463" t="s">
        <v>313</v>
      </c>
      <c r="C9" s="469" t="s">
        <v>314</v>
      </c>
    </row>
    <row r="10" spans="1:3" ht="12.75">
      <c r="A10" s="429" t="s">
        <v>316</v>
      </c>
      <c r="B10" s="138" t="s">
        <v>895</v>
      </c>
      <c r="C10" s="304"/>
    </row>
    <row r="11" spans="1:3" ht="12.75">
      <c r="A11" s="415" t="s">
        <v>317</v>
      </c>
      <c r="B11" s="309" t="s">
        <v>896</v>
      </c>
      <c r="C11" s="305"/>
    </row>
    <row r="12" spans="1:3" ht="12.75">
      <c r="A12" s="416" t="s">
        <v>318</v>
      </c>
      <c r="B12" s="1183" t="s">
        <v>897</v>
      </c>
      <c r="C12" s="305"/>
    </row>
    <row r="13" spans="1:3" ht="12.75">
      <c r="A13" s="416" t="s">
        <v>319</v>
      </c>
      <c r="B13" s="139" t="s">
        <v>1213</v>
      </c>
      <c r="C13" s="305">
        <f>200000+200000</f>
        <v>400000</v>
      </c>
    </row>
    <row r="14" spans="1:3" ht="12.75">
      <c r="A14" s="416" t="s">
        <v>320</v>
      </c>
      <c r="B14" s="138" t="s">
        <v>1214</v>
      </c>
      <c r="C14" s="305">
        <v>3400</v>
      </c>
    </row>
    <row r="15" spans="1:3" ht="12.75">
      <c r="A15" s="416" t="s">
        <v>321</v>
      </c>
      <c r="B15" s="122" t="s">
        <v>1313</v>
      </c>
      <c r="C15" s="305">
        <v>300000</v>
      </c>
    </row>
    <row r="16" spans="1:3" ht="13.5" thickBot="1">
      <c r="A16" s="416" t="s">
        <v>322</v>
      </c>
      <c r="B16" s="139"/>
      <c r="C16" s="306"/>
    </row>
    <row r="17" spans="1:3" ht="13.5" thickBot="1">
      <c r="A17" s="395" t="s">
        <v>323</v>
      </c>
      <c r="B17" s="188" t="s">
        <v>894</v>
      </c>
      <c r="C17" s="1184">
        <f>SUM(C10:C16)</f>
        <v>703400</v>
      </c>
    </row>
    <row r="21" spans="1:5" ht="12.75">
      <c r="A21" s="384" t="s">
        <v>1429</v>
      </c>
      <c r="B21" s="384"/>
      <c r="C21" s="384"/>
      <c r="D21" s="384"/>
      <c r="E21" s="384"/>
    </row>
    <row r="22" spans="2:3" ht="15.75">
      <c r="B22" s="113"/>
      <c r="C22" s="1"/>
    </row>
    <row r="23" spans="2:3" ht="15.75">
      <c r="B23" s="1674" t="s">
        <v>905</v>
      </c>
      <c r="C23" s="1674"/>
    </row>
    <row r="24" spans="1:3" ht="15.75">
      <c r="A24" s="917"/>
      <c r="B24" s="1185"/>
      <c r="C24" s="1186"/>
    </row>
    <row r="25" spans="1:3" ht="13.5" thickBot="1">
      <c r="A25" s="917"/>
      <c r="B25" s="1706" t="s">
        <v>37</v>
      </c>
      <c r="C25" s="1706"/>
    </row>
    <row r="26" spans="1:3" ht="15.75">
      <c r="A26" s="1704" t="s">
        <v>311</v>
      </c>
      <c r="B26" s="1187" t="s">
        <v>46</v>
      </c>
      <c r="C26" s="1188" t="s">
        <v>39</v>
      </c>
    </row>
    <row r="27" spans="1:3" ht="13.5" thickBot="1">
      <c r="A27" s="1705"/>
      <c r="B27" s="1189"/>
      <c r="C27" s="1190" t="s">
        <v>5</v>
      </c>
    </row>
    <row r="28" spans="1:3" ht="13.5" thickBot="1">
      <c r="A28" s="1043" t="s">
        <v>312</v>
      </c>
      <c r="B28" s="1191" t="s">
        <v>313</v>
      </c>
      <c r="C28" s="1192" t="s">
        <v>314</v>
      </c>
    </row>
    <row r="29" spans="1:3" ht="12.75">
      <c r="A29" s="1203" t="s">
        <v>316</v>
      </c>
      <c r="B29" s="1197" t="s">
        <v>679</v>
      </c>
      <c r="C29" s="1193"/>
    </row>
    <row r="30" spans="1:3" ht="12.75">
      <c r="A30" s="1204" t="s">
        <v>317</v>
      </c>
      <c r="B30" s="1198"/>
      <c r="C30" s="1194"/>
    </row>
    <row r="31" spans="1:3" ht="25.5">
      <c r="A31" s="1204" t="s">
        <v>318</v>
      </c>
      <c r="B31" s="1083" t="s">
        <v>616</v>
      </c>
      <c r="C31" s="1195"/>
    </row>
    <row r="32" spans="1:3" ht="12.75">
      <c r="A32" s="1204" t="s">
        <v>319</v>
      </c>
      <c r="B32" s="1083"/>
      <c r="C32" s="1195"/>
    </row>
    <row r="33" spans="1:3" ht="12.75">
      <c r="A33" s="1204" t="s">
        <v>320</v>
      </c>
      <c r="B33" s="1083"/>
      <c r="C33" s="1195"/>
    </row>
    <row r="34" spans="1:3" ht="12.75">
      <c r="A34" s="1204" t="s">
        <v>321</v>
      </c>
      <c r="B34" s="1199"/>
      <c r="C34" s="1195"/>
    </row>
    <row r="35" spans="1:3" ht="12.75">
      <c r="A35" s="1204" t="s">
        <v>322</v>
      </c>
      <c r="B35" s="1200" t="s">
        <v>680</v>
      </c>
      <c r="C35" s="1195"/>
    </row>
    <row r="36" spans="1:3" ht="12.75">
      <c r="A36" s="1204" t="s">
        <v>323</v>
      </c>
      <c r="B36" s="1200"/>
      <c r="C36" s="1196"/>
    </row>
    <row r="37" spans="1:3" ht="12.75">
      <c r="A37" s="1204" t="s">
        <v>324</v>
      </c>
      <c r="B37" s="1201" t="s">
        <v>617</v>
      </c>
      <c r="C37" s="1196"/>
    </row>
    <row r="38" spans="1:3" ht="12.75">
      <c r="A38" s="1204" t="s">
        <v>325</v>
      </c>
      <c r="B38" s="1202"/>
      <c r="C38" s="1031"/>
    </row>
    <row r="39" spans="1:3" ht="12.75">
      <c r="A39" s="1204" t="s">
        <v>326</v>
      </c>
      <c r="B39" s="1202"/>
      <c r="C39" s="1031"/>
    </row>
    <row r="40" spans="1:3" ht="13.5" thickBot="1">
      <c r="A40" s="1205" t="s">
        <v>327</v>
      </c>
      <c r="B40" s="1201"/>
      <c r="C40" s="1024"/>
    </row>
    <row r="41" spans="1:3" ht="26.25" thickBot="1">
      <c r="A41" s="953" t="s">
        <v>328</v>
      </c>
      <c r="B41" s="455" t="s">
        <v>963</v>
      </c>
      <c r="C41" s="1206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654" t="s">
        <v>1430</v>
      </c>
      <c r="B1" s="1654"/>
      <c r="C1" s="1654"/>
      <c r="D1" s="1654"/>
      <c r="E1" s="1654"/>
      <c r="F1" s="37"/>
    </row>
    <row r="2" ht="9.75" customHeight="1"/>
    <row r="3" spans="1:6" ht="15.75">
      <c r="A3" s="1674" t="s">
        <v>898</v>
      </c>
      <c r="B3" s="1678"/>
      <c r="C3" s="1678"/>
      <c r="D3" s="1678"/>
      <c r="E3" s="1678"/>
      <c r="F3" s="1678"/>
    </row>
    <row r="4" spans="2:6" ht="11.25" customHeight="1">
      <c r="B4" s="42"/>
      <c r="C4" s="42"/>
      <c r="D4" s="42"/>
      <c r="E4" s="42"/>
      <c r="F4" s="1"/>
    </row>
    <row r="5" spans="2:6" ht="13.5" thickBot="1">
      <c r="B5" s="135"/>
      <c r="C5" s="135"/>
      <c r="D5" s="135"/>
      <c r="E5" s="135" t="s">
        <v>47</v>
      </c>
      <c r="F5" s="1"/>
    </row>
    <row r="6" spans="1:6" ht="15.75">
      <c r="A6" s="1688" t="s">
        <v>311</v>
      </c>
      <c r="B6" s="470" t="s">
        <v>46</v>
      </c>
      <c r="C6" s="279" t="s">
        <v>48</v>
      </c>
      <c r="D6" s="471" t="s">
        <v>480</v>
      </c>
      <c r="E6" s="715" t="s">
        <v>39</v>
      </c>
      <c r="F6" s="1707" t="s">
        <v>406</v>
      </c>
    </row>
    <row r="7" spans="1:6" ht="13.5" thickBot="1">
      <c r="A7" s="1689"/>
      <c r="B7" s="126"/>
      <c r="C7" s="300" t="s">
        <v>5</v>
      </c>
      <c r="D7" s="44" t="s">
        <v>481</v>
      </c>
      <c r="E7" s="716" t="s">
        <v>5</v>
      </c>
      <c r="F7" s="1708"/>
    </row>
    <row r="8" spans="1:6" ht="13.5" thickBot="1">
      <c r="A8" s="449" t="s">
        <v>312</v>
      </c>
      <c r="B8" s="463" t="s">
        <v>313</v>
      </c>
      <c r="C8" s="464" t="s">
        <v>314</v>
      </c>
      <c r="D8" s="465" t="s">
        <v>315</v>
      </c>
      <c r="E8" s="531" t="s">
        <v>335</v>
      </c>
      <c r="F8" s="473" t="s">
        <v>360</v>
      </c>
    </row>
    <row r="9" spans="1:6" ht="26.25" customHeight="1">
      <c r="A9" s="429" t="s">
        <v>316</v>
      </c>
      <c r="B9" s="709" t="s">
        <v>483</v>
      </c>
      <c r="C9" s="472"/>
      <c r="D9" s="472"/>
      <c r="E9" s="717"/>
      <c r="F9" s="206">
        <f>SUM(C9:E9)</f>
        <v>0</v>
      </c>
    </row>
    <row r="10" spans="1:6" ht="12.75" customHeight="1">
      <c r="A10" s="416" t="s">
        <v>317</v>
      </c>
      <c r="B10" s="710"/>
      <c r="C10" s="787"/>
      <c r="D10" s="787"/>
      <c r="E10" s="788"/>
      <c r="F10" s="154">
        <f>SUM(C10:E10)</f>
        <v>0</v>
      </c>
    </row>
    <row r="11" spans="1:6" ht="12.75">
      <c r="A11" s="416" t="s">
        <v>318</v>
      </c>
      <c r="B11" s="632"/>
      <c r="C11" s="127"/>
      <c r="D11" s="127"/>
      <c r="E11" s="313"/>
      <c r="F11" s="154">
        <f>SUM(C11:E11)</f>
        <v>0</v>
      </c>
    </row>
    <row r="12" spans="1:6" ht="13.5" thickBot="1">
      <c r="A12" s="416" t="s">
        <v>319</v>
      </c>
      <c r="B12" s="711"/>
      <c r="C12" s="705"/>
      <c r="D12" s="308"/>
      <c r="E12" s="705"/>
      <c r="F12" s="159">
        <f>SUM(C12:E12)</f>
        <v>0</v>
      </c>
    </row>
    <row r="13" spans="1:6" ht="13.5" thickBot="1">
      <c r="A13" s="395" t="s">
        <v>320</v>
      </c>
      <c r="B13" s="711" t="s">
        <v>10</v>
      </c>
      <c r="C13" s="789">
        <f>SUM(C9:C12)</f>
        <v>0</v>
      </c>
      <c r="D13" s="158">
        <f>SUM(D9:D12)</f>
        <v>0</v>
      </c>
      <c r="E13" s="789">
        <f>SUM(E9:E12)</f>
        <v>0</v>
      </c>
      <c r="F13" s="158">
        <f>SUM(C13:E13)</f>
        <v>0</v>
      </c>
    </row>
    <row r="14" spans="1:6" ht="12.75">
      <c r="A14" s="450" t="s">
        <v>321</v>
      </c>
      <c r="B14" s="709"/>
      <c r="C14" s="397"/>
      <c r="D14" s="398"/>
      <c r="E14" s="398"/>
      <c r="F14" s="154">
        <f>C14+D14+E14</f>
        <v>0</v>
      </c>
    </row>
    <row r="15" spans="1:6" ht="12.75">
      <c r="A15" s="416" t="s">
        <v>322</v>
      </c>
      <c r="B15" s="712"/>
      <c r="C15" s="24"/>
      <c r="D15" s="247"/>
      <c r="E15" s="247"/>
      <c r="F15" s="154">
        <f>C15+D15+E15</f>
        <v>0</v>
      </c>
    </row>
    <row r="16" spans="1:6" ht="12.75">
      <c r="A16" s="416" t="s">
        <v>323</v>
      </c>
      <c r="B16" s="602"/>
      <c r="C16" s="24"/>
      <c r="D16" s="247"/>
      <c r="E16" s="247"/>
      <c r="F16" s="154">
        <f>C16+D16+E16</f>
        <v>0</v>
      </c>
    </row>
    <row r="17" spans="1:6" ht="13.5" thickBot="1">
      <c r="A17" s="416" t="s">
        <v>324</v>
      </c>
      <c r="B17" s="714"/>
      <c r="C17" s="28"/>
      <c r="D17" s="245"/>
      <c r="E17" s="245"/>
      <c r="F17" s="154">
        <f>C17+D17+E17</f>
        <v>0</v>
      </c>
    </row>
    <row r="18" spans="1:6" ht="13.5" thickBot="1">
      <c r="A18" s="777" t="s">
        <v>325</v>
      </c>
      <c r="B18" s="915" t="s">
        <v>529</v>
      </c>
      <c r="C18" s="114">
        <f>SUM(C14:C17)</f>
        <v>0</v>
      </c>
      <c r="D18" s="114">
        <f>SUM(D14:D17)</f>
        <v>0</v>
      </c>
      <c r="E18" s="253">
        <f>SUM(E14:E17)</f>
        <v>0</v>
      </c>
      <c r="F18" s="158">
        <f>SUM(C18:E18)</f>
        <v>0</v>
      </c>
    </row>
    <row r="19" spans="1:6" ht="12.75">
      <c r="A19" s="492" t="s">
        <v>326</v>
      </c>
      <c r="B19" s="774" t="s">
        <v>367</v>
      </c>
      <c r="C19" s="24"/>
      <c r="D19" s="247"/>
      <c r="E19" s="247"/>
      <c r="F19" s="206"/>
    </row>
    <row r="20" spans="1:6" ht="12.75">
      <c r="A20" s="371" t="s">
        <v>327</v>
      </c>
      <c r="B20" s="775" t="s">
        <v>586</v>
      </c>
      <c r="C20" s="8"/>
      <c r="D20" s="33"/>
      <c r="E20" s="801">
        <v>28808</v>
      </c>
      <c r="F20" s="151">
        <f>SUM(C20:E20)</f>
        <v>28808</v>
      </c>
    </row>
    <row r="21" spans="1:6" ht="12.75">
      <c r="A21" s="371" t="s">
        <v>328</v>
      </c>
      <c r="B21" s="776" t="s">
        <v>1105</v>
      </c>
      <c r="C21" s="173"/>
      <c r="D21" s="301"/>
      <c r="E21" s="301">
        <v>0</v>
      </c>
      <c r="F21" s="151">
        <f>SUM(C21:E21)</f>
        <v>0</v>
      </c>
    </row>
    <row r="22" spans="1:6" ht="12.75">
      <c r="A22" s="371" t="s">
        <v>329</v>
      </c>
      <c r="B22" s="776" t="s">
        <v>600</v>
      </c>
      <c r="C22" s="173"/>
      <c r="D22" s="301"/>
      <c r="E22" s="301">
        <f>4471+318+9613+7644+832</f>
        <v>22878</v>
      </c>
      <c r="F22" s="151">
        <f>SUM(C22:E22)</f>
        <v>22878</v>
      </c>
    </row>
    <row r="23" spans="1:6" ht="12.75">
      <c r="A23" s="371" t="s">
        <v>330</v>
      </c>
      <c r="B23" s="776" t="s">
        <v>1181</v>
      </c>
      <c r="C23" s="173"/>
      <c r="D23" s="301"/>
      <c r="E23" s="301">
        <v>915</v>
      </c>
      <c r="F23" s="151">
        <f aca="true" t="shared" si="0" ref="F23:F31">SUM(C23:E23)</f>
        <v>915</v>
      </c>
    </row>
    <row r="24" spans="1:6" ht="12" customHeight="1">
      <c r="A24" s="371" t="s">
        <v>331</v>
      </c>
      <c r="B24" s="776" t="s">
        <v>1195</v>
      </c>
      <c r="C24" s="173"/>
      <c r="D24" s="301"/>
      <c r="E24" s="301">
        <v>1410</v>
      </c>
      <c r="F24" s="151">
        <f t="shared" si="0"/>
        <v>1410</v>
      </c>
    </row>
    <row r="25" spans="1:6" ht="12.75">
      <c r="A25" s="371" t="s">
        <v>332</v>
      </c>
      <c r="B25" s="776" t="s">
        <v>1182</v>
      </c>
      <c r="C25" s="173"/>
      <c r="D25" s="301"/>
      <c r="E25" s="301">
        <v>5270</v>
      </c>
      <c r="F25" s="151">
        <f t="shared" si="0"/>
        <v>5270</v>
      </c>
    </row>
    <row r="26" spans="1:6" ht="12.75">
      <c r="A26" s="371" t="s">
        <v>333</v>
      </c>
      <c r="B26" s="776" t="s">
        <v>1183</v>
      </c>
      <c r="C26" s="173"/>
      <c r="D26" s="301"/>
      <c r="E26" s="301">
        <v>1372</v>
      </c>
      <c r="F26" s="151">
        <f t="shared" si="0"/>
        <v>1372</v>
      </c>
    </row>
    <row r="27" spans="1:6" ht="12.75">
      <c r="A27" s="371" t="s">
        <v>334</v>
      </c>
      <c r="B27" s="776" t="s">
        <v>1184</v>
      </c>
      <c r="C27" s="173"/>
      <c r="D27" s="301"/>
      <c r="E27" s="301">
        <v>22257</v>
      </c>
      <c r="F27" s="151">
        <f t="shared" si="0"/>
        <v>22257</v>
      </c>
    </row>
    <row r="28" spans="1:6" ht="13.5" customHeight="1">
      <c r="A28" s="371" t="s">
        <v>336</v>
      </c>
      <c r="B28" s="776" t="s">
        <v>1187</v>
      </c>
      <c r="C28" s="173"/>
      <c r="D28" s="301"/>
      <c r="E28" s="301">
        <v>4953</v>
      </c>
      <c r="F28" s="151">
        <f t="shared" si="0"/>
        <v>4953</v>
      </c>
    </row>
    <row r="29" spans="1:6" ht="12.75">
      <c r="A29" s="371" t="s">
        <v>337</v>
      </c>
      <c r="B29" s="776"/>
      <c r="C29" s="173"/>
      <c r="D29" s="301"/>
      <c r="E29" s="301"/>
      <c r="F29" s="151">
        <f t="shared" si="0"/>
        <v>0</v>
      </c>
    </row>
    <row r="30" spans="1:6" ht="12.75">
      <c r="A30" s="371" t="s">
        <v>338</v>
      </c>
      <c r="B30" s="776"/>
      <c r="C30" s="173"/>
      <c r="D30" s="301"/>
      <c r="E30" s="301"/>
      <c r="F30" s="151">
        <f t="shared" si="0"/>
        <v>0</v>
      </c>
    </row>
    <row r="31" spans="1:6" ht="13.5" thickBot="1">
      <c r="A31" s="383" t="s">
        <v>339</v>
      </c>
      <c r="B31" s="776"/>
      <c r="C31" s="173"/>
      <c r="D31" s="301"/>
      <c r="E31" s="301"/>
      <c r="F31" s="151">
        <f t="shared" si="0"/>
        <v>0</v>
      </c>
    </row>
    <row r="32" spans="1:6" ht="13.5" thickBot="1">
      <c r="A32" s="778" t="s">
        <v>340</v>
      </c>
      <c r="B32" s="915" t="s">
        <v>438</v>
      </c>
      <c r="C32" s="916">
        <f>SUM(C20:C31)</f>
        <v>0</v>
      </c>
      <c r="D32" s="916">
        <f>SUM(D20:D31)</f>
        <v>0</v>
      </c>
      <c r="E32" s="916">
        <f>SUM(E20:E31)</f>
        <v>87863</v>
      </c>
      <c r="F32" s="158">
        <f>SUM(C32:E32)</f>
        <v>87863</v>
      </c>
    </row>
    <row r="33" spans="1:6" ht="39" thickBot="1">
      <c r="A33" s="395" t="s">
        <v>341</v>
      </c>
      <c r="B33" s="713" t="s">
        <v>899</v>
      </c>
      <c r="C33" s="144">
        <f>C13+C18+C32</f>
        <v>0</v>
      </c>
      <c r="D33" s="144">
        <f>D13+D18+D32</f>
        <v>0</v>
      </c>
      <c r="E33" s="811">
        <f>E13+E18+E32</f>
        <v>87863</v>
      </c>
      <c r="F33" s="158">
        <f>SUM(C33:E33)</f>
        <v>87863</v>
      </c>
    </row>
    <row r="34" spans="2:6" ht="12.75">
      <c r="B34" s="1"/>
      <c r="C34" s="1"/>
      <c r="D34" s="1"/>
      <c r="E34" s="1"/>
      <c r="F34" s="1"/>
    </row>
    <row r="35" spans="1:6" ht="12.75">
      <c r="A35" s="1654" t="s">
        <v>1431</v>
      </c>
      <c r="B35" s="1654"/>
      <c r="C35" s="1654"/>
      <c r="D35" s="1654"/>
      <c r="E35" s="1654"/>
      <c r="F35" s="1"/>
    </row>
    <row r="36" spans="2:6" ht="12.75">
      <c r="B36" s="1"/>
      <c r="C36" s="1"/>
      <c r="D36" s="1"/>
      <c r="E36" s="1"/>
      <c r="F36" s="1"/>
    </row>
    <row r="37" spans="1:6" ht="15.75">
      <c r="A37" s="1674" t="s">
        <v>900</v>
      </c>
      <c r="B37" s="1678"/>
      <c r="C37" s="1678"/>
      <c r="D37" s="1678"/>
      <c r="E37" s="1678"/>
      <c r="F37" s="1678"/>
    </row>
    <row r="38" spans="2:6" ht="12.75">
      <c r="B38" s="1"/>
      <c r="C38" s="1"/>
      <c r="D38" s="1"/>
      <c r="E38" s="1"/>
      <c r="F38" s="1"/>
    </row>
    <row r="39" spans="2:6" ht="13.5" thickBot="1">
      <c r="B39" s="135"/>
      <c r="C39" s="135"/>
      <c r="D39" s="135"/>
      <c r="E39" s="135" t="s">
        <v>47</v>
      </c>
      <c r="F39" s="1"/>
    </row>
    <row r="40" spans="1:6" ht="15.75">
      <c r="A40" s="1688" t="s">
        <v>311</v>
      </c>
      <c r="B40" s="470" t="s">
        <v>46</v>
      </c>
      <c r="C40" s="475" t="s">
        <v>48</v>
      </c>
      <c r="D40" s="475" t="s">
        <v>49</v>
      </c>
      <c r="E40" s="280" t="s">
        <v>39</v>
      </c>
      <c r="F40" s="1707" t="s">
        <v>406</v>
      </c>
    </row>
    <row r="41" spans="1:6" ht="13.5" thickBot="1">
      <c r="A41" s="1689"/>
      <c r="B41" s="227"/>
      <c r="C41" s="476" t="s">
        <v>5</v>
      </c>
      <c r="D41" s="476" t="s">
        <v>5</v>
      </c>
      <c r="E41" s="479" t="s">
        <v>5</v>
      </c>
      <c r="F41" s="1708"/>
    </row>
    <row r="42" spans="1:6" ht="13.5" thickBot="1">
      <c r="A42" s="449" t="s">
        <v>312</v>
      </c>
      <c r="B42" s="474" t="s">
        <v>313</v>
      </c>
      <c r="C42" s="477" t="s">
        <v>314</v>
      </c>
      <c r="D42" s="477" t="s">
        <v>315</v>
      </c>
      <c r="E42" s="466" t="s">
        <v>335</v>
      </c>
      <c r="F42" s="721" t="s">
        <v>360</v>
      </c>
    </row>
    <row r="43" spans="1:6" ht="26.25">
      <c r="A43" s="429" t="s">
        <v>316</v>
      </c>
      <c r="B43" s="722" t="s">
        <v>368</v>
      </c>
      <c r="C43" s="478"/>
      <c r="D43" s="480"/>
      <c r="E43" s="718">
        <v>13467</v>
      </c>
      <c r="F43" s="640">
        <f>SUM(C43:E43)</f>
        <v>13467</v>
      </c>
    </row>
    <row r="44" spans="1:6" ht="26.25">
      <c r="A44" s="416" t="s">
        <v>317</v>
      </c>
      <c r="B44" s="722" t="s">
        <v>992</v>
      </c>
      <c r="C44" s="136"/>
      <c r="D44" s="481"/>
      <c r="E44" s="719"/>
      <c r="F44" s="151">
        <f>SUM(C44:E44)</f>
        <v>0</v>
      </c>
    </row>
    <row r="45" spans="1:6" ht="39">
      <c r="A45" s="416" t="s">
        <v>318</v>
      </c>
      <c r="B45" s="722" t="s">
        <v>1301</v>
      </c>
      <c r="C45" s="151">
        <v>1082</v>
      </c>
      <c r="D45" s="481"/>
      <c r="E45" s="829"/>
      <c r="F45" s="154">
        <f>SUM(C45:E45)</f>
        <v>1082</v>
      </c>
    </row>
    <row r="46" spans="1:6" ht="15.75" thickBot="1">
      <c r="A46" s="416" t="s">
        <v>319</v>
      </c>
      <c r="B46" s="723"/>
      <c r="C46" s="324"/>
      <c r="D46" s="482"/>
      <c r="E46" s="720"/>
      <c r="F46" s="154"/>
    </row>
    <row r="47" spans="1:6" ht="24.75" thickBot="1">
      <c r="A47" s="395" t="s">
        <v>320</v>
      </c>
      <c r="B47" s="445" t="s">
        <v>618</v>
      </c>
      <c r="C47" s="483">
        <f>SUM(C43:C46)</f>
        <v>1082</v>
      </c>
      <c r="D47" s="483">
        <f>SUM(D43:D46)</f>
        <v>0</v>
      </c>
      <c r="E47" s="483">
        <f>SUM(E43:E46)</f>
        <v>13467</v>
      </c>
      <c r="F47" s="483">
        <f>SUM(F43:F46)</f>
        <v>14549</v>
      </c>
    </row>
    <row r="48" spans="2:6" ht="12.75">
      <c r="B48" s="1"/>
      <c r="C48" s="1"/>
      <c r="D48" s="1"/>
      <c r="E48" s="1"/>
      <c r="F48" s="1"/>
    </row>
    <row r="49" spans="2:6" ht="12.75">
      <c r="B49" s="1709"/>
      <c r="C49" s="1709"/>
      <c r="D49" s="1"/>
      <c r="E49" s="1"/>
      <c r="F49" s="1"/>
    </row>
    <row r="50" ht="12.75" customHeight="1">
      <c r="B50" s="37"/>
    </row>
    <row r="51" ht="12.75">
      <c r="B51" s="1"/>
    </row>
    <row r="52" ht="15.75">
      <c r="B52" s="21"/>
    </row>
    <row r="53" ht="12.75" customHeight="1">
      <c r="B53" s="21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0" customFormat="1" ht="13.5" thickBot="1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s="17" customFormat="1" ht="12.75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2:19" s="17" customFormat="1" ht="12.75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2:19" s="17" customFormat="1" ht="12.75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2:19" s="17" customFormat="1" ht="12.75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2:19" s="17" customFormat="1" ht="13.5" thickBot="1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84" t="s">
        <v>1432</v>
      </c>
      <c r="B2" s="384"/>
      <c r="C2" s="384"/>
      <c r="D2" s="384"/>
      <c r="E2" s="384"/>
    </row>
    <row r="3" spans="1:5" ht="12.75">
      <c r="A3" s="384"/>
      <c r="B3" s="384"/>
      <c r="C3" s="384"/>
      <c r="D3" s="384"/>
      <c r="E3" s="384"/>
    </row>
    <row r="4" spans="2:3" ht="15.75">
      <c r="B4" s="1674" t="s">
        <v>904</v>
      </c>
      <c r="C4" s="1674"/>
    </row>
    <row r="5" spans="2:3" ht="15.75">
      <c r="B5" s="113"/>
      <c r="C5" s="1"/>
    </row>
    <row r="6" spans="2:3" ht="13.5" thickBot="1">
      <c r="B6" s="1"/>
      <c r="C6" s="22" t="s">
        <v>37</v>
      </c>
    </row>
    <row r="7" spans="1:3" ht="15.75">
      <c r="A7" s="1688" t="s">
        <v>311</v>
      </c>
      <c r="B7" s="185" t="s">
        <v>38</v>
      </c>
      <c r="C7" s="179" t="s">
        <v>39</v>
      </c>
    </row>
    <row r="8" spans="1:3" ht="13.5" thickBot="1">
      <c r="A8" s="1689"/>
      <c r="B8" s="139"/>
      <c r="C8" s="180" t="s">
        <v>5</v>
      </c>
    </row>
    <row r="9" spans="1:3" ht="13.5" thickBot="1">
      <c r="A9" s="449" t="s">
        <v>312</v>
      </c>
      <c r="B9" s="463" t="s">
        <v>313</v>
      </c>
      <c r="C9" s="469" t="s">
        <v>314</v>
      </c>
    </row>
    <row r="10" spans="1:3" ht="12.75">
      <c r="A10" s="429" t="s">
        <v>316</v>
      </c>
      <c r="B10" s="873" t="s">
        <v>679</v>
      </c>
      <c r="C10" s="876"/>
    </row>
    <row r="11" spans="1:3" ht="12.75">
      <c r="A11" s="416" t="s">
        <v>317</v>
      </c>
      <c r="B11" s="180"/>
      <c r="C11" s="877"/>
    </row>
    <row r="12" spans="1:3" ht="12.75">
      <c r="A12" s="416" t="s">
        <v>319</v>
      </c>
      <c r="B12" s="136" t="s">
        <v>875</v>
      </c>
      <c r="C12" s="594">
        <f>C13+C14</f>
        <v>0</v>
      </c>
    </row>
    <row r="13" spans="1:3" ht="12.75">
      <c r="A13" s="416" t="s">
        <v>320</v>
      </c>
      <c r="B13" s="136" t="s">
        <v>876</v>
      </c>
      <c r="C13" s="1059"/>
    </row>
    <row r="14" spans="1:3" ht="13.5" thickBot="1">
      <c r="A14" s="416" t="s">
        <v>321</v>
      </c>
      <c r="B14" s="324" t="s">
        <v>877</v>
      </c>
      <c r="C14" s="879">
        <v>0</v>
      </c>
    </row>
    <row r="15" spans="1:3" ht="26.25" thickBot="1">
      <c r="A15" s="416" t="s">
        <v>322</v>
      </c>
      <c r="B15" s="455" t="s">
        <v>902</v>
      </c>
      <c r="C15" s="878">
        <f>C12</f>
        <v>0</v>
      </c>
    </row>
    <row r="16" spans="1:3" ht="12.75">
      <c r="A16" s="416" t="s">
        <v>323</v>
      </c>
      <c r="B16" s="936"/>
      <c r="C16" s="939"/>
    </row>
    <row r="17" spans="1:3" ht="12.75">
      <c r="A17" s="416" t="s">
        <v>324</v>
      </c>
      <c r="B17" s="161"/>
      <c r="C17" s="940"/>
    </row>
    <row r="18" spans="1:3" ht="12.75">
      <c r="A18" s="416" t="s">
        <v>325</v>
      </c>
      <c r="B18" s="937" t="s">
        <v>680</v>
      </c>
      <c r="C18" s="940"/>
    </row>
    <row r="19" spans="1:3" ht="12.75">
      <c r="A19" s="416" t="s">
        <v>326</v>
      </c>
      <c r="B19" s="161"/>
      <c r="C19" s="655"/>
    </row>
    <row r="20" spans="1:3" ht="12.75">
      <c r="A20" s="416" t="s">
        <v>328</v>
      </c>
      <c r="B20" s="938" t="s">
        <v>878</v>
      </c>
      <c r="C20" s="655">
        <f>C21+C22+C23+C24+C25+C26</f>
        <v>61232</v>
      </c>
    </row>
    <row r="21" spans="1:3" ht="12.75">
      <c r="A21" s="416" t="s">
        <v>329</v>
      </c>
      <c r="B21" s="138" t="s">
        <v>879</v>
      </c>
      <c r="C21" s="1031">
        <v>3098</v>
      </c>
    </row>
    <row r="22" spans="1:3" ht="12.75">
      <c r="A22" s="416" t="s">
        <v>330</v>
      </c>
      <c r="B22" s="138" t="s">
        <v>880</v>
      </c>
      <c r="C22" s="1024">
        <v>801</v>
      </c>
    </row>
    <row r="23" spans="1:3" ht="12.75">
      <c r="A23" s="416" t="s">
        <v>331</v>
      </c>
      <c r="B23" s="935" t="s">
        <v>881</v>
      </c>
      <c r="C23" s="1024">
        <v>0</v>
      </c>
    </row>
    <row r="24" spans="1:3" ht="12.75">
      <c r="A24" s="416" t="s">
        <v>332</v>
      </c>
      <c r="B24" s="6" t="s">
        <v>882</v>
      </c>
      <c r="C24" s="1024">
        <v>13</v>
      </c>
    </row>
    <row r="25" spans="1:3" ht="12.75">
      <c r="A25" s="416" t="s">
        <v>333</v>
      </c>
      <c r="B25" s="138" t="s">
        <v>883</v>
      </c>
      <c r="C25" s="1024">
        <v>120</v>
      </c>
    </row>
    <row r="26" spans="1:3" ht="13.5" thickBot="1">
      <c r="A26" s="416" t="s">
        <v>334</v>
      </c>
      <c r="B26" s="138" t="s">
        <v>1310</v>
      </c>
      <c r="C26" s="1025">
        <v>57200</v>
      </c>
    </row>
    <row r="27" spans="1:3" ht="26.25" thickBot="1">
      <c r="A27" s="777" t="s">
        <v>336</v>
      </c>
      <c r="B27" s="455" t="s">
        <v>903</v>
      </c>
      <c r="C27" s="878">
        <f>C20</f>
        <v>61232</v>
      </c>
    </row>
    <row r="28" spans="1:3" ht="13.5" thickBot="1">
      <c r="A28" s="371" t="s">
        <v>337</v>
      </c>
      <c r="B28" s="206"/>
      <c r="C28" s="880"/>
    </row>
    <row r="29" spans="1:3" ht="26.25" thickBot="1">
      <c r="A29" s="433" t="s">
        <v>338</v>
      </c>
      <c r="B29" s="455" t="s">
        <v>901</v>
      </c>
      <c r="C29" s="878">
        <f>C27+C15</f>
        <v>61232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654" t="s">
        <v>1433</v>
      </c>
      <c r="B1" s="1654"/>
      <c r="C1" s="1654"/>
      <c r="D1" s="1654"/>
      <c r="E1" s="1654"/>
      <c r="F1" s="1"/>
    </row>
    <row r="2" spans="2:6" ht="15.75">
      <c r="B2" s="1674" t="s">
        <v>1053</v>
      </c>
      <c r="C2" s="1674"/>
      <c r="D2" s="1674"/>
      <c r="E2" s="1674"/>
      <c r="F2" s="1"/>
    </row>
    <row r="3" spans="2:6" ht="13.5" thickBot="1">
      <c r="B3" s="1"/>
      <c r="C3" s="1"/>
      <c r="D3" s="43"/>
      <c r="E3" s="43"/>
      <c r="F3" s="43" t="s">
        <v>4</v>
      </c>
    </row>
    <row r="4" spans="1:6" ht="39" customHeight="1" thickBot="1">
      <c r="A4" s="724" t="s">
        <v>311</v>
      </c>
      <c r="B4" s="725" t="s">
        <v>44</v>
      </c>
      <c r="C4" s="387" t="s">
        <v>462</v>
      </c>
      <c r="D4" s="388" t="s">
        <v>433</v>
      </c>
      <c r="E4" s="387" t="s">
        <v>478</v>
      </c>
      <c r="F4" s="388" t="s">
        <v>434</v>
      </c>
    </row>
    <row r="5" spans="1:6" ht="12" customHeight="1" thickBot="1">
      <c r="A5" s="533" t="s">
        <v>312</v>
      </c>
      <c r="B5" s="473" t="s">
        <v>313</v>
      </c>
      <c r="C5" s="726" t="s">
        <v>314</v>
      </c>
      <c r="D5" s="727" t="s">
        <v>315</v>
      </c>
      <c r="E5" s="391" t="s">
        <v>335</v>
      </c>
      <c r="F5" s="391" t="s">
        <v>315</v>
      </c>
    </row>
    <row r="6" spans="1:6" ht="15" customHeight="1" thickBot="1">
      <c r="A6" s="533" t="s">
        <v>316</v>
      </c>
      <c r="B6" s="1221" t="s">
        <v>914</v>
      </c>
      <c r="C6" s="990">
        <f>C7+C18+C27</f>
        <v>101803</v>
      </c>
      <c r="D6" s="990">
        <f>D7+D18+D27</f>
        <v>9495</v>
      </c>
      <c r="E6" s="990">
        <f>E7+E18+E27</f>
        <v>365406</v>
      </c>
      <c r="F6" s="991">
        <f>F7+F18+F27</f>
        <v>476704</v>
      </c>
    </row>
    <row r="7" spans="1:6" ht="12" customHeight="1">
      <c r="A7" s="683" t="s">
        <v>317</v>
      </c>
      <c r="B7" s="1222" t="s">
        <v>288</v>
      </c>
      <c r="C7" s="1218">
        <f>C8+C9+C10+C11+C12+C13+C14+C15+C16+C17</f>
        <v>100216</v>
      </c>
      <c r="D7" s="1218">
        <f>D8+D9+D10+D11+D12+D13+D14+D15+D16+D17</f>
        <v>0</v>
      </c>
      <c r="E7" s="1218">
        <f>E8+E9+E10+E11+E12+E13+E14+E15+E16+E17</f>
        <v>14597</v>
      </c>
      <c r="F7" s="1388">
        <f>F8+F9+F10+F11+F12+F13+F14+F15+F16+F17</f>
        <v>114813</v>
      </c>
    </row>
    <row r="8" spans="1:6" ht="12.75" customHeight="1">
      <c r="A8" s="181" t="s">
        <v>318</v>
      </c>
      <c r="B8" s="1223" t="s">
        <v>861</v>
      </c>
      <c r="C8" s="332"/>
      <c r="D8" s="162"/>
      <c r="E8" s="162">
        <f>34+136</f>
        <v>170</v>
      </c>
      <c r="F8" s="730">
        <f>SUM(C8:E8)</f>
        <v>170</v>
      </c>
    </row>
    <row r="9" spans="1:6" ht="12.75" customHeight="1">
      <c r="A9" s="181" t="s">
        <v>319</v>
      </c>
      <c r="B9" s="1223" t="s">
        <v>862</v>
      </c>
      <c r="C9" s="812">
        <v>41999</v>
      </c>
      <c r="D9" s="814"/>
      <c r="E9" s="814">
        <f>12388-366</f>
        <v>12022</v>
      </c>
      <c r="F9" s="730">
        <f aca="true" t="shared" si="0" ref="F9:F17">SUM(C9:E9)</f>
        <v>54021</v>
      </c>
    </row>
    <row r="10" spans="1:6" ht="12.75" customHeight="1">
      <c r="A10" s="181" t="s">
        <v>320</v>
      </c>
      <c r="B10" s="1224" t="s">
        <v>863</v>
      </c>
      <c r="C10" s="812"/>
      <c r="D10" s="162"/>
      <c r="E10" s="162">
        <f>2138+257</f>
        <v>2395</v>
      </c>
      <c r="F10" s="730">
        <f t="shared" si="0"/>
        <v>2395</v>
      </c>
    </row>
    <row r="11" spans="1:6" ht="12.75" customHeight="1">
      <c r="A11" s="181" t="s">
        <v>321</v>
      </c>
      <c r="B11" s="1225" t="s">
        <v>864</v>
      </c>
      <c r="C11" s="812"/>
      <c r="D11" s="162"/>
      <c r="E11" s="162"/>
      <c r="F11" s="730">
        <f t="shared" si="0"/>
        <v>0</v>
      </c>
    </row>
    <row r="12" spans="1:6" ht="12.75" customHeight="1">
      <c r="A12" s="181" t="s">
        <v>322</v>
      </c>
      <c r="B12" s="1225" t="s">
        <v>865</v>
      </c>
      <c r="C12" s="812">
        <v>37009</v>
      </c>
      <c r="D12" s="162"/>
      <c r="E12" s="162"/>
      <c r="F12" s="730">
        <f t="shared" si="0"/>
        <v>37009</v>
      </c>
    </row>
    <row r="13" spans="1:6" ht="12.75" customHeight="1">
      <c r="A13" s="181" t="s">
        <v>323</v>
      </c>
      <c r="B13" s="1225" t="s">
        <v>866</v>
      </c>
      <c r="C13" s="812">
        <v>21188</v>
      </c>
      <c r="D13" s="162"/>
      <c r="E13" s="162"/>
      <c r="F13" s="730">
        <f t="shared" si="0"/>
        <v>21188</v>
      </c>
    </row>
    <row r="14" spans="1:6" ht="12.75" customHeight="1">
      <c r="A14" s="181" t="s">
        <v>324</v>
      </c>
      <c r="B14" s="1225" t="s">
        <v>867</v>
      </c>
      <c r="C14" s="812"/>
      <c r="D14" s="162"/>
      <c r="E14" s="162"/>
      <c r="F14" s="730">
        <f t="shared" si="0"/>
        <v>0</v>
      </c>
    </row>
    <row r="15" spans="1:6" ht="12.75" customHeight="1">
      <c r="A15" s="181" t="s">
        <v>325</v>
      </c>
      <c r="B15" s="1225" t="s">
        <v>868</v>
      </c>
      <c r="C15" s="1408">
        <v>20</v>
      </c>
      <c r="D15" s="259"/>
      <c r="E15" s="162">
        <v>10</v>
      </c>
      <c r="F15" s="730">
        <f t="shared" si="0"/>
        <v>30</v>
      </c>
    </row>
    <row r="16" spans="1:6" ht="12.75" customHeight="1">
      <c r="A16" s="181" t="s">
        <v>326</v>
      </c>
      <c r="B16" s="1226" t="s">
        <v>869</v>
      </c>
      <c r="C16" s="1408"/>
      <c r="D16" s="259"/>
      <c r="E16" s="162"/>
      <c r="F16" s="1407">
        <f t="shared" si="0"/>
        <v>0</v>
      </c>
    </row>
    <row r="17" spans="1:6" s="17" customFormat="1" ht="12.75" customHeight="1" thickBot="1">
      <c r="A17" s="728" t="s">
        <v>327</v>
      </c>
      <c r="B17" s="1227" t="s">
        <v>870</v>
      </c>
      <c r="C17" s="1409"/>
      <c r="D17" s="731"/>
      <c r="E17" s="168"/>
      <c r="F17" s="730">
        <f t="shared" si="0"/>
        <v>0</v>
      </c>
    </row>
    <row r="18" spans="1:6" ht="16.5" customHeight="1" thickBot="1">
      <c r="A18" s="533" t="s">
        <v>328</v>
      </c>
      <c r="B18" s="177" t="s">
        <v>913</v>
      </c>
      <c r="C18" s="1410">
        <f>C19+C23+C24+C25+C26</f>
        <v>1587</v>
      </c>
      <c r="D18" s="263">
        <f>D19+D23+D24+D25+D26</f>
        <v>9495</v>
      </c>
      <c r="E18" s="263">
        <f>E19+E23+E24+E25+E26</f>
        <v>350809</v>
      </c>
      <c r="F18" s="158">
        <f>F19+F23+F24+F25+F26</f>
        <v>361891</v>
      </c>
    </row>
    <row r="19" spans="1:6" ht="11.25" customHeight="1">
      <c r="A19" s="873" t="s">
        <v>329</v>
      </c>
      <c r="B19" s="1136" t="s">
        <v>791</v>
      </c>
      <c r="C19" s="1411">
        <f>C20+C21+C22</f>
        <v>0</v>
      </c>
      <c r="D19" s="331">
        <f>D20+D21+D22</f>
        <v>0</v>
      </c>
      <c r="E19" s="331">
        <f>E20+E21+E22</f>
        <v>0</v>
      </c>
      <c r="F19" s="157">
        <f>F20+F21+F22+F23</f>
        <v>0</v>
      </c>
    </row>
    <row r="20" spans="1:6" ht="11.25" customHeight="1">
      <c r="A20" s="873" t="s">
        <v>330</v>
      </c>
      <c r="B20" s="1111" t="s">
        <v>793</v>
      </c>
      <c r="C20" s="1412"/>
      <c r="D20" s="251"/>
      <c r="E20" s="155"/>
      <c r="F20" s="155"/>
    </row>
    <row r="21" spans="1:6" ht="11.25" customHeight="1">
      <c r="A21" s="873" t="s">
        <v>331</v>
      </c>
      <c r="B21" s="1112" t="s">
        <v>792</v>
      </c>
      <c r="C21" s="1412"/>
      <c r="D21" s="251"/>
      <c r="E21" s="155"/>
      <c r="F21" s="155"/>
    </row>
    <row r="22" spans="1:6" ht="11.25" customHeight="1">
      <c r="A22" s="873" t="s">
        <v>332</v>
      </c>
      <c r="B22" s="1112" t="s">
        <v>794</v>
      </c>
      <c r="C22" s="1413"/>
      <c r="D22" s="988"/>
      <c r="E22" s="157"/>
      <c r="F22" s="157"/>
    </row>
    <row r="23" spans="1:6" ht="12.75" customHeight="1">
      <c r="A23" s="873" t="s">
        <v>333</v>
      </c>
      <c r="B23" s="1113" t="s">
        <v>795</v>
      </c>
      <c r="C23" s="1149"/>
      <c r="D23" s="247"/>
      <c r="E23" s="270"/>
      <c r="F23" s="270">
        <f>SUM(C23:E23)</f>
        <v>0</v>
      </c>
    </row>
    <row r="24" spans="1:6" ht="12.75" customHeight="1">
      <c r="A24" s="873" t="s">
        <v>334</v>
      </c>
      <c r="B24" s="1114" t="s">
        <v>796</v>
      </c>
      <c r="C24" s="1414"/>
      <c r="D24" s="246"/>
      <c r="E24" s="270"/>
      <c r="F24" s="270">
        <f>SUM(C24:E24)</f>
        <v>0</v>
      </c>
    </row>
    <row r="25" spans="1:6" ht="12.75" customHeight="1">
      <c r="A25" s="873" t="s">
        <v>336</v>
      </c>
      <c r="B25" s="1228" t="s">
        <v>797</v>
      </c>
      <c r="C25" s="1414">
        <f>'19 21_sz_ melléklet'!C66</f>
        <v>1587</v>
      </c>
      <c r="D25" s="246">
        <f>'19 21_sz_ melléklet'!C65</f>
        <v>9495</v>
      </c>
      <c r="E25" s="270">
        <f>'19 21_sz_ melléklet'!C63+'19 21_sz_ melléklet'!C64</f>
        <v>350809</v>
      </c>
      <c r="F25" s="270">
        <f>SUM(C25:E25)</f>
        <v>361891</v>
      </c>
    </row>
    <row r="26" spans="1:6" s="17" customFormat="1" ht="12.75" customHeight="1" thickBot="1">
      <c r="A26" s="180" t="s">
        <v>337</v>
      </c>
      <c r="B26" s="1113" t="s">
        <v>843</v>
      </c>
      <c r="C26" s="1415"/>
      <c r="D26" s="1215"/>
      <c r="E26" s="159"/>
      <c r="F26" s="159">
        <f>SUM(C26:E26)</f>
        <v>0</v>
      </c>
    </row>
    <row r="27" spans="1:6" s="17" customFormat="1" ht="12.75" customHeight="1" thickBot="1">
      <c r="A27" s="533" t="s">
        <v>338</v>
      </c>
      <c r="B27" s="1133" t="s">
        <v>844</v>
      </c>
      <c r="C27" s="1416">
        <f>C28+C29</f>
        <v>0</v>
      </c>
      <c r="D27" s="1217">
        <f>D28+D29</f>
        <v>0</v>
      </c>
      <c r="E27" s="1217">
        <f>E28+E29</f>
        <v>0</v>
      </c>
      <c r="F27" s="1238">
        <f>F28+F29</f>
        <v>0</v>
      </c>
    </row>
    <row r="28" spans="1:6" s="17" customFormat="1" ht="12.75" customHeight="1">
      <c r="A28" s="873" t="s">
        <v>339</v>
      </c>
      <c r="B28" s="1216" t="s">
        <v>873</v>
      </c>
      <c r="C28" s="1417"/>
      <c r="D28" s="989"/>
      <c r="E28" s="154"/>
      <c r="F28" s="154"/>
    </row>
    <row r="29" spans="1:6" s="17" customFormat="1" ht="12.75" customHeight="1" thickBot="1">
      <c r="A29" s="180" t="s">
        <v>340</v>
      </c>
      <c r="B29" s="1234" t="s">
        <v>874</v>
      </c>
      <c r="C29" s="1418"/>
      <c r="D29" s="1219"/>
      <c r="E29" s="156"/>
      <c r="F29" s="156"/>
    </row>
    <row r="30" spans="1:6" ht="15" customHeight="1" thickBot="1" thickTop="1">
      <c r="A30" s="1235" t="s">
        <v>341</v>
      </c>
      <c r="B30" s="1236" t="s">
        <v>912</v>
      </c>
      <c r="C30" s="1419">
        <f>C31+C37+C42</f>
        <v>0</v>
      </c>
      <c r="D30" s="1237">
        <f>D31+D37+D42</f>
        <v>0</v>
      </c>
      <c r="E30" s="1237">
        <f>E31+E37+E42</f>
        <v>1082</v>
      </c>
      <c r="F30" s="1237">
        <f>F31+F37+F42</f>
        <v>1082</v>
      </c>
    </row>
    <row r="31" spans="1:6" ht="15" customHeight="1">
      <c r="A31" s="683" t="s">
        <v>342</v>
      </c>
      <c r="B31" s="1229" t="s">
        <v>831</v>
      </c>
      <c r="C31" s="1420">
        <f>SUM(C32:C36)</f>
        <v>0</v>
      </c>
      <c r="D31" s="264">
        <f>SUM(D32:D36)</f>
        <v>0</v>
      </c>
      <c r="E31" s="264">
        <f>SUM(E32:E36)</f>
        <v>0</v>
      </c>
      <c r="F31" s="1220">
        <f>SUM(F32:F36)</f>
        <v>0</v>
      </c>
    </row>
    <row r="32" spans="1:6" ht="12.75" customHeight="1">
      <c r="A32" s="181" t="s">
        <v>343</v>
      </c>
      <c r="B32" s="1223" t="s">
        <v>832</v>
      </c>
      <c r="C32" s="1408"/>
      <c r="D32" s="33"/>
      <c r="E32" s="182"/>
      <c r="F32" s="270"/>
    </row>
    <row r="33" spans="1:6" ht="12.75" customHeight="1">
      <c r="A33" s="181" t="s">
        <v>344</v>
      </c>
      <c r="B33" s="277" t="s">
        <v>833</v>
      </c>
      <c r="C33" s="1421"/>
      <c r="D33" s="249"/>
      <c r="E33" s="271"/>
      <c r="F33" s="270"/>
    </row>
    <row r="34" spans="1:6" ht="14.25" customHeight="1">
      <c r="A34" s="181" t="s">
        <v>345</v>
      </c>
      <c r="B34" s="688" t="s">
        <v>834</v>
      </c>
      <c r="C34" s="1421"/>
      <c r="D34" s="249"/>
      <c r="E34" s="271"/>
      <c r="F34" s="270"/>
    </row>
    <row r="35" spans="1:6" ht="15" customHeight="1">
      <c r="A35" s="181" t="s">
        <v>346</v>
      </c>
      <c r="B35" s="688" t="s">
        <v>835</v>
      </c>
      <c r="C35" s="1422"/>
      <c r="D35" s="910"/>
      <c r="E35" s="183"/>
      <c r="F35" s="154"/>
    </row>
    <row r="36" spans="1:6" ht="15" customHeight="1" thickBot="1">
      <c r="A36" s="728" t="s">
        <v>347</v>
      </c>
      <c r="B36" s="277" t="s">
        <v>836</v>
      </c>
      <c r="C36" s="1409"/>
      <c r="D36" s="261"/>
      <c r="E36" s="261"/>
      <c r="F36" s="156"/>
    </row>
    <row r="37" spans="1:6" ht="12.75" customHeight="1" thickBot="1">
      <c r="A37" s="533" t="s">
        <v>348</v>
      </c>
      <c r="B37" s="1230" t="s">
        <v>837</v>
      </c>
      <c r="C37" s="1410">
        <f>C38+C39+C40+C41</f>
        <v>0</v>
      </c>
      <c r="D37" s="263">
        <f>D38+D39+D40+D41</f>
        <v>0</v>
      </c>
      <c r="E37" s="263">
        <f>E38+E39+E40+E41</f>
        <v>0</v>
      </c>
      <c r="F37" s="158">
        <f>F38+F39+F40+F41</f>
        <v>0</v>
      </c>
    </row>
    <row r="38" spans="1:6" ht="15" customHeight="1">
      <c r="A38" s="873" t="s">
        <v>349</v>
      </c>
      <c r="B38" s="689" t="s">
        <v>838</v>
      </c>
      <c r="C38" s="1423"/>
      <c r="D38" s="254"/>
      <c r="E38" s="154"/>
      <c r="F38" s="270"/>
    </row>
    <row r="39" spans="1:6" ht="15" customHeight="1">
      <c r="A39" s="181" t="s">
        <v>350</v>
      </c>
      <c r="B39" s="901" t="s">
        <v>840</v>
      </c>
      <c r="C39" s="812"/>
      <c r="D39" s="252"/>
      <c r="E39" s="151"/>
      <c r="F39" s="270"/>
    </row>
    <row r="40" spans="1:6" ht="15" customHeight="1">
      <c r="A40" s="181" t="s">
        <v>351</v>
      </c>
      <c r="B40" s="903" t="s">
        <v>839</v>
      </c>
      <c r="C40" s="812"/>
      <c r="D40" s="904"/>
      <c r="E40" s="154"/>
      <c r="F40" s="270"/>
    </row>
    <row r="41" spans="1:6" ht="15" customHeight="1" thickBot="1">
      <c r="A41" s="728" t="s">
        <v>352</v>
      </c>
      <c r="B41" s="277" t="s">
        <v>841</v>
      </c>
      <c r="C41" s="986"/>
      <c r="D41" s="908"/>
      <c r="E41" s="156"/>
      <c r="F41" s="159"/>
    </row>
    <row r="42" spans="1:6" ht="15" customHeight="1" thickBot="1">
      <c r="A42" s="533" t="s">
        <v>353</v>
      </c>
      <c r="B42" s="1173" t="s">
        <v>842</v>
      </c>
      <c r="C42" s="1410">
        <f>C43+C44</f>
        <v>0</v>
      </c>
      <c r="D42" s="263">
        <f>D43+D44</f>
        <v>0</v>
      </c>
      <c r="E42" s="263">
        <f>E43+E44</f>
        <v>1082</v>
      </c>
      <c r="F42" s="158">
        <f>SUM(C42:E42)</f>
        <v>1082</v>
      </c>
    </row>
    <row r="43" spans="1:6" ht="15" customHeight="1">
      <c r="A43" s="873" t="s">
        <v>354</v>
      </c>
      <c r="B43" s="903" t="s">
        <v>884</v>
      </c>
      <c r="C43" s="1423"/>
      <c r="D43" s="254"/>
      <c r="E43" s="154"/>
      <c r="F43" s="154"/>
    </row>
    <row r="44" spans="1:6" ht="15" customHeight="1" thickBot="1">
      <c r="A44" s="181" t="s">
        <v>355</v>
      </c>
      <c r="B44" s="1223" t="s">
        <v>885</v>
      </c>
      <c r="C44" s="812"/>
      <c r="D44" s="252"/>
      <c r="E44" s="151">
        <f>' 27 28 sz. melléklet'!F45</f>
        <v>1082</v>
      </c>
      <c r="F44" s="151">
        <f>SUM(E44)</f>
        <v>1082</v>
      </c>
    </row>
    <row r="45" spans="1:7" ht="17.25" customHeight="1" thickBot="1">
      <c r="A45" s="533" t="s">
        <v>356</v>
      </c>
      <c r="B45" s="1231" t="s">
        <v>915</v>
      </c>
      <c r="C45" s="1410">
        <f>C6+C30</f>
        <v>101803</v>
      </c>
      <c r="D45" s="263">
        <f>D6+D30</f>
        <v>9495</v>
      </c>
      <c r="E45" s="263">
        <f>E6+E30</f>
        <v>366488</v>
      </c>
      <c r="F45" s="158">
        <f>F6+F30</f>
        <v>477786</v>
      </c>
      <c r="G45" s="79"/>
    </row>
    <row r="46" spans="1:6" s="17" customFormat="1" ht="3" customHeight="1" thickBot="1">
      <c r="A46" s="729"/>
      <c r="B46" s="143"/>
      <c r="C46" s="1424"/>
      <c r="D46" s="248"/>
      <c r="E46" s="272"/>
      <c r="F46" s="272"/>
    </row>
    <row r="47" spans="1:6" ht="14.25" customHeight="1" thickBot="1">
      <c r="A47" s="179" t="s">
        <v>357</v>
      </c>
      <c r="B47" s="1173" t="s">
        <v>525</v>
      </c>
      <c r="C47" s="1425">
        <f>SUM(C48:C57)</f>
        <v>451755</v>
      </c>
      <c r="D47" s="158">
        <f>SUM(D48:D57)</f>
        <v>379210</v>
      </c>
      <c r="E47" s="158">
        <f>SUM(E48:E57)</f>
        <v>26681</v>
      </c>
      <c r="F47" s="158">
        <f>SUM(F48:F57)</f>
        <v>857646</v>
      </c>
    </row>
    <row r="48" spans="1:6" ht="12.75" customHeight="1">
      <c r="A48" s="683" t="s">
        <v>358</v>
      </c>
      <c r="B48" s="276" t="s">
        <v>848</v>
      </c>
      <c r="C48" s="1426"/>
      <c r="D48" s="157"/>
      <c r="E48" s="157"/>
      <c r="F48" s="157"/>
    </row>
    <row r="49" spans="1:6" ht="12.75" customHeight="1">
      <c r="A49" s="181" t="s">
        <v>359</v>
      </c>
      <c r="B49" s="602" t="s">
        <v>847</v>
      </c>
      <c r="C49" s="1427"/>
      <c r="D49" s="155"/>
      <c r="E49" s="155"/>
      <c r="F49" s="270"/>
    </row>
    <row r="50" spans="1:6" ht="12.75" customHeight="1">
      <c r="A50" s="181" t="s">
        <v>369</v>
      </c>
      <c r="B50" s="602" t="s">
        <v>849</v>
      </c>
      <c r="C50" s="1427"/>
      <c r="D50" s="155"/>
      <c r="E50" s="155"/>
      <c r="F50" s="270"/>
    </row>
    <row r="51" spans="1:6" ht="15" customHeight="1">
      <c r="A51" s="181" t="s">
        <v>370</v>
      </c>
      <c r="B51" s="602" t="s">
        <v>850</v>
      </c>
      <c r="C51" s="1033"/>
      <c r="D51" s="270"/>
      <c r="E51" s="270"/>
      <c r="F51" s="270"/>
    </row>
    <row r="52" spans="1:6" ht="12.75">
      <c r="A52" s="181" t="s">
        <v>371</v>
      </c>
      <c r="B52" s="836" t="s">
        <v>851</v>
      </c>
      <c r="C52" s="1023">
        <v>375</v>
      </c>
      <c r="D52" s="182">
        <v>560</v>
      </c>
      <c r="E52" s="182">
        <v>2135</v>
      </c>
      <c r="F52" s="270">
        <f>SUM(C52:E52)</f>
        <v>3070</v>
      </c>
    </row>
    <row r="53" spans="1:6" ht="12.75">
      <c r="A53" s="181" t="s">
        <v>372</v>
      </c>
      <c r="B53" s="837" t="s">
        <v>852</v>
      </c>
      <c r="C53" s="1428"/>
      <c r="D53" s="183"/>
      <c r="E53" s="183"/>
      <c r="F53" s="154"/>
    </row>
    <row r="54" spans="1:6" ht="15" customHeight="1">
      <c r="A54" s="181" t="s">
        <v>373</v>
      </c>
      <c r="B54" s="838" t="s">
        <v>853</v>
      </c>
      <c r="C54" s="1429"/>
      <c r="D54" s="155"/>
      <c r="E54" s="155"/>
      <c r="F54" s="155"/>
    </row>
    <row r="55" spans="1:6" ht="12.75">
      <c r="A55" s="181" t="s">
        <v>374</v>
      </c>
      <c r="B55" s="838" t="s">
        <v>854</v>
      </c>
      <c r="C55" s="1430">
        <f>3_sz_melléklet!C52-'30_ sz_ melléklet'!C45-'30_ sz_ melléklet'!C52</f>
        <v>451380</v>
      </c>
      <c r="D55" s="1430">
        <f>3_sz_melléklet!D52-'30_ sz_ melléklet'!D45-'30_ sz_ melléklet'!D52</f>
        <v>378650</v>
      </c>
      <c r="E55" s="1430">
        <f>3_sz_melléklet!E52-'30_ sz_ melléklet'!E45-'30_ sz_ melléklet'!E52</f>
        <v>24546</v>
      </c>
      <c r="F55" s="151">
        <f>SUM(C55:E55)</f>
        <v>854576</v>
      </c>
    </row>
    <row r="56" spans="1:6" ht="12.75">
      <c r="A56" s="181" t="s">
        <v>375</v>
      </c>
      <c r="B56" s="838" t="s">
        <v>855</v>
      </c>
      <c r="C56" s="1431"/>
      <c r="D56" s="1232"/>
      <c r="E56" s="1232"/>
      <c r="F56" s="1233"/>
    </row>
    <row r="57" spans="1:6" ht="12" customHeight="1" thickBot="1">
      <c r="A57" s="181" t="s">
        <v>376</v>
      </c>
      <c r="B57" s="382" t="s">
        <v>856</v>
      </c>
      <c r="C57" s="1432"/>
      <c r="D57" s="828"/>
      <c r="E57" s="334"/>
      <c r="F57" s="334"/>
    </row>
    <row r="58" spans="1:6" ht="15.75" customHeight="1" thickBot="1">
      <c r="A58" s="533" t="s">
        <v>377</v>
      </c>
      <c r="B58" s="905" t="s">
        <v>526</v>
      </c>
      <c r="C58" s="1433">
        <f>C45+C47</f>
        <v>553558</v>
      </c>
      <c r="D58" s="114">
        <f>D45+D47</f>
        <v>388705</v>
      </c>
      <c r="E58" s="114">
        <f>E45+E47</f>
        <v>393169</v>
      </c>
      <c r="F58" s="114">
        <f>F45+F47</f>
        <v>1335432</v>
      </c>
    </row>
    <row r="59" ht="14.25" customHeight="1">
      <c r="C59" s="917"/>
    </row>
    <row r="60" ht="13.5" customHeight="1">
      <c r="C60" s="917"/>
    </row>
    <row r="61" ht="16.5" customHeight="1">
      <c r="C61" s="917"/>
    </row>
    <row r="62" ht="12.75" customHeight="1">
      <c r="C62" s="917"/>
    </row>
    <row r="63" ht="38.25" customHeight="1">
      <c r="C63" s="917"/>
    </row>
    <row r="64" ht="12" customHeight="1">
      <c r="C64" s="917"/>
    </row>
    <row r="65" ht="12" customHeight="1">
      <c r="C65" s="917"/>
    </row>
    <row r="66" ht="11.25" customHeight="1">
      <c r="C66" s="917"/>
    </row>
    <row r="67" ht="12" customHeight="1">
      <c r="C67" s="917"/>
    </row>
    <row r="68" ht="14.25" customHeight="1">
      <c r="C68" s="917"/>
    </row>
    <row r="69" ht="15" customHeight="1">
      <c r="C69" s="917"/>
    </row>
    <row r="70" ht="13.5" customHeight="1">
      <c r="C70" s="917"/>
    </row>
    <row r="71" ht="12.75" customHeight="1">
      <c r="C71" s="917"/>
    </row>
    <row r="72" ht="12.75" customHeight="1">
      <c r="C72" s="917"/>
    </row>
    <row r="73" ht="12.75" customHeight="1">
      <c r="C73" s="917"/>
    </row>
    <row r="74" ht="12.75" customHeight="1">
      <c r="C74" s="917"/>
    </row>
    <row r="75" ht="12.75" customHeight="1">
      <c r="C75" s="917"/>
    </row>
    <row r="76" ht="15" customHeight="1">
      <c r="C76" s="917"/>
    </row>
    <row r="77" ht="18" customHeight="1">
      <c r="C77" s="917"/>
    </row>
    <row r="78" ht="15" customHeight="1">
      <c r="C78" s="917"/>
    </row>
    <row r="79" ht="3" customHeight="1">
      <c r="C79" s="917"/>
    </row>
    <row r="80" ht="15" customHeight="1">
      <c r="C80" s="917"/>
    </row>
    <row r="81" ht="15" customHeight="1">
      <c r="C81" s="917"/>
    </row>
    <row r="82" ht="15" customHeight="1">
      <c r="C82" s="917"/>
    </row>
    <row r="83" ht="15" customHeight="1">
      <c r="C83" s="917"/>
    </row>
    <row r="84" ht="15" customHeight="1">
      <c r="C84" s="917"/>
    </row>
    <row r="85" ht="15" customHeight="1">
      <c r="C85" s="917"/>
    </row>
    <row r="86" ht="15" customHeight="1">
      <c r="C86" s="917"/>
    </row>
    <row r="87" ht="15" customHeight="1">
      <c r="C87" s="917"/>
    </row>
    <row r="88" ht="16.5" customHeight="1">
      <c r="C88" s="917"/>
    </row>
    <row r="89" ht="15.75" customHeight="1">
      <c r="C89" s="917"/>
    </row>
    <row r="90" ht="3.75" customHeight="1">
      <c r="C90" s="917"/>
    </row>
    <row r="91" ht="26.25" customHeight="1">
      <c r="C91" s="917"/>
    </row>
    <row r="92" ht="2.25" customHeight="1">
      <c r="C92" s="917"/>
    </row>
    <row r="93" ht="16.5" customHeight="1">
      <c r="C93" s="917"/>
    </row>
    <row r="94" ht="10.5" customHeight="1">
      <c r="C94" s="917"/>
    </row>
    <row r="95" ht="4.5" customHeight="1">
      <c r="C95" s="917"/>
    </row>
    <row r="96" ht="27.75" customHeight="1">
      <c r="C96" s="917"/>
    </row>
    <row r="97" ht="6.75" customHeight="1">
      <c r="C97" s="917"/>
    </row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66" sqref="H66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488" t="s">
        <v>1434</v>
      </c>
      <c r="B1" s="488"/>
      <c r="C1" s="488"/>
      <c r="D1" s="488"/>
      <c r="E1" s="488"/>
      <c r="F1" s="488"/>
      <c r="G1" s="488"/>
    </row>
    <row r="2" spans="2:5" ht="15.75">
      <c r="B2" s="1674" t="s">
        <v>1052</v>
      </c>
      <c r="C2" s="1674"/>
      <c r="D2" s="1674"/>
      <c r="E2" s="1674"/>
    </row>
    <row r="3" spans="2:5" ht="13.5" thickBot="1">
      <c r="B3" s="1"/>
      <c r="C3" s="1"/>
      <c r="D3" s="43"/>
      <c r="E3" s="43" t="s">
        <v>4</v>
      </c>
    </row>
    <row r="4" spans="1:5" ht="30" customHeight="1" thickBot="1">
      <c r="A4" s="724" t="s">
        <v>311</v>
      </c>
      <c r="B4" s="725" t="s">
        <v>44</v>
      </c>
      <c r="C4" s="387" t="s">
        <v>439</v>
      </c>
      <c r="D4" s="388" t="s">
        <v>440</v>
      </c>
      <c r="E4" s="389" t="s">
        <v>1205</v>
      </c>
    </row>
    <row r="5" spans="1:5" s="914" customFormat="1" ht="13.5" customHeight="1" thickBot="1">
      <c r="A5" s="477" t="s">
        <v>312</v>
      </c>
      <c r="B5" s="1247" t="s">
        <v>313</v>
      </c>
      <c r="C5" s="1248" t="s">
        <v>314</v>
      </c>
      <c r="D5" s="1249" t="s">
        <v>315</v>
      </c>
      <c r="E5" s="1250" t="s">
        <v>335</v>
      </c>
    </row>
    <row r="6" spans="1:5" ht="12.75" customHeight="1" thickBot="1">
      <c r="A6" s="533" t="s">
        <v>316</v>
      </c>
      <c r="B6" s="1221" t="s">
        <v>914</v>
      </c>
      <c r="C6" s="1246">
        <f>C7+C18+C27</f>
        <v>2919</v>
      </c>
      <c r="D6" s="1246">
        <f>D7+D18+D27</f>
        <v>0</v>
      </c>
      <c r="E6" s="1245">
        <f>E7+E18+E27</f>
        <v>4713</v>
      </c>
    </row>
    <row r="7" spans="1:5" ht="12" customHeight="1">
      <c r="A7" s="683" t="s">
        <v>317</v>
      </c>
      <c r="B7" s="1222" t="s">
        <v>288</v>
      </c>
      <c r="C7" s="1254">
        <f>SUM(C8:C17)</f>
        <v>0</v>
      </c>
      <c r="D7" s="1254">
        <f>SUM(D8:D17)</f>
        <v>0</v>
      </c>
      <c r="E7" s="1255">
        <f>SUM(E8:E17)</f>
        <v>0</v>
      </c>
    </row>
    <row r="8" spans="1:5" ht="12.75" customHeight="1">
      <c r="A8" s="181" t="s">
        <v>318</v>
      </c>
      <c r="B8" s="1223" t="s">
        <v>861</v>
      </c>
      <c r="C8" s="1256"/>
      <c r="D8" s="1257"/>
      <c r="E8" s="1258"/>
    </row>
    <row r="9" spans="1:5" ht="12.75">
      <c r="A9" s="181" t="s">
        <v>319</v>
      </c>
      <c r="B9" s="1223" t="s">
        <v>862</v>
      </c>
      <c r="C9" s="1256"/>
      <c r="D9" s="1257"/>
      <c r="E9" s="1258"/>
    </row>
    <row r="10" spans="1:5" ht="12.75">
      <c r="A10" s="181" t="s">
        <v>320</v>
      </c>
      <c r="B10" s="1224" t="s">
        <v>863</v>
      </c>
      <c r="C10" s="1256"/>
      <c r="D10" s="1257"/>
      <c r="E10" s="1258"/>
    </row>
    <row r="11" spans="1:5" ht="12.75">
      <c r="A11" s="181" t="s">
        <v>321</v>
      </c>
      <c r="B11" s="1225" t="s">
        <v>864</v>
      </c>
      <c r="C11" s="1256"/>
      <c r="D11" s="1257"/>
      <c r="E11" s="1258"/>
    </row>
    <row r="12" spans="1:5" ht="12.75">
      <c r="A12" s="181" t="s">
        <v>322</v>
      </c>
      <c r="B12" s="1225" t="s">
        <v>865</v>
      </c>
      <c r="C12" s="1256"/>
      <c r="D12" s="1257"/>
      <c r="E12" s="1258"/>
    </row>
    <row r="13" spans="1:5" s="17" customFormat="1" ht="12.75">
      <c r="A13" s="181" t="s">
        <v>323</v>
      </c>
      <c r="B13" s="1225" t="s">
        <v>866</v>
      </c>
      <c r="C13" s="1259"/>
      <c r="D13" s="1260"/>
      <c r="E13" s="1261"/>
    </row>
    <row r="14" spans="1:5" s="17" customFormat="1" ht="12.75">
      <c r="A14" s="181" t="s">
        <v>324</v>
      </c>
      <c r="B14" s="1225" t="s">
        <v>867</v>
      </c>
      <c r="C14" s="1259"/>
      <c r="D14" s="1260"/>
      <c r="E14" s="1261"/>
    </row>
    <row r="15" spans="1:5" ht="12.75">
      <c r="A15" s="181" t="s">
        <v>325</v>
      </c>
      <c r="B15" s="1225" t="s">
        <v>868</v>
      </c>
      <c r="C15" s="1256"/>
      <c r="D15" s="1257"/>
      <c r="E15" s="1258">
        <f>SUM(C15:D15)</f>
        <v>0</v>
      </c>
    </row>
    <row r="16" spans="1:5" ht="12.75">
      <c r="A16" s="181" t="s">
        <v>326</v>
      </c>
      <c r="B16" s="1226" t="s">
        <v>869</v>
      </c>
      <c r="C16" s="1256"/>
      <c r="D16" s="1257"/>
      <c r="E16" s="1258"/>
    </row>
    <row r="17" spans="1:5" ht="13.5" thickBot="1">
      <c r="A17" s="728" t="s">
        <v>327</v>
      </c>
      <c r="B17" s="1226" t="s">
        <v>870</v>
      </c>
      <c r="C17" s="1262"/>
      <c r="D17" s="1263"/>
      <c r="E17" s="1264"/>
    </row>
    <row r="18" spans="1:5" ht="13.5" thickBot="1">
      <c r="A18" s="533" t="s">
        <v>328</v>
      </c>
      <c r="B18" s="140" t="s">
        <v>913</v>
      </c>
      <c r="C18" s="1265">
        <f>C19+C23+C24+C25+C26</f>
        <v>2919</v>
      </c>
      <c r="D18" s="1265">
        <f>D19+D23+D24+D25+D26</f>
        <v>0</v>
      </c>
      <c r="E18" s="1266">
        <f>E19+E23+E24+E25+E26</f>
        <v>4713</v>
      </c>
    </row>
    <row r="19" spans="1:5" ht="12.75">
      <c r="A19" s="873" t="s">
        <v>329</v>
      </c>
      <c r="B19" s="1239" t="s">
        <v>791</v>
      </c>
      <c r="C19" s="1267">
        <f>C20+C21+C22</f>
        <v>0</v>
      </c>
      <c r="D19" s="1267">
        <f>D20+D21+D22</f>
        <v>0</v>
      </c>
      <c r="E19" s="1268">
        <f>E20+E21+E22</f>
        <v>0</v>
      </c>
    </row>
    <row r="20" spans="1:5" ht="12.75">
      <c r="A20" s="873" t="s">
        <v>330</v>
      </c>
      <c r="B20" s="992" t="s">
        <v>793</v>
      </c>
      <c r="C20" s="1256"/>
      <c r="D20" s="1257"/>
      <c r="E20" s="1258"/>
    </row>
    <row r="21" spans="1:5" ht="12.75">
      <c r="A21" s="873" t="s">
        <v>331</v>
      </c>
      <c r="B21" s="993" t="s">
        <v>792</v>
      </c>
      <c r="C21" s="1256"/>
      <c r="D21" s="1257"/>
      <c r="E21" s="1258"/>
    </row>
    <row r="22" spans="1:5" ht="12.75">
      <c r="A22" s="873" t="s">
        <v>332</v>
      </c>
      <c r="B22" s="993" t="s">
        <v>794</v>
      </c>
      <c r="C22" s="1256"/>
      <c r="D22" s="1257"/>
      <c r="E22" s="1258"/>
    </row>
    <row r="23" spans="1:5" ht="12.75">
      <c r="A23" s="873" t="s">
        <v>333</v>
      </c>
      <c r="B23" s="277" t="s">
        <v>795</v>
      </c>
      <c r="C23" s="1256"/>
      <c r="D23" s="1257"/>
      <c r="E23" s="1258"/>
    </row>
    <row r="24" spans="1:5" ht="13.5" customHeight="1">
      <c r="A24" s="873" t="s">
        <v>334</v>
      </c>
      <c r="B24" s="898" t="s">
        <v>796</v>
      </c>
      <c r="C24" s="1256"/>
      <c r="D24" s="1257"/>
      <c r="E24" s="1258"/>
    </row>
    <row r="25" spans="1:5" ht="12" customHeight="1">
      <c r="A25" s="873" t="s">
        <v>336</v>
      </c>
      <c r="B25" s="899" t="s">
        <v>797</v>
      </c>
      <c r="C25" s="1256">
        <f>'19 21_sz_ melléklet'!C72+'19 21_sz_ melléklet'!C70+'19 21_sz_ melléklet'!C71</f>
        <v>2919</v>
      </c>
      <c r="D25" s="1257"/>
      <c r="E25" s="1258">
        <f>'19 21_sz_ melléklet'!C68+'19 21_sz_ melléklet'!C69</f>
        <v>4713</v>
      </c>
    </row>
    <row r="26" spans="1:5" ht="12" customHeight="1" thickBot="1">
      <c r="A26" s="180" t="s">
        <v>337</v>
      </c>
      <c r="B26" s="277" t="s">
        <v>843</v>
      </c>
      <c r="C26" s="1262"/>
      <c r="D26" s="1263"/>
      <c r="E26" s="1264"/>
    </row>
    <row r="27" spans="1:5" ht="13.5" thickBot="1">
      <c r="A27" s="533" t="s">
        <v>338</v>
      </c>
      <c r="B27" s="1240" t="s">
        <v>844</v>
      </c>
      <c r="C27" s="1265">
        <f>C28+C29</f>
        <v>0</v>
      </c>
      <c r="D27" s="1265">
        <f>D28+D29</f>
        <v>0</v>
      </c>
      <c r="E27" s="1266">
        <f>E28+E29</f>
        <v>0</v>
      </c>
    </row>
    <row r="28" spans="1:5" s="17" customFormat="1" ht="12.75">
      <c r="A28" s="873" t="s">
        <v>339</v>
      </c>
      <c r="B28" s="1241" t="s">
        <v>873</v>
      </c>
      <c r="C28" s="1269"/>
      <c r="D28" s="1270"/>
      <c r="E28" s="1271"/>
    </row>
    <row r="29" spans="1:5" ht="13.5" thickBot="1">
      <c r="A29" s="180" t="s">
        <v>340</v>
      </c>
      <c r="B29" s="1242" t="s">
        <v>874</v>
      </c>
      <c r="C29" s="1262"/>
      <c r="D29" s="1263"/>
      <c r="E29" s="1264"/>
    </row>
    <row r="30" spans="1:5" ht="14.25" thickBot="1" thickTop="1">
      <c r="A30" s="1235" t="s">
        <v>341</v>
      </c>
      <c r="B30" s="1243" t="s">
        <v>912</v>
      </c>
      <c r="C30" s="1272">
        <f>C31+C37+C42</f>
        <v>120</v>
      </c>
      <c r="D30" s="1272">
        <f>D31+D37+D42</f>
        <v>0</v>
      </c>
      <c r="E30" s="1273">
        <f>E31+E37+E42</f>
        <v>0</v>
      </c>
    </row>
    <row r="31" spans="1:5" ht="13.5" thickBot="1">
      <c r="A31" s="533" t="s">
        <v>342</v>
      </c>
      <c r="B31" s="1173" t="s">
        <v>831</v>
      </c>
      <c r="C31" s="1265">
        <f>C32+C33+C34+C35+C36</f>
        <v>0</v>
      </c>
      <c r="D31" s="1265">
        <f>D32+D33+D34+D35+D36</f>
        <v>0</v>
      </c>
      <c r="E31" s="1266">
        <f>E32+E33+E34+E35+E36</f>
        <v>0</v>
      </c>
    </row>
    <row r="32" spans="1:5" ht="12.75">
      <c r="A32" s="873" t="s">
        <v>343</v>
      </c>
      <c r="B32" s="1251" t="s">
        <v>832</v>
      </c>
      <c r="C32" s="1267"/>
      <c r="D32" s="1268"/>
      <c r="E32" s="1274"/>
    </row>
    <row r="33" spans="1:5" ht="12.75">
      <c r="A33" s="181" t="s">
        <v>344</v>
      </c>
      <c r="B33" s="277" t="s">
        <v>833</v>
      </c>
      <c r="C33" s="1256"/>
      <c r="D33" s="1257"/>
      <c r="E33" s="1258"/>
    </row>
    <row r="34" spans="1:5" ht="12.75">
      <c r="A34" s="181" t="s">
        <v>345</v>
      </c>
      <c r="B34" s="688" t="s">
        <v>834</v>
      </c>
      <c r="C34" s="1256"/>
      <c r="D34" s="1257"/>
      <c r="E34" s="1258"/>
    </row>
    <row r="35" spans="1:5" ht="12.75">
      <c r="A35" s="181" t="s">
        <v>346</v>
      </c>
      <c r="B35" s="688" t="s">
        <v>835</v>
      </c>
      <c r="C35" s="1256"/>
      <c r="D35" s="1257"/>
      <c r="E35" s="1258"/>
    </row>
    <row r="36" spans="1:5" ht="14.25" customHeight="1" thickBot="1">
      <c r="A36" s="728" t="s">
        <v>347</v>
      </c>
      <c r="B36" s="277" t="s">
        <v>836</v>
      </c>
      <c r="C36" s="1262"/>
      <c r="D36" s="1263"/>
      <c r="E36" s="1264"/>
    </row>
    <row r="37" spans="1:5" ht="12.75" customHeight="1" thickBot="1">
      <c r="A37" s="533" t="s">
        <v>348</v>
      </c>
      <c r="B37" s="1230" t="s">
        <v>837</v>
      </c>
      <c r="C37" s="1265">
        <f>C38+C39+C40+C41</f>
        <v>0</v>
      </c>
      <c r="D37" s="1265">
        <f>D38+D39+D40+D41</f>
        <v>0</v>
      </c>
      <c r="E37" s="1266">
        <f>E38+E39+E40+E41</f>
        <v>0</v>
      </c>
    </row>
    <row r="38" spans="1:5" ht="15" customHeight="1">
      <c r="A38" s="873" t="s">
        <v>349</v>
      </c>
      <c r="B38" s="689" t="s">
        <v>838</v>
      </c>
      <c r="C38" s="1267"/>
      <c r="D38" s="1268"/>
      <c r="E38" s="1274"/>
    </row>
    <row r="39" spans="1:5" ht="12" customHeight="1">
      <c r="A39" s="181" t="s">
        <v>350</v>
      </c>
      <c r="B39" s="901" t="s">
        <v>840</v>
      </c>
      <c r="C39" s="1256"/>
      <c r="D39" s="1257"/>
      <c r="E39" s="1258"/>
    </row>
    <row r="40" spans="1:5" ht="12.75" customHeight="1">
      <c r="A40" s="181" t="s">
        <v>351</v>
      </c>
      <c r="B40" s="903" t="s">
        <v>839</v>
      </c>
      <c r="C40" s="1256"/>
      <c r="D40" s="1257"/>
      <c r="E40" s="1258"/>
    </row>
    <row r="41" spans="1:5" ht="15" customHeight="1" thickBot="1">
      <c r="A41" s="728" t="s">
        <v>352</v>
      </c>
      <c r="B41" s="277" t="s">
        <v>841</v>
      </c>
      <c r="C41" s="1262"/>
      <c r="D41" s="1263"/>
      <c r="E41" s="1264"/>
    </row>
    <row r="42" spans="1:5" ht="12.75" customHeight="1" thickBot="1">
      <c r="A42" s="533" t="s">
        <v>353</v>
      </c>
      <c r="B42" s="1173" t="s">
        <v>842</v>
      </c>
      <c r="C42" s="1265">
        <f>C43+C44</f>
        <v>120</v>
      </c>
      <c r="D42" s="1265">
        <f>D43+D44</f>
        <v>0</v>
      </c>
      <c r="E42" s="1266">
        <f>E43+E44</f>
        <v>0</v>
      </c>
    </row>
    <row r="43" spans="1:5" ht="15" customHeight="1">
      <c r="A43" s="873" t="s">
        <v>354</v>
      </c>
      <c r="B43" s="903" t="s">
        <v>884</v>
      </c>
      <c r="C43" s="1267">
        <f>'29 sz. mell'!C25</f>
        <v>120</v>
      </c>
      <c r="D43" s="1268"/>
      <c r="E43" s="1274"/>
    </row>
    <row r="44" spans="1:5" ht="16.5" customHeight="1" thickBot="1">
      <c r="A44" s="181" t="s">
        <v>355</v>
      </c>
      <c r="B44" s="1223" t="s">
        <v>885</v>
      </c>
      <c r="C44" s="1256"/>
      <c r="D44" s="1257"/>
      <c r="E44" s="1258"/>
    </row>
    <row r="45" spans="1:5" ht="24.75" customHeight="1" thickBot="1">
      <c r="A45" s="533" t="s">
        <v>356</v>
      </c>
      <c r="B45" s="1231" t="s">
        <v>916</v>
      </c>
      <c r="C45" s="1252">
        <f>C6+C30</f>
        <v>3039</v>
      </c>
      <c r="D45" s="1252">
        <f>D6+D30</f>
        <v>0</v>
      </c>
      <c r="E45" s="1253">
        <f>E6+E30</f>
        <v>4713</v>
      </c>
    </row>
    <row r="46" spans="1:5" ht="12.75" customHeight="1" thickBot="1">
      <c r="A46" s="179" t="s">
        <v>357</v>
      </c>
      <c r="B46" s="1173" t="s">
        <v>525</v>
      </c>
      <c r="C46" s="1265">
        <f>SUM(C47:C56)</f>
        <v>7286</v>
      </c>
      <c r="D46" s="1265">
        <f>SUM(D47:D56)</f>
        <v>364501</v>
      </c>
      <c r="E46" s="1266">
        <f>SUM(E47:E56)</f>
        <v>0</v>
      </c>
    </row>
    <row r="47" spans="1:5" ht="12.75" customHeight="1">
      <c r="A47" s="683" t="s">
        <v>358</v>
      </c>
      <c r="B47" s="276" t="s">
        <v>848</v>
      </c>
      <c r="C47" s="1267"/>
      <c r="D47" s="1268"/>
      <c r="E47" s="1274"/>
    </row>
    <row r="48" spans="1:5" ht="12.75">
      <c r="A48" s="181" t="s">
        <v>359</v>
      </c>
      <c r="B48" s="602" t="s">
        <v>847</v>
      </c>
      <c r="C48" s="1256"/>
      <c r="D48" s="1257"/>
      <c r="E48" s="1258"/>
    </row>
    <row r="49" spans="1:5" ht="12.75">
      <c r="A49" s="181" t="s">
        <v>369</v>
      </c>
      <c r="B49" s="602" t="s">
        <v>849</v>
      </c>
      <c r="C49" s="1256"/>
      <c r="D49" s="1257"/>
      <c r="E49" s="1258"/>
    </row>
    <row r="50" spans="1:5" ht="12" customHeight="1">
      <c r="A50" s="181" t="s">
        <v>370</v>
      </c>
      <c r="B50" s="602" t="s">
        <v>850</v>
      </c>
      <c r="C50" s="1256"/>
      <c r="D50" s="1257"/>
      <c r="E50" s="1258"/>
    </row>
    <row r="51" spans="1:5" ht="13.5" customHeight="1">
      <c r="A51" s="181" t="s">
        <v>371</v>
      </c>
      <c r="B51" s="843" t="s">
        <v>851</v>
      </c>
      <c r="C51" s="1256">
        <v>7286</v>
      </c>
      <c r="D51" s="1257"/>
      <c r="E51" s="1258"/>
    </row>
    <row r="52" spans="1:5" ht="12.75">
      <c r="A52" s="181" t="s">
        <v>372</v>
      </c>
      <c r="B52" s="844" t="s">
        <v>852</v>
      </c>
      <c r="C52" s="1256"/>
      <c r="D52" s="1257"/>
      <c r="E52" s="1258"/>
    </row>
    <row r="53" spans="1:5" ht="12.75">
      <c r="A53" s="181" t="s">
        <v>373</v>
      </c>
      <c r="B53" s="845" t="s">
        <v>853</v>
      </c>
      <c r="C53" s="1256"/>
      <c r="D53" s="1257"/>
      <c r="E53" s="1258"/>
    </row>
    <row r="54" spans="1:5" ht="12.75">
      <c r="A54" s="181" t="s">
        <v>374</v>
      </c>
      <c r="B54" s="845" t="s">
        <v>854</v>
      </c>
      <c r="C54" s="1256"/>
      <c r="D54" s="1257">
        <f>5_sz_melléklet!E168-'31_sz_ melléklet'!E105-E111</f>
        <v>364501</v>
      </c>
      <c r="E54" s="1258"/>
    </row>
    <row r="55" spans="1:5" ht="13.5" customHeight="1">
      <c r="A55" s="181" t="s">
        <v>375</v>
      </c>
      <c r="B55" s="845" t="s">
        <v>855</v>
      </c>
      <c r="C55" s="1256"/>
      <c r="D55" s="1257"/>
      <c r="E55" s="1258"/>
    </row>
    <row r="56" spans="1:5" ht="14.25" customHeight="1" thickBot="1">
      <c r="A56" s="181" t="s">
        <v>376</v>
      </c>
      <c r="B56" s="1244" t="s">
        <v>856</v>
      </c>
      <c r="C56" s="1262"/>
      <c r="D56" s="1263"/>
      <c r="E56" s="1264"/>
    </row>
    <row r="57" spans="1:5" ht="13.5" thickBot="1">
      <c r="A57" s="533" t="s">
        <v>377</v>
      </c>
      <c r="B57" s="140" t="s">
        <v>526</v>
      </c>
      <c r="C57" s="1265">
        <f>C45+C46</f>
        <v>10325</v>
      </c>
      <c r="D57" s="1265">
        <f>D45+D46</f>
        <v>364501</v>
      </c>
      <c r="E57" s="1266">
        <f>E45+E46</f>
        <v>4713</v>
      </c>
    </row>
    <row r="58" spans="1:5" ht="12.75">
      <c r="A58" s="37"/>
      <c r="B58" s="44"/>
      <c r="C58" s="1573"/>
      <c r="D58" s="1573"/>
      <c r="E58" s="1573"/>
    </row>
    <row r="59" spans="1:5" ht="12.75">
      <c r="A59" s="37"/>
      <c r="B59" s="44"/>
      <c r="C59" s="1573"/>
      <c r="D59" s="1573"/>
      <c r="E59" s="1573"/>
    </row>
    <row r="60" spans="1:5" ht="12.75">
      <c r="A60" s="1676">
        <v>2</v>
      </c>
      <c r="B60" s="1676"/>
      <c r="C60" s="1676"/>
      <c r="D60" s="1676"/>
      <c r="E60" s="1676"/>
    </row>
    <row r="61" spans="1:5" ht="14.25" customHeight="1">
      <c r="A61" s="488" t="s">
        <v>1434</v>
      </c>
      <c r="B61" s="488"/>
      <c r="C61" s="488"/>
      <c r="D61" s="488"/>
      <c r="E61" s="488"/>
    </row>
    <row r="62" spans="2:5" ht="15.75" customHeight="1">
      <c r="B62" s="1674" t="s">
        <v>1052</v>
      </c>
      <c r="C62" s="1674"/>
      <c r="D62" s="1674"/>
      <c r="E62" s="1674"/>
    </row>
    <row r="63" spans="2:5" ht="16.5" customHeight="1" thickBot="1">
      <c r="B63" s="1"/>
      <c r="C63" s="1"/>
      <c r="D63" s="43"/>
      <c r="E63" s="43" t="s">
        <v>4</v>
      </c>
    </row>
    <row r="64" spans="1:5" ht="30" customHeight="1" thickBot="1">
      <c r="A64" s="724" t="s">
        <v>311</v>
      </c>
      <c r="B64" s="725" t="s">
        <v>44</v>
      </c>
      <c r="C64" s="387"/>
      <c r="D64" s="388"/>
      <c r="E64" s="389" t="s">
        <v>477</v>
      </c>
    </row>
    <row r="65" spans="1:5" ht="17.25" customHeight="1" thickBot="1">
      <c r="A65" s="477" t="s">
        <v>312</v>
      </c>
      <c r="B65" s="1247" t="s">
        <v>313</v>
      </c>
      <c r="C65" s="1248" t="s">
        <v>314</v>
      </c>
      <c r="D65" s="1249" t="s">
        <v>315</v>
      </c>
      <c r="E65" s="1250" t="s">
        <v>335</v>
      </c>
    </row>
    <row r="66" spans="1:5" ht="13.5" thickBot="1">
      <c r="A66" s="533" t="s">
        <v>316</v>
      </c>
      <c r="B66" s="1221" t="s">
        <v>914</v>
      </c>
      <c r="C66" s="1246">
        <f>C67+C78+C87</f>
        <v>0</v>
      </c>
      <c r="D66" s="1246">
        <f>D67+D78+D87</f>
        <v>0</v>
      </c>
      <c r="E66" s="1245">
        <f>C6+D6+E6+C66+D66</f>
        <v>7632</v>
      </c>
    </row>
    <row r="67" spans="1:5" ht="12.75">
      <c r="A67" s="683" t="s">
        <v>317</v>
      </c>
      <c r="B67" s="1222" t="s">
        <v>288</v>
      </c>
      <c r="C67" s="1254">
        <f>SUM(C68:C77)</f>
        <v>0</v>
      </c>
      <c r="D67" s="1254">
        <f>SUM(D68:D77)</f>
        <v>0</v>
      </c>
      <c r="E67" s="1255">
        <f>D67+C67+E7+D7+C7</f>
        <v>0</v>
      </c>
    </row>
    <row r="68" spans="1:5" ht="12.75">
      <c r="A68" s="181" t="s">
        <v>318</v>
      </c>
      <c r="B68" s="1223" t="s">
        <v>861</v>
      </c>
      <c r="C68" s="1256"/>
      <c r="D68" s="1257"/>
      <c r="E68" s="1258">
        <f>D68+C68+E8+D8+C8</f>
        <v>0</v>
      </c>
    </row>
    <row r="69" spans="1:5" ht="12.75">
      <c r="A69" s="181" t="s">
        <v>319</v>
      </c>
      <c r="B69" s="1223" t="s">
        <v>862</v>
      </c>
      <c r="C69" s="1256"/>
      <c r="D69" s="1257"/>
      <c r="E69" s="1258">
        <f aca="true" t="shared" si="0" ref="E69:E77">D69+C69+E9+D9+C9</f>
        <v>0</v>
      </c>
    </row>
    <row r="70" spans="1:5" ht="11.25" customHeight="1">
      <c r="A70" s="181" t="s">
        <v>320</v>
      </c>
      <c r="B70" s="1224" t="s">
        <v>863</v>
      </c>
      <c r="C70" s="1256"/>
      <c r="D70" s="1257"/>
      <c r="E70" s="1258">
        <f t="shared" si="0"/>
        <v>0</v>
      </c>
    </row>
    <row r="71" spans="1:5" ht="12" customHeight="1">
      <c r="A71" s="181" t="s">
        <v>321</v>
      </c>
      <c r="B71" s="1225" t="s">
        <v>864</v>
      </c>
      <c r="C71" s="1256"/>
      <c r="D71" s="1257"/>
      <c r="E71" s="1258">
        <f t="shared" si="0"/>
        <v>0</v>
      </c>
    </row>
    <row r="72" spans="1:5" ht="12.75">
      <c r="A72" s="181" t="s">
        <v>322</v>
      </c>
      <c r="B72" s="1225" t="s">
        <v>865</v>
      </c>
      <c r="C72" s="1256"/>
      <c r="D72" s="1257"/>
      <c r="E72" s="1258">
        <f t="shared" si="0"/>
        <v>0</v>
      </c>
    </row>
    <row r="73" spans="1:5" ht="12.75">
      <c r="A73" s="181" t="s">
        <v>323</v>
      </c>
      <c r="B73" s="1225" t="s">
        <v>866</v>
      </c>
      <c r="C73" s="1259"/>
      <c r="D73" s="1260"/>
      <c r="E73" s="1258">
        <f t="shared" si="0"/>
        <v>0</v>
      </c>
    </row>
    <row r="74" spans="1:5" ht="12.75">
      <c r="A74" s="181" t="s">
        <v>324</v>
      </c>
      <c r="B74" s="1225" t="s">
        <v>867</v>
      </c>
      <c r="C74" s="1259"/>
      <c r="D74" s="1260"/>
      <c r="E74" s="1258">
        <f t="shared" si="0"/>
        <v>0</v>
      </c>
    </row>
    <row r="75" spans="1:5" ht="12" customHeight="1">
      <c r="A75" s="181" t="s">
        <v>325</v>
      </c>
      <c r="B75" s="1225" t="s">
        <v>868</v>
      </c>
      <c r="C75" s="1256"/>
      <c r="D75" s="1257"/>
      <c r="E75" s="1258">
        <f t="shared" si="0"/>
        <v>0</v>
      </c>
    </row>
    <row r="76" spans="1:5" ht="12.75" customHeight="1">
      <c r="A76" s="181" t="s">
        <v>326</v>
      </c>
      <c r="B76" s="1226" t="s">
        <v>869</v>
      </c>
      <c r="C76" s="1256"/>
      <c r="D76" s="1257"/>
      <c r="E76" s="1258">
        <f t="shared" si="0"/>
        <v>0</v>
      </c>
    </row>
    <row r="77" spans="1:5" ht="13.5" thickBot="1">
      <c r="A77" s="728" t="s">
        <v>327</v>
      </c>
      <c r="B77" s="1226" t="s">
        <v>870</v>
      </c>
      <c r="C77" s="1262"/>
      <c r="D77" s="1263"/>
      <c r="E77" s="1258">
        <f t="shared" si="0"/>
        <v>0</v>
      </c>
    </row>
    <row r="78" spans="1:5" ht="13.5" thickBot="1">
      <c r="A78" s="533" t="s">
        <v>328</v>
      </c>
      <c r="B78" s="140" t="s">
        <v>913</v>
      </c>
      <c r="C78" s="1265">
        <f>C79+C83+C84+C85+C86</f>
        <v>0</v>
      </c>
      <c r="D78" s="1265">
        <f>D79+D83+D84+D85+D86</f>
        <v>0</v>
      </c>
      <c r="E78" s="1266">
        <f>E79+E83+E84+E85+E86</f>
        <v>7632</v>
      </c>
    </row>
    <row r="79" spans="1:5" ht="12.75">
      <c r="A79" s="873" t="s">
        <v>329</v>
      </c>
      <c r="B79" s="1239" t="s">
        <v>791</v>
      </c>
      <c r="C79" s="1267">
        <f>C80+C81+C82</f>
        <v>0</v>
      </c>
      <c r="D79" s="1267">
        <f>D80+D81+D82</f>
        <v>0</v>
      </c>
      <c r="E79" s="1268">
        <f>E80+E81+E82</f>
        <v>0</v>
      </c>
    </row>
    <row r="80" spans="1:5" ht="12.75">
      <c r="A80" s="873" t="s">
        <v>330</v>
      </c>
      <c r="B80" s="992" t="s">
        <v>793</v>
      </c>
      <c r="C80" s="1256"/>
      <c r="D80" s="1257"/>
      <c r="E80" s="1258">
        <f aca="true" t="shared" si="1" ref="E80:E89">D80+C80+E20+D20+C20</f>
        <v>0</v>
      </c>
    </row>
    <row r="81" spans="1:5" ht="12.75">
      <c r="A81" s="873" t="s">
        <v>331</v>
      </c>
      <c r="B81" s="993" t="s">
        <v>792</v>
      </c>
      <c r="C81" s="1256"/>
      <c r="D81" s="1257"/>
      <c r="E81" s="1258">
        <f t="shared" si="1"/>
        <v>0</v>
      </c>
    </row>
    <row r="82" spans="1:5" ht="12.75">
      <c r="A82" s="873" t="s">
        <v>332</v>
      </c>
      <c r="B82" s="993" t="s">
        <v>794</v>
      </c>
      <c r="C82" s="1256"/>
      <c r="D82" s="1257"/>
      <c r="E82" s="1258">
        <f t="shared" si="1"/>
        <v>0</v>
      </c>
    </row>
    <row r="83" spans="1:5" ht="12.75">
      <c r="A83" s="873" t="s">
        <v>333</v>
      </c>
      <c r="B83" s="277" t="s">
        <v>795</v>
      </c>
      <c r="C83" s="1256"/>
      <c r="D83" s="1257"/>
      <c r="E83" s="1258">
        <f t="shared" si="1"/>
        <v>0</v>
      </c>
    </row>
    <row r="84" spans="1:5" ht="12.75">
      <c r="A84" s="873" t="s">
        <v>334</v>
      </c>
      <c r="B84" s="898" t="s">
        <v>796</v>
      </c>
      <c r="C84" s="1256"/>
      <c r="D84" s="1257"/>
      <c r="E84" s="1258">
        <f t="shared" si="1"/>
        <v>0</v>
      </c>
    </row>
    <row r="85" spans="1:5" ht="12.75">
      <c r="A85" s="873" t="s">
        <v>336</v>
      </c>
      <c r="B85" s="899" t="s">
        <v>797</v>
      </c>
      <c r="C85" s="1256"/>
      <c r="D85" s="1257"/>
      <c r="E85" s="1258">
        <f t="shared" si="1"/>
        <v>7632</v>
      </c>
    </row>
    <row r="86" spans="1:5" ht="14.25" customHeight="1" thickBot="1">
      <c r="A86" s="180" t="s">
        <v>337</v>
      </c>
      <c r="B86" s="277" t="s">
        <v>843</v>
      </c>
      <c r="C86" s="1262"/>
      <c r="D86" s="1263"/>
      <c r="E86" s="1258">
        <f t="shared" si="1"/>
        <v>0</v>
      </c>
    </row>
    <row r="87" spans="1:5" ht="13.5" thickBot="1">
      <c r="A87" s="533" t="s">
        <v>338</v>
      </c>
      <c r="B87" s="1240" t="s">
        <v>844</v>
      </c>
      <c r="C87" s="1265">
        <f>C88+C89</f>
        <v>0</v>
      </c>
      <c r="D87" s="1265">
        <f>D88+D89</f>
        <v>0</v>
      </c>
      <c r="E87" s="1266">
        <f>E88+E89</f>
        <v>0</v>
      </c>
    </row>
    <row r="88" spans="1:5" ht="12.75">
      <c r="A88" s="873" t="s">
        <v>339</v>
      </c>
      <c r="B88" s="1241" t="s">
        <v>873</v>
      </c>
      <c r="C88" s="1269"/>
      <c r="D88" s="1270"/>
      <c r="E88" s="1258">
        <f t="shared" si="1"/>
        <v>0</v>
      </c>
    </row>
    <row r="89" spans="1:5" ht="13.5" thickBot="1">
      <c r="A89" s="180" t="s">
        <v>340</v>
      </c>
      <c r="B89" s="1242" t="s">
        <v>874</v>
      </c>
      <c r="C89" s="1262"/>
      <c r="D89" s="1263"/>
      <c r="E89" s="1258">
        <f t="shared" si="1"/>
        <v>0</v>
      </c>
    </row>
    <row r="90" spans="1:5" ht="14.25" thickBot="1" thickTop="1">
      <c r="A90" s="1235" t="s">
        <v>341</v>
      </c>
      <c r="B90" s="1243" t="s">
        <v>912</v>
      </c>
      <c r="C90" s="1272">
        <f>C91+C97+C102</f>
        <v>0</v>
      </c>
      <c r="D90" s="1272">
        <f>D91+D97+D102</f>
        <v>0</v>
      </c>
      <c r="E90" s="1273">
        <f>E91+E97+E102</f>
        <v>120</v>
      </c>
    </row>
    <row r="91" spans="1:5" ht="13.5" thickBot="1">
      <c r="A91" s="533" t="s">
        <v>342</v>
      </c>
      <c r="B91" s="1173" t="s">
        <v>831</v>
      </c>
      <c r="C91" s="1265">
        <f>C92+C93+C94+C95+C96</f>
        <v>0</v>
      </c>
      <c r="D91" s="1265">
        <f>D92+D93+D94+D95+D96</f>
        <v>0</v>
      </c>
      <c r="E91" s="1266">
        <f>E92+E93+E94+E95+E96</f>
        <v>0</v>
      </c>
    </row>
    <row r="92" spans="1:5" ht="12.75">
      <c r="A92" s="873" t="s">
        <v>343</v>
      </c>
      <c r="B92" s="1251" t="s">
        <v>832</v>
      </c>
      <c r="C92" s="1267"/>
      <c r="D92" s="1268"/>
      <c r="E92" s="1258">
        <f>D92+C92+E32+D32+C32</f>
        <v>0</v>
      </c>
    </row>
    <row r="93" spans="1:5" ht="12.75">
      <c r="A93" s="181" t="s">
        <v>344</v>
      </c>
      <c r="B93" s="277" t="s">
        <v>833</v>
      </c>
      <c r="C93" s="1256"/>
      <c r="D93" s="1257"/>
      <c r="E93" s="1258">
        <f>D93+C93+E33+D33+C33</f>
        <v>0</v>
      </c>
    </row>
    <row r="94" spans="1:5" ht="12.75">
      <c r="A94" s="181" t="s">
        <v>345</v>
      </c>
      <c r="B94" s="688" t="s">
        <v>834</v>
      </c>
      <c r="C94" s="1256"/>
      <c r="D94" s="1257"/>
      <c r="E94" s="1258">
        <f>D94+C94+E34+D34+C34</f>
        <v>0</v>
      </c>
    </row>
    <row r="95" spans="1:5" ht="12.75">
      <c r="A95" s="181" t="s">
        <v>346</v>
      </c>
      <c r="B95" s="688" t="s">
        <v>835</v>
      </c>
      <c r="C95" s="1256"/>
      <c r="D95" s="1257"/>
      <c r="E95" s="1258">
        <f>D95+C95+E35+D35+C35</f>
        <v>0</v>
      </c>
    </row>
    <row r="96" spans="1:5" ht="12" customHeight="1" thickBot="1">
      <c r="A96" s="728" t="s">
        <v>347</v>
      </c>
      <c r="B96" s="277" t="s">
        <v>836</v>
      </c>
      <c r="C96" s="1262"/>
      <c r="D96" s="1263"/>
      <c r="E96" s="1258">
        <f>D96+C96+E36+D36+C36</f>
        <v>0</v>
      </c>
    </row>
    <row r="97" spans="1:5" ht="16.5" customHeight="1" thickBot="1">
      <c r="A97" s="533" t="s">
        <v>348</v>
      </c>
      <c r="B97" s="1230" t="s">
        <v>837</v>
      </c>
      <c r="C97" s="1265">
        <f>C98+C99+C100+C101</f>
        <v>0</v>
      </c>
      <c r="D97" s="1265">
        <f>D98+D99+D100+D101</f>
        <v>0</v>
      </c>
      <c r="E97" s="1266">
        <f>E98+E99+E100+E101</f>
        <v>0</v>
      </c>
    </row>
    <row r="98" spans="1:5" ht="13.5" customHeight="1">
      <c r="A98" s="873" t="s">
        <v>349</v>
      </c>
      <c r="B98" s="689" t="s">
        <v>838</v>
      </c>
      <c r="C98" s="1267"/>
      <c r="D98" s="1268"/>
      <c r="E98" s="1258">
        <f>D98+C98+E38+D38+C38</f>
        <v>0</v>
      </c>
    </row>
    <row r="99" spans="1:5" ht="12.75" customHeight="1">
      <c r="A99" s="181" t="s">
        <v>350</v>
      </c>
      <c r="B99" s="901" t="s">
        <v>840</v>
      </c>
      <c r="C99" s="1256"/>
      <c r="D99" s="1257"/>
      <c r="E99" s="1258">
        <f>D99+C99+E39+D39+C39</f>
        <v>0</v>
      </c>
    </row>
    <row r="100" spans="1:5" ht="12.75">
      <c r="A100" s="181" t="s">
        <v>351</v>
      </c>
      <c r="B100" s="903" t="s">
        <v>839</v>
      </c>
      <c r="C100" s="1256"/>
      <c r="D100" s="1257"/>
      <c r="E100" s="1258">
        <f>D100+C100+E40+D40+C40</f>
        <v>0</v>
      </c>
    </row>
    <row r="101" spans="1:5" ht="13.5" thickBot="1">
      <c r="A101" s="728" t="s">
        <v>352</v>
      </c>
      <c r="B101" s="277" t="s">
        <v>841</v>
      </c>
      <c r="C101" s="1262"/>
      <c r="D101" s="1263"/>
      <c r="E101" s="1258">
        <f>D101+C101+E41+D41+C41</f>
        <v>0</v>
      </c>
    </row>
    <row r="102" spans="1:5" ht="18" customHeight="1" thickBot="1">
      <c r="A102" s="533" t="s">
        <v>353</v>
      </c>
      <c r="B102" s="1173" t="s">
        <v>842</v>
      </c>
      <c r="C102" s="1265">
        <f>C103+C104</f>
        <v>0</v>
      </c>
      <c r="D102" s="1265">
        <f>D103+D104</f>
        <v>0</v>
      </c>
      <c r="E102" s="1266">
        <f>E103+E104</f>
        <v>120</v>
      </c>
    </row>
    <row r="103" spans="1:5" ht="12.75">
      <c r="A103" s="873" t="s">
        <v>354</v>
      </c>
      <c r="B103" s="903" t="s">
        <v>884</v>
      </c>
      <c r="C103" s="1267">
        <f>'29 sz. mell'!C85</f>
        <v>0</v>
      </c>
      <c r="D103" s="1268"/>
      <c r="E103" s="1258">
        <f>D103+C103+E43+D43+C43</f>
        <v>120</v>
      </c>
    </row>
    <row r="104" spans="1:5" ht="15" customHeight="1" thickBot="1">
      <c r="A104" s="181" t="s">
        <v>355</v>
      </c>
      <c r="B104" s="1223" t="s">
        <v>885</v>
      </c>
      <c r="C104" s="1256"/>
      <c r="D104" s="1257"/>
      <c r="E104" s="1274">
        <f>SUM(C104:D104)</f>
        <v>0</v>
      </c>
    </row>
    <row r="105" spans="1:5" ht="27" customHeight="1" thickBot="1">
      <c r="A105" s="533" t="s">
        <v>356</v>
      </c>
      <c r="B105" s="1231" t="s">
        <v>916</v>
      </c>
      <c r="C105" s="1252">
        <f>C66+C90</f>
        <v>0</v>
      </c>
      <c r="D105" s="1252">
        <f>D66+D90</f>
        <v>0</v>
      </c>
      <c r="E105" s="1253">
        <f>E66+E90</f>
        <v>7752</v>
      </c>
    </row>
    <row r="106" spans="1:5" ht="13.5" thickBot="1">
      <c r="A106" s="179" t="s">
        <v>357</v>
      </c>
      <c r="B106" s="1173" t="s">
        <v>525</v>
      </c>
      <c r="C106" s="1265">
        <f>SUM(C107:C116)</f>
        <v>0</v>
      </c>
      <c r="D106" s="1265">
        <f>SUM(D107:D116)</f>
        <v>0</v>
      </c>
      <c r="E106" s="1266">
        <f>SUM(E107:E116)</f>
        <v>371787</v>
      </c>
    </row>
    <row r="107" spans="1:5" ht="12.75">
      <c r="A107" s="683" t="s">
        <v>358</v>
      </c>
      <c r="B107" s="276" t="s">
        <v>848</v>
      </c>
      <c r="C107" s="1267"/>
      <c r="D107" s="1268"/>
      <c r="E107" s="1258">
        <f aca="true" t="shared" si="2" ref="E107:E116">D107+C107+E47+D47+C47</f>
        <v>0</v>
      </c>
    </row>
    <row r="108" spans="1:5" ht="12.75">
      <c r="A108" s="181" t="s">
        <v>359</v>
      </c>
      <c r="B108" s="602" t="s">
        <v>847</v>
      </c>
      <c r="C108" s="1256"/>
      <c r="D108" s="1257"/>
      <c r="E108" s="1258">
        <f t="shared" si="2"/>
        <v>0</v>
      </c>
    </row>
    <row r="109" spans="1:5" ht="11.25" customHeight="1">
      <c r="A109" s="181" t="s">
        <v>369</v>
      </c>
      <c r="B109" s="602" t="s">
        <v>849</v>
      </c>
      <c r="C109" s="1256"/>
      <c r="D109" s="1257"/>
      <c r="E109" s="1258">
        <f t="shared" si="2"/>
        <v>0</v>
      </c>
    </row>
    <row r="110" spans="1:5" ht="14.25" customHeight="1">
      <c r="A110" s="181" t="s">
        <v>370</v>
      </c>
      <c r="B110" s="602" t="s">
        <v>850</v>
      </c>
      <c r="C110" s="1256"/>
      <c r="D110" s="1257"/>
      <c r="E110" s="1258">
        <f t="shared" si="2"/>
        <v>0</v>
      </c>
    </row>
    <row r="111" spans="1:5" ht="12.75">
      <c r="A111" s="181" t="s">
        <v>371</v>
      </c>
      <c r="B111" s="843" t="s">
        <v>851</v>
      </c>
      <c r="C111" s="1256"/>
      <c r="D111" s="1257"/>
      <c r="E111" s="1258">
        <f t="shared" si="2"/>
        <v>7286</v>
      </c>
    </row>
    <row r="112" spans="1:5" ht="12.75">
      <c r="A112" s="181" t="s">
        <v>372</v>
      </c>
      <c r="B112" s="844" t="s">
        <v>852</v>
      </c>
      <c r="C112" s="1256"/>
      <c r="D112" s="1257"/>
      <c r="E112" s="1258">
        <f t="shared" si="2"/>
        <v>0</v>
      </c>
    </row>
    <row r="113" spans="1:5" ht="12.75">
      <c r="A113" s="181" t="s">
        <v>373</v>
      </c>
      <c r="B113" s="845" t="s">
        <v>853</v>
      </c>
      <c r="C113" s="1256"/>
      <c r="D113" s="1257"/>
      <c r="E113" s="1258">
        <f t="shared" si="2"/>
        <v>0</v>
      </c>
    </row>
    <row r="114" spans="1:5" ht="12.75" customHeight="1">
      <c r="A114" s="181" t="s">
        <v>374</v>
      </c>
      <c r="B114" s="845" t="s">
        <v>854</v>
      </c>
      <c r="C114" s="1256"/>
      <c r="D114" s="1257"/>
      <c r="E114" s="1258">
        <f t="shared" si="2"/>
        <v>364501</v>
      </c>
    </row>
    <row r="115" spans="1:5" ht="12.75">
      <c r="A115" s="181" t="s">
        <v>375</v>
      </c>
      <c r="B115" s="845" t="s">
        <v>855</v>
      </c>
      <c r="C115" s="1256"/>
      <c r="D115" s="1257"/>
      <c r="E115" s="1258">
        <f t="shared" si="2"/>
        <v>0</v>
      </c>
    </row>
    <row r="116" spans="1:5" ht="13.5" thickBot="1">
      <c r="A116" s="181" t="s">
        <v>376</v>
      </c>
      <c r="B116" s="1244" t="s">
        <v>856</v>
      </c>
      <c r="C116" s="1262"/>
      <c r="D116" s="1263"/>
      <c r="E116" s="1258">
        <f t="shared" si="2"/>
        <v>0</v>
      </c>
    </row>
    <row r="117" spans="1:5" ht="13.5" thickBot="1">
      <c r="A117" s="533" t="s">
        <v>377</v>
      </c>
      <c r="B117" s="140" t="s">
        <v>526</v>
      </c>
      <c r="C117" s="1265">
        <f>C105+C106</f>
        <v>0</v>
      </c>
      <c r="D117" s="1265">
        <f>D105+D106</f>
        <v>0</v>
      </c>
      <c r="E117" s="1266">
        <f>E105+E106</f>
        <v>379539</v>
      </c>
    </row>
    <row r="118" ht="4.5" customHeight="1"/>
    <row r="120" ht="6.75" customHeight="1"/>
    <row r="127" ht="60" customHeight="1"/>
  </sheetData>
  <sheetProtection/>
  <mergeCells count="3">
    <mergeCell ref="B2:E2"/>
    <mergeCell ref="B62:E62"/>
    <mergeCell ref="A60:E6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84" t="s">
        <v>1435</v>
      </c>
      <c r="B1" s="384"/>
      <c r="C1" s="384"/>
      <c r="D1" s="384"/>
      <c r="E1" s="384"/>
    </row>
    <row r="2" spans="2:3" ht="12.75">
      <c r="B2" s="1"/>
      <c r="C2" s="41"/>
    </row>
    <row r="3" spans="2:3" ht="15.75">
      <c r="B3" s="1710" t="s">
        <v>56</v>
      </c>
      <c r="C3" s="1710"/>
    </row>
    <row r="4" spans="2:3" ht="15.75">
      <c r="B4" s="1710" t="s">
        <v>57</v>
      </c>
      <c r="C4" s="1710"/>
    </row>
    <row r="5" spans="2:3" ht="15.75">
      <c r="B5" s="1710" t="s">
        <v>604</v>
      </c>
      <c r="C5" s="1710"/>
    </row>
    <row r="6" spans="2:3" ht="12.75">
      <c r="B6" s="1"/>
      <c r="C6" s="43" t="s">
        <v>4</v>
      </c>
    </row>
    <row r="7" spans="2:3" ht="13.5" thickBot="1">
      <c r="B7" s="1"/>
      <c r="C7" s="43"/>
    </row>
    <row r="8" spans="1:3" ht="26.25" thickBot="1">
      <c r="A8" s="447" t="s">
        <v>311</v>
      </c>
      <c r="B8" s="489" t="s">
        <v>58</v>
      </c>
      <c r="C8" s="490" t="s">
        <v>1068</v>
      </c>
    </row>
    <row r="9" spans="1:3" ht="13.5" thickBot="1">
      <c r="A9" s="486" t="s">
        <v>312</v>
      </c>
      <c r="B9" s="463" t="s">
        <v>313</v>
      </c>
      <c r="C9" s="469" t="s">
        <v>314</v>
      </c>
    </row>
    <row r="10" spans="1:3" ht="12.75" customHeight="1" thickBot="1">
      <c r="A10" s="408" t="s">
        <v>316</v>
      </c>
      <c r="B10" s="769" t="s">
        <v>24</v>
      </c>
      <c r="C10" s="1521"/>
    </row>
    <row r="11" spans="1:3" ht="12.75" customHeight="1">
      <c r="A11" s="765" t="s">
        <v>317</v>
      </c>
      <c r="B11" s="770" t="s">
        <v>9</v>
      </c>
      <c r="C11" s="1522"/>
    </row>
    <row r="12" spans="1:3" ht="12.75" customHeight="1">
      <c r="A12" s="766" t="s">
        <v>318</v>
      </c>
      <c r="B12" s="771"/>
      <c r="C12" s="1522"/>
    </row>
    <row r="13" spans="1:3" ht="12.75" customHeight="1">
      <c r="A13" s="766" t="s">
        <v>319</v>
      </c>
      <c r="B13" s="770" t="s">
        <v>457</v>
      </c>
      <c r="C13" s="1523">
        <f>SUM(C11:C12)</f>
        <v>0</v>
      </c>
    </row>
    <row r="14" spans="1:3" ht="12.75" customHeight="1">
      <c r="A14" s="766" t="s">
        <v>320</v>
      </c>
      <c r="B14" s="810" t="s">
        <v>73</v>
      </c>
      <c r="C14" s="1522"/>
    </row>
    <row r="15" spans="1:3" ht="12.75" customHeight="1">
      <c r="A15" s="767"/>
      <c r="B15" s="809"/>
      <c r="C15" s="1521"/>
    </row>
    <row r="16" spans="1:3" s="7" customFormat="1" ht="12.75" customHeight="1" thickBot="1">
      <c r="A16" s="767" t="s">
        <v>321</v>
      </c>
      <c r="B16" s="770" t="s">
        <v>492</v>
      </c>
      <c r="C16" s="1524">
        <f>SUM(C14:C15)</f>
        <v>0</v>
      </c>
    </row>
    <row r="17" spans="1:3" s="7" customFormat="1" ht="12.75" customHeight="1" thickBot="1">
      <c r="A17" s="408" t="s">
        <v>322</v>
      </c>
      <c r="B17" s="772"/>
      <c r="C17" s="1525"/>
    </row>
    <row r="18" spans="1:3" s="17" customFormat="1" ht="12.75" customHeight="1" thickBot="1">
      <c r="A18" s="395" t="s">
        <v>323</v>
      </c>
      <c r="B18" s="768" t="s">
        <v>40</v>
      </c>
      <c r="C18" s="1526">
        <f>C16+C13</f>
        <v>0</v>
      </c>
    </row>
    <row r="19" spans="1:3" s="17" customFormat="1" ht="12.75" customHeight="1">
      <c r="A19" s="492" t="s">
        <v>324</v>
      </c>
      <c r="B19" s="491"/>
      <c r="C19" s="1527"/>
    </row>
    <row r="20" spans="1:3" ht="12.75" customHeight="1" thickBot="1">
      <c r="A20" s="450" t="s">
        <v>326</v>
      </c>
      <c r="B20" s="48"/>
      <c r="C20" s="1528"/>
    </row>
    <row r="21" spans="1:3" ht="12.75" customHeight="1" thickBot="1">
      <c r="A21" s="395" t="s">
        <v>327</v>
      </c>
      <c r="B21" s="758" t="s">
        <v>493</v>
      </c>
      <c r="C21" s="1529">
        <f>SUM(C19:C20)</f>
        <v>0</v>
      </c>
    </row>
    <row r="22" spans="1:3" ht="12.75" customHeight="1">
      <c r="A22" s="372" t="s">
        <v>328</v>
      </c>
      <c r="B22" s="1099" t="s">
        <v>721</v>
      </c>
      <c r="C22" s="1532"/>
    </row>
    <row r="23" spans="1:3" ht="12.75" customHeight="1">
      <c r="A23" s="372" t="s">
        <v>329</v>
      </c>
      <c r="B23" s="1015" t="s">
        <v>1138</v>
      </c>
      <c r="C23" s="1533">
        <f>9000-2155</f>
        <v>6845</v>
      </c>
    </row>
    <row r="24" spans="1:3" ht="12.75" customHeight="1">
      <c r="A24" s="372" t="s">
        <v>330</v>
      </c>
      <c r="B24" s="1014" t="s">
        <v>1151</v>
      </c>
      <c r="C24" s="1534">
        <f>75000-9845+8746</f>
        <v>73901</v>
      </c>
    </row>
    <row r="25" spans="1:3" ht="12.75" customHeight="1">
      <c r="A25" s="372" t="s">
        <v>331</v>
      </c>
      <c r="B25" s="1014" t="s">
        <v>1234</v>
      </c>
      <c r="C25" s="1534">
        <v>0</v>
      </c>
    </row>
    <row r="26" spans="1:3" ht="12.75" customHeight="1">
      <c r="A26" s="372" t="s">
        <v>332</v>
      </c>
      <c r="B26" s="1014" t="s">
        <v>1275</v>
      </c>
      <c r="C26" s="1534">
        <v>11000</v>
      </c>
    </row>
    <row r="27" spans="1:3" ht="12.75" customHeight="1">
      <c r="A27" s="372" t="s">
        <v>333</v>
      </c>
      <c r="B27" s="760" t="s">
        <v>59</v>
      </c>
      <c r="C27" s="1535">
        <f>SUM(C23:C26)</f>
        <v>91746</v>
      </c>
    </row>
    <row r="28" spans="1:3" ht="12.75" customHeight="1">
      <c r="A28" s="372" t="s">
        <v>334</v>
      </c>
      <c r="B28" s="760"/>
      <c r="C28" s="1535"/>
    </row>
    <row r="29" spans="1:3" ht="12.75" customHeight="1">
      <c r="A29" s="372" t="s">
        <v>336</v>
      </c>
      <c r="B29" s="759" t="s">
        <v>1278</v>
      </c>
      <c r="C29" s="1534">
        <v>7496</v>
      </c>
    </row>
    <row r="30" spans="1:3" ht="12.75" customHeight="1">
      <c r="A30" s="372" t="s">
        <v>337</v>
      </c>
      <c r="B30" s="759" t="s">
        <v>1233</v>
      </c>
      <c r="C30" s="1534">
        <v>2337</v>
      </c>
    </row>
    <row r="31" spans="1:3" ht="12.75" customHeight="1">
      <c r="A31" s="372" t="s">
        <v>338</v>
      </c>
      <c r="B31" s="759" t="s">
        <v>1139</v>
      </c>
      <c r="C31" s="1534">
        <v>1000</v>
      </c>
    </row>
    <row r="32" spans="1:3" ht="12.75" customHeight="1">
      <c r="A32" s="372" t="s">
        <v>339</v>
      </c>
      <c r="B32" s="759" t="s">
        <v>1140</v>
      </c>
      <c r="C32" s="1534">
        <v>5000</v>
      </c>
    </row>
    <row r="33" spans="1:3" s="17" customFormat="1" ht="12.75" customHeight="1">
      <c r="A33" s="372" t="s">
        <v>340</v>
      </c>
      <c r="B33" s="760" t="s">
        <v>60</v>
      </c>
      <c r="C33" s="1536">
        <f>SUM(C29:C32)</f>
        <v>15833</v>
      </c>
    </row>
    <row r="34" spans="1:3" s="17" customFormat="1" ht="12.75" customHeight="1">
      <c r="A34" s="372" t="s">
        <v>341</v>
      </c>
      <c r="B34" s="1530"/>
      <c r="C34" s="1536"/>
    </row>
    <row r="35" spans="1:3" s="17" customFormat="1" ht="12.75" customHeight="1">
      <c r="A35" s="372" t="s">
        <v>342</v>
      </c>
      <c r="B35" s="1099" t="s">
        <v>721</v>
      </c>
      <c r="C35" s="1536"/>
    </row>
    <row r="36" spans="1:3" ht="12.75" customHeight="1">
      <c r="A36" s="372" t="s">
        <v>343</v>
      </c>
      <c r="B36" s="759" t="s">
        <v>722</v>
      </c>
      <c r="C36" s="1534">
        <v>55923</v>
      </c>
    </row>
    <row r="37" spans="1:3" ht="12.75" customHeight="1">
      <c r="A37" s="372" t="s">
        <v>344</v>
      </c>
      <c r="B37" s="760" t="s">
        <v>1366</v>
      </c>
      <c r="C37" s="1534"/>
    </row>
    <row r="38" spans="1:3" ht="12.75" customHeight="1">
      <c r="A38" s="372" t="s">
        <v>345</v>
      </c>
      <c r="B38" s="759" t="s">
        <v>1367</v>
      </c>
      <c r="C38" s="1534">
        <v>13301</v>
      </c>
    </row>
    <row r="39" spans="1:3" s="17" customFormat="1" ht="12.75" customHeight="1">
      <c r="A39" s="372" t="s">
        <v>346</v>
      </c>
      <c r="B39" s="760" t="s">
        <v>61</v>
      </c>
      <c r="C39" s="1535">
        <f>SUM(C36:C38)</f>
        <v>69224</v>
      </c>
    </row>
    <row r="40" spans="1:3" s="17" customFormat="1" ht="12.75" customHeight="1">
      <c r="A40" s="372" t="s">
        <v>347</v>
      </c>
      <c r="B40" s="759"/>
      <c r="C40" s="1534"/>
    </row>
    <row r="41" spans="1:3" s="17" customFormat="1" ht="12.75" customHeight="1">
      <c r="A41" s="372" t="s">
        <v>348</v>
      </c>
      <c r="B41" s="759" t="s">
        <v>1180</v>
      </c>
      <c r="C41" s="1534">
        <v>915</v>
      </c>
    </row>
    <row r="42" spans="1:3" s="17" customFormat="1" ht="12.75" customHeight="1">
      <c r="A42" s="372" t="s">
        <v>349</v>
      </c>
      <c r="B42" s="1520" t="s">
        <v>454</v>
      </c>
      <c r="C42" s="1535">
        <f>SUM(C41)</f>
        <v>915</v>
      </c>
    </row>
    <row r="43" spans="1:3" s="17" customFormat="1" ht="12.75" customHeight="1">
      <c r="A43" s="372" t="s">
        <v>350</v>
      </c>
      <c r="B43" s="1531"/>
      <c r="C43" s="1639"/>
    </row>
    <row r="44" spans="1:3" s="17" customFormat="1" ht="12.75" customHeight="1">
      <c r="A44" s="372" t="s">
        <v>351</v>
      </c>
      <c r="B44" s="1099" t="s">
        <v>1368</v>
      </c>
      <c r="C44" s="1537"/>
    </row>
    <row r="45" spans="1:3" s="17" customFormat="1" ht="12.75" customHeight="1">
      <c r="A45" s="372" t="s">
        <v>352</v>
      </c>
      <c r="B45" s="1637" t="s">
        <v>1369</v>
      </c>
      <c r="C45" s="1537">
        <v>362</v>
      </c>
    </row>
    <row r="46" spans="1:3" s="17" customFormat="1" ht="12.75" customHeight="1">
      <c r="A46" s="372" t="s">
        <v>353</v>
      </c>
      <c r="B46" s="1099" t="s">
        <v>1370</v>
      </c>
      <c r="C46" s="1640">
        <f>SUM(C45)</f>
        <v>362</v>
      </c>
    </row>
    <row r="47" spans="1:3" s="17" customFormat="1" ht="12.75" customHeight="1">
      <c r="A47" s="372" t="s">
        <v>354</v>
      </c>
      <c r="B47" s="1637"/>
      <c r="C47" s="1638"/>
    </row>
    <row r="48" spans="1:3" s="17" customFormat="1" ht="12.75" customHeight="1">
      <c r="A48" s="372" t="s">
        <v>355</v>
      </c>
      <c r="B48" s="1099" t="s">
        <v>721</v>
      </c>
      <c r="C48" s="1537"/>
    </row>
    <row r="49" spans="1:3" s="17" customFormat="1" ht="12.75" customHeight="1">
      <c r="A49" s="372" t="s">
        <v>356</v>
      </c>
      <c r="B49" s="364" t="s">
        <v>1158</v>
      </c>
      <c r="C49" s="1367">
        <v>11020</v>
      </c>
    </row>
    <row r="50" spans="1:3" s="17" customFormat="1" ht="12.75" customHeight="1">
      <c r="A50" s="372" t="s">
        <v>357</v>
      </c>
      <c r="B50" s="1531" t="s">
        <v>1188</v>
      </c>
      <c r="C50" s="1537">
        <v>1556</v>
      </c>
    </row>
    <row r="51" spans="1:3" s="17" customFormat="1" ht="12.75" customHeight="1" thickBot="1">
      <c r="A51" s="372" t="s">
        <v>358</v>
      </c>
      <c r="B51" s="190" t="s">
        <v>456</v>
      </c>
      <c r="C51" s="1538">
        <f>SUM(C49:C50)</f>
        <v>12576</v>
      </c>
    </row>
    <row r="52" spans="1:3" ht="12.75" customHeight="1" thickBot="1">
      <c r="A52" s="372" t="s">
        <v>359</v>
      </c>
      <c r="B52" s="494" t="s">
        <v>25</v>
      </c>
      <c r="C52" s="1539">
        <f>C27+C33+C39+C42+C51+C46</f>
        <v>190656</v>
      </c>
    </row>
    <row r="53" spans="1:3" ht="12.75" customHeight="1" thickBot="1">
      <c r="A53" s="604" t="s">
        <v>369</v>
      </c>
      <c r="B53" s="761"/>
      <c r="C53" s="1540"/>
    </row>
    <row r="54" spans="1:3" ht="12.75" customHeight="1" thickBot="1">
      <c r="A54" s="395" t="s">
        <v>370</v>
      </c>
      <c r="B54" s="551" t="s">
        <v>406</v>
      </c>
      <c r="C54" s="1541">
        <f>SUM(C18+C52+C21)</f>
        <v>190656</v>
      </c>
    </row>
    <row r="55" spans="2:3" ht="15.75">
      <c r="B55" s="49"/>
      <c r="C55" s="50"/>
    </row>
    <row r="56" spans="2:3" ht="15.75">
      <c r="B56" s="49"/>
      <c r="C56" s="50"/>
    </row>
  </sheetData>
  <sheetProtection/>
  <mergeCells count="3">
    <mergeCell ref="B3:C3"/>
    <mergeCell ref="B4:C4"/>
    <mergeCell ref="B5:C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54" t="s">
        <v>1405</v>
      </c>
      <c r="B1" s="1654"/>
      <c r="C1" s="1654"/>
      <c r="D1" s="1654"/>
      <c r="E1" s="1654"/>
    </row>
    <row r="2" spans="1:5" ht="12.75">
      <c r="A2" s="384"/>
      <c r="B2" s="384"/>
      <c r="C2" s="384"/>
      <c r="D2" s="384"/>
      <c r="E2" s="384"/>
    </row>
    <row r="3" spans="2:6" ht="15.75">
      <c r="B3" s="1674" t="s">
        <v>1065</v>
      </c>
      <c r="C3" s="1674"/>
      <c r="D3" s="1674"/>
      <c r="E3" s="1674"/>
      <c r="F3" s="1675"/>
    </row>
    <row r="4" spans="2:6" ht="15.75">
      <c r="B4" s="21"/>
      <c r="C4" s="21"/>
      <c r="D4" s="21"/>
      <c r="E4" s="21"/>
      <c r="F4" s="13"/>
    </row>
    <row r="5" spans="2:6" ht="12.75" customHeight="1" thickBot="1">
      <c r="B5" s="113"/>
      <c r="C5" s="20"/>
      <c r="D5" s="1"/>
      <c r="E5" s="22"/>
      <c r="F5" s="22" t="s">
        <v>4</v>
      </c>
    </row>
    <row r="6" spans="1:6" ht="12.75">
      <c r="A6" s="1665" t="s">
        <v>311</v>
      </c>
      <c r="B6" s="1672" t="s">
        <v>13</v>
      </c>
      <c r="C6" s="1667" t="s">
        <v>405</v>
      </c>
      <c r="D6" s="1669" t="s">
        <v>408</v>
      </c>
      <c r="E6" s="1669" t="s">
        <v>464</v>
      </c>
      <c r="F6" s="1663" t="s">
        <v>406</v>
      </c>
    </row>
    <row r="7" spans="1:6" ht="27" customHeight="1" thickBot="1">
      <c r="A7" s="1666"/>
      <c r="B7" s="1673"/>
      <c r="C7" s="1668"/>
      <c r="D7" s="1670"/>
      <c r="E7" s="1671"/>
      <c r="F7" s="1664"/>
    </row>
    <row r="8" spans="1:6" s="294" customFormat="1" ht="9.75" customHeight="1">
      <c r="A8" s="611" t="s">
        <v>312</v>
      </c>
      <c r="B8" s="612" t="s">
        <v>313</v>
      </c>
      <c r="C8" s="613" t="s">
        <v>314</v>
      </c>
      <c r="D8" s="614" t="s">
        <v>315</v>
      </c>
      <c r="E8" s="851" t="s">
        <v>335</v>
      </c>
      <c r="F8" s="851" t="s">
        <v>360</v>
      </c>
    </row>
    <row r="9" spans="1:6" ht="12.75">
      <c r="A9" s="372" t="s">
        <v>316</v>
      </c>
      <c r="B9" s="379" t="s">
        <v>256</v>
      </c>
      <c r="C9" s="27"/>
      <c r="D9" s="36"/>
      <c r="E9" s="852"/>
      <c r="F9" s="151"/>
    </row>
    <row r="10" spans="1:6" ht="12.75">
      <c r="A10" s="371" t="s">
        <v>317</v>
      </c>
      <c r="B10" s="199" t="s">
        <v>681</v>
      </c>
      <c r="C10" s="8">
        <f>3_sz_melléklet!F9</f>
        <v>654069</v>
      </c>
      <c r="D10" s="31">
        <f>'4_sz_ melléklet'!E601</f>
        <v>215854</v>
      </c>
      <c r="E10" s="182">
        <f>5_sz_melléklet!E125</f>
        <v>260318</v>
      </c>
      <c r="F10" s="151">
        <f>E10+D10+C10</f>
        <v>1130241</v>
      </c>
    </row>
    <row r="11" spans="1:6" ht="12.75">
      <c r="A11" s="371" t="s">
        <v>318</v>
      </c>
      <c r="B11" s="228" t="s">
        <v>683</v>
      </c>
      <c r="C11" s="8">
        <f>3_sz_melléklet!F10</f>
        <v>185983</v>
      </c>
      <c r="D11" s="31">
        <f>'4_sz_ melléklet'!E602</f>
        <v>36729</v>
      </c>
      <c r="E11" s="182">
        <f>5_sz_melléklet!E126</f>
        <v>76765</v>
      </c>
      <c r="F11" s="151">
        <f>E11+D11+C11</f>
        <v>299477</v>
      </c>
    </row>
    <row r="12" spans="1:6" ht="12.75" customHeight="1">
      <c r="A12" s="371" t="s">
        <v>319</v>
      </c>
      <c r="B12" s="228" t="s">
        <v>682</v>
      </c>
      <c r="C12" s="8">
        <f>3_sz_melléklet!F11</f>
        <v>471952</v>
      </c>
      <c r="D12" s="31">
        <f>'4_sz_ melléklet'!E603</f>
        <v>588270.74</v>
      </c>
      <c r="E12" s="182">
        <f>5_sz_melléklet!E127</f>
        <v>39960</v>
      </c>
      <c r="F12" s="151">
        <f>E12+D12+C12</f>
        <v>1100182.74</v>
      </c>
    </row>
    <row r="13" spans="1:6" ht="12.75">
      <c r="A13" s="371" t="s">
        <v>320</v>
      </c>
      <c r="B13" s="228" t="s">
        <v>684</v>
      </c>
      <c r="C13" s="8">
        <f>3_sz_melléklet!F12</f>
        <v>0</v>
      </c>
      <c r="D13" s="31">
        <f>'4_sz_ melléklet'!E604</f>
        <v>0</v>
      </c>
      <c r="E13" s="182">
        <f>5_sz_melléklet!E128</f>
        <v>0</v>
      </c>
      <c r="F13" s="151">
        <f>E13+D13+C13</f>
        <v>0</v>
      </c>
    </row>
    <row r="14" spans="1:6" ht="12.75">
      <c r="A14" s="371" t="s">
        <v>321</v>
      </c>
      <c r="B14" s="228" t="s">
        <v>685</v>
      </c>
      <c r="C14" s="8">
        <f>3_sz_melléklet!F13</f>
        <v>0</v>
      </c>
      <c r="D14" s="31">
        <f>'4_sz_ melléklet'!E605</f>
        <v>2463</v>
      </c>
      <c r="E14" s="182">
        <f>5_sz_melléklet!E129</f>
        <v>0</v>
      </c>
      <c r="F14" s="151">
        <f>E14+D14+C14</f>
        <v>2463</v>
      </c>
    </row>
    <row r="15" spans="1:6" ht="12.75">
      <c r="A15" s="371" t="s">
        <v>322</v>
      </c>
      <c r="B15" s="228" t="s">
        <v>686</v>
      </c>
      <c r="C15" s="8">
        <f>C16+C17+C18+C19+C20+C21+C22</f>
        <v>13938</v>
      </c>
      <c r="D15" s="8">
        <f>D16+D17+D18+D19+D20+D21+D22</f>
        <v>1583898</v>
      </c>
      <c r="E15" s="182">
        <f>5_sz_melléklet!E130</f>
        <v>64</v>
      </c>
      <c r="F15" s="8">
        <f>F16+F17+F18+F19+F20+F21+F22</f>
        <v>1597900</v>
      </c>
    </row>
    <row r="16" spans="1:6" ht="12.75">
      <c r="A16" s="371" t="s">
        <v>323</v>
      </c>
      <c r="B16" s="228" t="s">
        <v>690</v>
      </c>
      <c r="C16" s="8">
        <f>3_sz_melléklet!F15</f>
        <v>13938</v>
      </c>
      <c r="D16" s="31">
        <f>'4_sz_ melléklet'!E607</f>
        <v>255521</v>
      </c>
      <c r="E16" s="182">
        <f>5_sz_melléklet!E131</f>
        <v>0</v>
      </c>
      <c r="F16" s="151">
        <f aca="true" t="shared" si="0" ref="F16:F22">SUM(C16:E16)</f>
        <v>269459</v>
      </c>
    </row>
    <row r="17" spans="1:6" ht="12.75">
      <c r="A17" s="371" t="s">
        <v>324</v>
      </c>
      <c r="B17" s="228" t="s">
        <v>691</v>
      </c>
      <c r="C17" s="8">
        <f>3_sz_melléklet!F16</f>
        <v>0</v>
      </c>
      <c r="D17" s="31">
        <f>'4_sz_ melléklet'!E608</f>
        <v>0</v>
      </c>
      <c r="E17" s="182">
        <f>5_sz_melléklet!E132</f>
        <v>0</v>
      </c>
      <c r="F17" s="151">
        <f t="shared" si="0"/>
        <v>0</v>
      </c>
    </row>
    <row r="18" spans="1:6" ht="12.75">
      <c r="A18" s="371" t="s">
        <v>325</v>
      </c>
      <c r="B18" s="228" t="s">
        <v>692</v>
      </c>
      <c r="C18" s="8">
        <f>3_sz_melléklet!F17</f>
        <v>0</v>
      </c>
      <c r="D18" s="31">
        <f>'4_sz_ melléklet'!E609</f>
        <v>0</v>
      </c>
      <c r="E18" s="182">
        <f>5_sz_melléklet!E133</f>
        <v>0</v>
      </c>
      <c r="F18" s="151">
        <f t="shared" si="0"/>
        <v>0</v>
      </c>
    </row>
    <row r="19" spans="1:6" ht="12.75">
      <c r="A19" s="371" t="s">
        <v>326</v>
      </c>
      <c r="B19" s="380" t="s">
        <v>688</v>
      </c>
      <c r="C19" s="8">
        <f>3_sz_melléklet!F18</f>
        <v>0</v>
      </c>
      <c r="D19" s="31">
        <f>'4_sz_ melléklet'!E610</f>
        <v>531457</v>
      </c>
      <c r="E19" s="182">
        <f>5_sz_melléklet!E134</f>
        <v>64</v>
      </c>
      <c r="F19" s="151">
        <f t="shared" si="0"/>
        <v>531521</v>
      </c>
    </row>
    <row r="20" spans="1:6" ht="12.75">
      <c r="A20" s="371" t="s">
        <v>327</v>
      </c>
      <c r="B20" s="834" t="s">
        <v>689</v>
      </c>
      <c r="C20" s="8">
        <f>3_sz_melléklet!F19</f>
        <v>0</v>
      </c>
      <c r="D20" s="31">
        <f>'4_sz_ melléklet'!E611</f>
        <v>0</v>
      </c>
      <c r="E20" s="182">
        <f>5_sz_melléklet!E135</f>
        <v>0</v>
      </c>
      <c r="F20" s="151">
        <f t="shared" si="0"/>
        <v>0</v>
      </c>
    </row>
    <row r="21" spans="1:6" ht="12.75">
      <c r="A21" s="371" t="s">
        <v>328</v>
      </c>
      <c r="B21" s="835" t="s">
        <v>687</v>
      </c>
      <c r="C21" s="8">
        <f>3_sz_melléklet!F20</f>
        <v>0</v>
      </c>
      <c r="D21" s="31">
        <f>'4_sz_ melléklet'!E612</f>
        <v>796777</v>
      </c>
      <c r="E21" s="182">
        <f>5_sz_melléklet!E136</f>
        <v>0</v>
      </c>
      <c r="F21" s="151">
        <f t="shared" si="0"/>
        <v>796777</v>
      </c>
    </row>
    <row r="22" spans="1:6" ht="12.75">
      <c r="A22" s="371" t="s">
        <v>329</v>
      </c>
      <c r="B22" s="309" t="s">
        <v>957</v>
      </c>
      <c r="C22" s="8"/>
      <c r="D22" s="31">
        <f>'4_sz_ melléklet'!E613</f>
        <v>143</v>
      </c>
      <c r="E22" s="182">
        <f>5_sz_melléklet!E137</f>
        <v>0</v>
      </c>
      <c r="F22" s="151">
        <f t="shared" si="0"/>
        <v>143</v>
      </c>
    </row>
    <row r="23" spans="1:6" ht="13.5" thickBot="1">
      <c r="A23" s="371" t="s">
        <v>330</v>
      </c>
      <c r="B23" s="230" t="s">
        <v>694</v>
      </c>
      <c r="C23" s="8">
        <f>3_sz_melléklet!F22</f>
        <v>0</v>
      </c>
      <c r="D23" s="31">
        <f>'4_sz_ melléklet'!E614</f>
        <v>123501</v>
      </c>
      <c r="E23" s="182">
        <f>5_sz_melléklet!E138</f>
        <v>0</v>
      </c>
      <c r="F23" s="151">
        <f>E23+D23+C23</f>
        <v>123501</v>
      </c>
    </row>
    <row r="24" spans="1:6" ht="13.5" thickBot="1">
      <c r="A24" s="615" t="s">
        <v>331</v>
      </c>
      <c r="B24" s="616" t="s">
        <v>6</v>
      </c>
      <c r="C24" s="617">
        <f>C10+C11+C12+C13+C15+C23</f>
        <v>1325942</v>
      </c>
      <c r="D24" s="618">
        <f>D10+D11+D12+D13+D15+D23</f>
        <v>2548252.74</v>
      </c>
      <c r="E24" s="630">
        <f>E10+E11+E12+E13+E15+E23</f>
        <v>377107</v>
      </c>
      <c r="F24" s="630">
        <f>SUM(C24:E24)</f>
        <v>4251301.74</v>
      </c>
    </row>
    <row r="25" spans="1:6" ht="13.5" thickTop="1">
      <c r="A25" s="604"/>
      <c r="B25" s="379"/>
      <c r="C25" s="847"/>
      <c r="D25" s="828"/>
      <c r="E25" s="272"/>
      <c r="F25" s="159"/>
    </row>
    <row r="26" spans="1:6" ht="12.75">
      <c r="A26" s="372" t="s">
        <v>332</v>
      </c>
      <c r="B26" s="381" t="s">
        <v>257</v>
      </c>
      <c r="C26" s="24"/>
      <c r="D26" s="29"/>
      <c r="E26" s="443"/>
      <c r="F26" s="154"/>
    </row>
    <row r="27" spans="1:6" ht="12.75">
      <c r="A27" s="372" t="s">
        <v>333</v>
      </c>
      <c r="B27" s="228" t="s">
        <v>695</v>
      </c>
      <c r="C27" s="24">
        <f>3_sz_melléklet!F26</f>
        <v>9490</v>
      </c>
      <c r="D27" s="31">
        <f>'4_sz_ melléklet'!E618</f>
        <v>1104241</v>
      </c>
      <c r="E27" s="182">
        <f>5_sz_melléklet!E142</f>
        <v>32</v>
      </c>
      <c r="F27" s="151">
        <f>E27+D27+C27</f>
        <v>1113763</v>
      </c>
    </row>
    <row r="28" spans="1:6" ht="12.75">
      <c r="A28" s="372" t="s">
        <v>334</v>
      </c>
      <c r="B28" s="228" t="s">
        <v>696</v>
      </c>
      <c r="C28" s="24">
        <f>3_sz_melléklet!F27</f>
        <v>0</v>
      </c>
      <c r="D28" s="31">
        <f>'4_sz_ melléklet'!E619</f>
        <v>190656</v>
      </c>
      <c r="E28" s="182">
        <f>5_sz_melléklet!E143</f>
        <v>0</v>
      </c>
      <c r="F28" s="151">
        <f aca="true" t="shared" si="1" ref="F28:F35">E28+D28+C28</f>
        <v>190656</v>
      </c>
    </row>
    <row r="29" spans="1:6" ht="12.75">
      <c r="A29" s="372" t="s">
        <v>336</v>
      </c>
      <c r="B29" s="228" t="s">
        <v>697</v>
      </c>
      <c r="C29" s="24">
        <f>3_sz_melléklet!F28</f>
        <v>0</v>
      </c>
      <c r="D29" s="31">
        <f>D30+D31+D32+D33+D34+D35+D36</f>
        <v>191205</v>
      </c>
      <c r="E29" s="182">
        <f>5_sz_melléklet!E144</f>
        <v>2400</v>
      </c>
      <c r="F29" s="182">
        <f>F30+F31+F32+F33+F34+F35+F36</f>
        <v>193605</v>
      </c>
    </row>
    <row r="30" spans="1:6" ht="12.75">
      <c r="A30" s="372" t="s">
        <v>337</v>
      </c>
      <c r="B30" s="380" t="s">
        <v>698</v>
      </c>
      <c r="C30" s="24">
        <f>3_sz_melléklet!F29</f>
        <v>0</v>
      </c>
      <c r="D30" s="31">
        <f>'4_sz_ melléklet'!E621</f>
        <v>0</v>
      </c>
      <c r="E30" s="182">
        <f>5_sz_melléklet!E145</f>
        <v>0</v>
      </c>
      <c r="F30" s="151">
        <f t="shared" si="1"/>
        <v>0</v>
      </c>
    </row>
    <row r="31" spans="1:6" ht="12.75">
      <c r="A31" s="372" t="s">
        <v>338</v>
      </c>
      <c r="B31" s="380" t="s">
        <v>699</v>
      </c>
      <c r="C31" s="24"/>
      <c r="D31" s="31">
        <f>'4_sz_ melléklet'!E622</f>
        <v>0</v>
      </c>
      <c r="E31" s="182">
        <f>5_sz_melléklet!E146</f>
        <v>0</v>
      </c>
      <c r="F31" s="151">
        <f t="shared" si="1"/>
        <v>0</v>
      </c>
    </row>
    <row r="32" spans="1:6" ht="12.75">
      <c r="A32" s="372" t="s">
        <v>339</v>
      </c>
      <c r="B32" s="380" t="s">
        <v>700</v>
      </c>
      <c r="C32" s="24"/>
      <c r="D32" s="31">
        <f>'4_sz_ melléklet'!E623</f>
        <v>0</v>
      </c>
      <c r="E32" s="182">
        <f>5_sz_melléklet!E147</f>
        <v>0</v>
      </c>
      <c r="F32" s="151">
        <f t="shared" si="1"/>
        <v>0</v>
      </c>
    </row>
    <row r="33" spans="1:6" ht="12.75">
      <c r="A33" s="372" t="s">
        <v>340</v>
      </c>
      <c r="B33" s="380" t="s">
        <v>701</v>
      </c>
      <c r="C33" s="24">
        <f>3_sz_melléklet!F30</f>
        <v>0</v>
      </c>
      <c r="D33" s="31">
        <f>'4_sz_ melléklet'!E624</f>
        <v>154682</v>
      </c>
      <c r="E33" s="182">
        <f>5_sz_melléklet!E148</f>
        <v>0</v>
      </c>
      <c r="F33" s="151">
        <f t="shared" si="1"/>
        <v>154682</v>
      </c>
    </row>
    <row r="34" spans="1:6" ht="12.75">
      <c r="A34" s="372" t="s">
        <v>341</v>
      </c>
      <c r="B34" s="834" t="s">
        <v>702</v>
      </c>
      <c r="C34" s="24"/>
      <c r="D34" s="31">
        <f>'4_sz_ melléklet'!E625</f>
        <v>32323</v>
      </c>
      <c r="E34" s="182">
        <f>5_sz_melléklet!E149</f>
        <v>2400</v>
      </c>
      <c r="F34" s="151">
        <f t="shared" si="1"/>
        <v>34723</v>
      </c>
    </row>
    <row r="35" spans="1:6" ht="12.75">
      <c r="A35" s="372" t="s">
        <v>342</v>
      </c>
      <c r="B35" s="309" t="s">
        <v>703</v>
      </c>
      <c r="C35" s="24"/>
      <c r="D35" s="31">
        <f>'4_sz_ melléklet'!E626</f>
        <v>4200</v>
      </c>
      <c r="E35" s="182">
        <f>5_sz_melléklet!E150</f>
        <v>0</v>
      </c>
      <c r="F35" s="151">
        <f t="shared" si="1"/>
        <v>4200</v>
      </c>
    </row>
    <row r="36" spans="1:6" ht="12.75">
      <c r="A36" s="372" t="s">
        <v>343</v>
      </c>
      <c r="B36" s="1091" t="s">
        <v>704</v>
      </c>
      <c r="C36" s="24">
        <f>-C13</f>
        <v>0</v>
      </c>
      <c r="D36" s="247">
        <f>-D13</f>
        <v>0</v>
      </c>
      <c r="E36" s="182">
        <f>5_sz_melléklet!E151</f>
        <v>0</v>
      </c>
      <c r="F36" s="270">
        <f>-F13</f>
        <v>0</v>
      </c>
    </row>
    <row r="37" spans="1:6" ht="12.75" customHeight="1">
      <c r="A37" s="372" t="s">
        <v>344</v>
      </c>
      <c r="B37" s="228"/>
      <c r="C37" s="24"/>
      <c r="D37" s="31"/>
      <c r="E37" s="182">
        <f>5_sz_melléklet!E152</f>
        <v>0</v>
      </c>
      <c r="F37" s="151"/>
    </row>
    <row r="38" spans="1:6" ht="13.5" thickBot="1">
      <c r="A38" s="372" t="s">
        <v>345</v>
      </c>
      <c r="B38" s="230"/>
      <c r="C38" s="24"/>
      <c r="D38" s="31"/>
      <c r="E38" s="182">
        <f>5_sz_melléklet!E153</f>
        <v>0</v>
      </c>
      <c r="F38" s="325"/>
    </row>
    <row r="39" spans="1:6" ht="13.5" thickBot="1">
      <c r="A39" s="615" t="s">
        <v>346</v>
      </c>
      <c r="B39" s="616" t="s">
        <v>7</v>
      </c>
      <c r="C39" s="617">
        <f>SUM(C27:C29)+C37+C38</f>
        <v>9490</v>
      </c>
      <c r="D39" s="618">
        <f>SUM(D27:D29)+D37+D38</f>
        <v>1486102</v>
      </c>
      <c r="E39" s="630">
        <f>SUM(E27:E29)+E37+E38</f>
        <v>2432</v>
      </c>
      <c r="F39" s="630">
        <f>SUM(C39:E39)</f>
        <v>1498024</v>
      </c>
    </row>
    <row r="40" spans="1:6" ht="32.25" customHeight="1" thickBot="1" thickTop="1">
      <c r="A40" s="615" t="s">
        <v>347</v>
      </c>
      <c r="B40" s="620" t="s">
        <v>503</v>
      </c>
      <c r="C40" s="619">
        <f>C39+C24</f>
        <v>1335432</v>
      </c>
      <c r="D40" s="619">
        <f>D39+D24</f>
        <v>4034354.74</v>
      </c>
      <c r="E40" s="619">
        <f>E39+E24</f>
        <v>379539</v>
      </c>
      <c r="F40" s="619">
        <f>F39+F24</f>
        <v>5749325.74</v>
      </c>
    </row>
    <row r="41" spans="1:6" ht="14.25" customHeight="1" thickTop="1">
      <c r="A41" s="604"/>
      <c r="B41" s="848"/>
      <c r="C41" s="849"/>
      <c r="D41" s="695"/>
      <c r="E41" s="694"/>
      <c r="F41" s="694"/>
    </row>
    <row r="42" spans="1:6" ht="12.75" customHeight="1">
      <c r="A42" s="372" t="s">
        <v>348</v>
      </c>
      <c r="B42" s="485" t="s">
        <v>504</v>
      </c>
      <c r="C42" s="24"/>
      <c r="D42" s="29"/>
      <c r="E42" s="270"/>
      <c r="F42" s="154"/>
    </row>
    <row r="43" spans="1:6" s="16" customFormat="1" ht="12.75">
      <c r="A43" s="371" t="s">
        <v>349</v>
      </c>
      <c r="B43" s="229" t="s">
        <v>1334</v>
      </c>
      <c r="C43" s="24">
        <f>3_sz_melléklet!F42</f>
        <v>0</v>
      </c>
      <c r="D43" s="31">
        <f>'4_sz_ melléklet'!E634</f>
        <v>30526</v>
      </c>
      <c r="E43" s="182">
        <f>5_sz_melléklet!C158</f>
        <v>0</v>
      </c>
      <c r="F43" s="151">
        <f>E43+D43+C43</f>
        <v>30526</v>
      </c>
    </row>
    <row r="44" spans="1:6" s="16" customFormat="1" ht="12.75">
      <c r="A44" s="371" t="s">
        <v>350</v>
      </c>
      <c r="B44" s="697" t="s">
        <v>724</v>
      </c>
      <c r="C44" s="24">
        <f>3_sz_melléklet!F43</f>
        <v>0</v>
      </c>
      <c r="D44" s="31">
        <f>'4_sz_ melléklet'!E635</f>
        <v>12023365</v>
      </c>
      <c r="E44" s="182">
        <f>5_sz_melléklet!C159</f>
        <v>0</v>
      </c>
      <c r="F44" s="151">
        <f aca="true" t="shared" si="2" ref="F44:F50">E44+D44+C44</f>
        <v>12023365</v>
      </c>
    </row>
    <row r="45" spans="1:6" s="16" customFormat="1" ht="12.75">
      <c r="A45" s="371" t="s">
        <v>351</v>
      </c>
      <c r="B45" s="697" t="s">
        <v>723</v>
      </c>
      <c r="C45" s="24">
        <f>3_sz_melléklet!F44</f>
        <v>0</v>
      </c>
      <c r="D45" s="31">
        <f>'4_sz_ melléklet'!E636</f>
        <v>1219077</v>
      </c>
      <c r="E45" s="182">
        <f>5_sz_melléklet!C160</f>
        <v>0</v>
      </c>
      <c r="F45" s="151">
        <f t="shared" si="2"/>
        <v>1219077</v>
      </c>
    </row>
    <row r="46" spans="1:6" s="16" customFormat="1" ht="12.75">
      <c r="A46" s="371" t="s">
        <v>352</v>
      </c>
      <c r="B46" s="697" t="s">
        <v>725</v>
      </c>
      <c r="C46" s="24">
        <f>3_sz_melléklet!F45</f>
        <v>0</v>
      </c>
      <c r="D46" s="31">
        <f>'4_sz_ melléklet'!E637</f>
        <v>0</v>
      </c>
      <c r="E46" s="182">
        <f>5_sz_melléklet!C161</f>
        <v>0</v>
      </c>
      <c r="F46" s="151">
        <f t="shared" si="2"/>
        <v>0</v>
      </c>
    </row>
    <row r="47" spans="1:6" ht="12.75">
      <c r="A47" s="371" t="s">
        <v>353</v>
      </c>
      <c r="B47" s="836" t="s">
        <v>727</v>
      </c>
      <c r="C47" s="24">
        <f>3_sz_melléklet!F46</f>
        <v>0</v>
      </c>
      <c r="D47" s="31">
        <f>'4_sz_ melléklet'!E638</f>
        <v>0</v>
      </c>
      <c r="E47" s="182">
        <f>5_sz_melléklet!C162</f>
        <v>0</v>
      </c>
      <c r="F47" s="151">
        <f t="shared" si="2"/>
        <v>0</v>
      </c>
    </row>
    <row r="48" spans="1:6" ht="12.75">
      <c r="A48" s="371" t="s">
        <v>354</v>
      </c>
      <c r="B48" s="837" t="s">
        <v>730</v>
      </c>
      <c r="C48" s="24">
        <f>3_sz_melléklet!F47</f>
        <v>0</v>
      </c>
      <c r="D48" s="31">
        <f>'4_sz_ melléklet'!E639</f>
        <v>100000</v>
      </c>
      <c r="E48" s="182">
        <f>5_sz_melléklet!C163</f>
        <v>0</v>
      </c>
      <c r="F48" s="151">
        <f t="shared" si="2"/>
        <v>100000</v>
      </c>
    </row>
    <row r="49" spans="1:6" ht="12.75">
      <c r="A49" s="371" t="s">
        <v>355</v>
      </c>
      <c r="B49" s="838" t="s">
        <v>729</v>
      </c>
      <c r="C49" s="24">
        <f>3_sz_melléklet!F48</f>
        <v>0</v>
      </c>
      <c r="D49" s="31">
        <f>'4_sz_ melléklet'!E640</f>
        <v>0</v>
      </c>
      <c r="E49" s="182">
        <f>5_sz_melléklet!C164</f>
        <v>0</v>
      </c>
      <c r="F49" s="151">
        <f t="shared" si="2"/>
        <v>0</v>
      </c>
    </row>
    <row r="50" spans="1:6" s="16" customFormat="1" ht="13.5" thickBot="1">
      <c r="A50" s="371" t="s">
        <v>356</v>
      </c>
      <c r="B50" s="382" t="s">
        <v>728</v>
      </c>
      <c r="C50" s="24">
        <f>3_sz_melléklet!F49</f>
        <v>0</v>
      </c>
      <c r="D50" s="31">
        <f>'4_sz_ melléklet'!E641</f>
        <v>0</v>
      </c>
      <c r="E50" s="182">
        <f>5_sz_melléklet!C165</f>
        <v>0</v>
      </c>
      <c r="F50" s="151">
        <f t="shared" si="2"/>
        <v>0</v>
      </c>
    </row>
    <row r="51" spans="1:6" s="16" customFormat="1" ht="13.5" thickBot="1">
      <c r="A51" s="395" t="s">
        <v>357</v>
      </c>
      <c r="B51" s="315" t="s">
        <v>505</v>
      </c>
      <c r="C51" s="114">
        <f>SUM(C43:C50)</f>
        <v>0</v>
      </c>
      <c r="D51" s="114">
        <f>SUM(D43:D50)</f>
        <v>13372968</v>
      </c>
      <c r="E51" s="114">
        <f>SUM(E43:E50)</f>
        <v>0</v>
      </c>
      <c r="F51" s="114">
        <f>SUM(F43:F50)</f>
        <v>13372968</v>
      </c>
    </row>
    <row r="52" spans="1:6" s="16" customFormat="1" ht="12.75">
      <c r="A52" s="604"/>
      <c r="B52" s="44"/>
      <c r="C52" s="847"/>
      <c r="D52" s="248"/>
      <c r="E52" s="272"/>
      <c r="F52" s="159"/>
    </row>
    <row r="53" spans="1:6" ht="18.75" customHeight="1" thickBot="1">
      <c r="A53" s="631" t="s">
        <v>358</v>
      </c>
      <c r="B53" s="839" t="s">
        <v>506</v>
      </c>
      <c r="C53" s="840">
        <f>C40+C51</f>
        <v>1335432</v>
      </c>
      <c r="D53" s="850">
        <f>D40+D51</f>
        <v>17407322.740000002</v>
      </c>
      <c r="E53" s="853">
        <f>E40+E51</f>
        <v>379539</v>
      </c>
      <c r="F53" s="853">
        <f>F40+F51</f>
        <v>19122293.740000002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169">
      <selection activeCell="G128" sqref="G128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54" t="s">
        <v>1436</v>
      </c>
      <c r="B1" s="1654"/>
      <c r="C1" s="1654"/>
      <c r="D1" s="384"/>
      <c r="E1" s="384"/>
    </row>
    <row r="2" spans="1:5" ht="6" customHeight="1">
      <c r="A2" s="384"/>
      <c r="B2" s="384"/>
      <c r="C2" s="384"/>
      <c r="D2" s="384"/>
      <c r="E2" s="384"/>
    </row>
    <row r="3" spans="2:3" ht="15.75">
      <c r="B3" s="1710" t="s">
        <v>63</v>
      </c>
      <c r="C3" s="1710"/>
    </row>
    <row r="4" spans="2:3" ht="15.75">
      <c r="B4" s="1710" t="s">
        <v>64</v>
      </c>
      <c r="C4" s="1710"/>
    </row>
    <row r="5" spans="2:3" ht="10.5" customHeight="1">
      <c r="B5" s="1711" t="s">
        <v>604</v>
      </c>
      <c r="C5" s="1711"/>
    </row>
    <row r="6" spans="2:3" ht="9.75" customHeight="1" thickBot="1">
      <c r="B6" s="41"/>
      <c r="C6" s="43" t="s">
        <v>4</v>
      </c>
    </row>
    <row r="7" spans="1:3" ht="22.5" customHeight="1" thickBot="1">
      <c r="A7" s="447" t="s">
        <v>311</v>
      </c>
      <c r="B7" s="495" t="s">
        <v>65</v>
      </c>
      <c r="C7" s="496" t="s">
        <v>1107</v>
      </c>
    </row>
    <row r="8" spans="1:3" ht="13.5" thickBot="1">
      <c r="A8" s="486" t="s">
        <v>312</v>
      </c>
      <c r="B8" s="463" t="s">
        <v>313</v>
      </c>
      <c r="C8" s="469" t="s">
        <v>314</v>
      </c>
    </row>
    <row r="9" spans="1:3" ht="12.75" customHeight="1">
      <c r="A9" s="509" t="s">
        <v>316</v>
      </c>
      <c r="B9" s="1587" t="s">
        <v>706</v>
      </c>
      <c r="C9" s="1372"/>
    </row>
    <row r="10" spans="1:3" ht="12.75" customHeight="1">
      <c r="A10" s="371" t="s">
        <v>317</v>
      </c>
      <c r="B10" s="1588" t="s">
        <v>571</v>
      </c>
      <c r="C10" s="655">
        <f>960-387</f>
        <v>573</v>
      </c>
    </row>
    <row r="11" spans="1:3" ht="12.75" customHeight="1">
      <c r="A11" s="371" t="s">
        <v>318</v>
      </c>
      <c r="B11" s="1588" t="s">
        <v>1217</v>
      </c>
      <c r="C11" s="655">
        <v>114</v>
      </c>
    </row>
    <row r="12" spans="1:3" ht="12.75" customHeight="1">
      <c r="A12" s="371" t="s">
        <v>319</v>
      </c>
      <c r="B12" s="1589" t="s">
        <v>1216</v>
      </c>
      <c r="C12" s="1585">
        <v>1137</v>
      </c>
    </row>
    <row r="13" spans="1:3" ht="12.75" customHeight="1" thickBot="1">
      <c r="A13" s="371"/>
      <c r="B13" s="1593" t="s">
        <v>1300</v>
      </c>
      <c r="C13" s="1594">
        <v>691</v>
      </c>
    </row>
    <row r="14" spans="1:3" ht="12.75" customHeight="1" thickBot="1">
      <c r="A14" s="371" t="s">
        <v>320</v>
      </c>
      <c r="B14" s="413" t="s">
        <v>45</v>
      </c>
      <c r="C14" s="1586">
        <f>SUM(C10:C13)</f>
        <v>2515</v>
      </c>
    </row>
    <row r="15" spans="1:3" ht="12.75" customHeight="1">
      <c r="A15" s="371" t="s">
        <v>321</v>
      </c>
      <c r="B15" s="1503"/>
      <c r="C15" s="1506"/>
    </row>
    <row r="16" spans="1:6" ht="12.75">
      <c r="A16" s="371" t="s">
        <v>322</v>
      </c>
      <c r="B16" s="1504" t="s">
        <v>705</v>
      </c>
      <c r="C16" s="1507"/>
      <c r="F16" s="15"/>
    </row>
    <row r="17" spans="1:3" ht="12.75">
      <c r="A17" s="371" t="s">
        <v>323</v>
      </c>
      <c r="B17" s="138" t="s">
        <v>1157</v>
      </c>
      <c r="C17" s="1508">
        <v>1360</v>
      </c>
    </row>
    <row r="18" spans="1:6" ht="12.75">
      <c r="A18" s="371" t="s">
        <v>324</v>
      </c>
      <c r="B18" s="1498" t="s">
        <v>1136</v>
      </c>
      <c r="C18" s="1508">
        <v>149</v>
      </c>
      <c r="E18" s="36"/>
      <c r="F18" s="1354"/>
    </row>
    <row r="19" spans="1:6" ht="12.75">
      <c r="A19" s="371" t="s">
        <v>325</v>
      </c>
      <c r="B19" s="1498" t="s">
        <v>1135</v>
      </c>
      <c r="C19" s="1508">
        <v>151</v>
      </c>
      <c r="E19" s="36"/>
      <c r="F19" s="1354"/>
    </row>
    <row r="20" spans="1:6" ht="12.75">
      <c r="A20" s="371" t="s">
        <v>326</v>
      </c>
      <c r="B20" s="1498" t="s">
        <v>1167</v>
      </c>
      <c r="C20" s="1508">
        <v>180</v>
      </c>
      <c r="E20" s="36"/>
      <c r="F20" s="1354"/>
    </row>
    <row r="21" spans="1:6" ht="12.75">
      <c r="A21" s="371" t="s">
        <v>327</v>
      </c>
      <c r="B21" s="1498" t="s">
        <v>1199</v>
      </c>
      <c r="C21" s="1508">
        <v>0</v>
      </c>
      <c r="E21" s="36"/>
      <c r="F21" s="1354"/>
    </row>
    <row r="22" spans="1:6" ht="12.75">
      <c r="A22" s="371" t="s">
        <v>328</v>
      </c>
      <c r="B22" s="136" t="s">
        <v>1203</v>
      </c>
      <c r="C22" s="1570">
        <v>17</v>
      </c>
      <c r="E22" s="36"/>
      <c r="F22" s="1354"/>
    </row>
    <row r="23" spans="1:6" ht="12.75">
      <c r="A23" s="371" t="s">
        <v>329</v>
      </c>
      <c r="B23" s="136" t="s">
        <v>1200</v>
      </c>
      <c r="C23" s="1570">
        <v>189</v>
      </c>
      <c r="E23" s="36"/>
      <c r="F23" s="1354"/>
    </row>
    <row r="24" spans="1:6" ht="12.75">
      <c r="A24" s="371" t="s">
        <v>330</v>
      </c>
      <c r="B24" s="136" t="s">
        <v>1201</v>
      </c>
      <c r="C24" s="1570">
        <v>33</v>
      </c>
      <c r="E24" s="36"/>
      <c r="F24" s="1354"/>
    </row>
    <row r="25" spans="1:6" ht="12.75">
      <c r="A25" s="371" t="s">
        <v>331</v>
      </c>
      <c r="B25" s="136" t="s">
        <v>1202</v>
      </c>
      <c r="C25" s="1570">
        <v>55</v>
      </c>
      <c r="E25" s="36"/>
      <c r="F25" s="1354"/>
    </row>
    <row r="26" spans="1:6" ht="12.75">
      <c r="A26" s="371" t="s">
        <v>332</v>
      </c>
      <c r="B26" s="136" t="s">
        <v>1289</v>
      </c>
      <c r="C26" s="1570">
        <v>410</v>
      </c>
      <c r="E26" s="36"/>
      <c r="F26" s="1354"/>
    </row>
    <row r="27" spans="1:6" ht="12.75">
      <c r="A27" s="371" t="s">
        <v>333</v>
      </c>
      <c r="B27" s="136" t="s">
        <v>1379</v>
      </c>
      <c r="C27" s="1570">
        <v>1360</v>
      </c>
      <c r="E27" s="36"/>
      <c r="F27" s="1354"/>
    </row>
    <row r="28" spans="1:6" ht="12.75">
      <c r="A28" s="371" t="s">
        <v>334</v>
      </c>
      <c r="B28" s="136" t="s">
        <v>1380</v>
      </c>
      <c r="C28" s="1570">
        <v>20</v>
      </c>
      <c r="E28" s="36"/>
      <c r="F28" s="1354"/>
    </row>
    <row r="29" spans="1:6" ht="12.75">
      <c r="A29" s="371" t="s">
        <v>336</v>
      </c>
      <c r="B29" s="136" t="s">
        <v>1381</v>
      </c>
      <c r="C29" s="1570">
        <v>10</v>
      </c>
      <c r="E29" s="36"/>
      <c r="F29" s="1354"/>
    </row>
    <row r="30" spans="1:6" ht="12.75">
      <c r="A30" s="371" t="s">
        <v>337</v>
      </c>
      <c r="B30" s="136" t="s">
        <v>1382</v>
      </c>
      <c r="C30" s="1570">
        <v>16</v>
      </c>
      <c r="E30" s="36"/>
      <c r="F30" s="1354"/>
    </row>
    <row r="31" spans="1:6" ht="12.75">
      <c r="A31" s="371" t="s">
        <v>338</v>
      </c>
      <c r="B31" s="136" t="s">
        <v>1383</v>
      </c>
      <c r="C31" s="1570">
        <v>425</v>
      </c>
      <c r="E31" s="36"/>
      <c r="F31" s="1354"/>
    </row>
    <row r="32" spans="1:6" ht="12.75">
      <c r="A32" s="371" t="s">
        <v>339</v>
      </c>
      <c r="B32" s="136" t="s">
        <v>1385</v>
      </c>
      <c r="C32" s="1570">
        <v>10</v>
      </c>
      <c r="E32" s="36"/>
      <c r="F32" s="1354"/>
    </row>
    <row r="33" spans="1:6" ht="12.75">
      <c r="A33" s="371" t="s">
        <v>340</v>
      </c>
      <c r="B33" s="136" t="s">
        <v>1384</v>
      </c>
      <c r="C33" s="1570">
        <v>46</v>
      </c>
      <c r="E33" s="36"/>
      <c r="F33" s="1354"/>
    </row>
    <row r="34" spans="1:6" ht="12.75">
      <c r="A34" s="371" t="s">
        <v>341</v>
      </c>
      <c r="B34" s="136" t="s">
        <v>1290</v>
      </c>
      <c r="C34" s="1570">
        <v>33</v>
      </c>
      <c r="E34" s="36"/>
      <c r="F34" s="1354"/>
    </row>
    <row r="35" spans="1:6" ht="12" customHeight="1">
      <c r="A35" s="371" t="s">
        <v>342</v>
      </c>
      <c r="B35" s="136" t="s">
        <v>1386</v>
      </c>
      <c r="C35" s="1570">
        <v>69</v>
      </c>
      <c r="E35" s="36"/>
      <c r="F35" s="1354"/>
    </row>
    <row r="36" spans="1:3" ht="12.75">
      <c r="A36" s="371" t="s">
        <v>343</v>
      </c>
      <c r="B36" s="1505" t="s">
        <v>719</v>
      </c>
      <c r="C36" s="1509"/>
    </row>
    <row r="37" spans="1:3" ht="12.75">
      <c r="A37" s="371" t="s">
        <v>344</v>
      </c>
      <c r="B37" s="1571" t="s">
        <v>1198</v>
      </c>
      <c r="C37" s="1618">
        <v>101</v>
      </c>
    </row>
    <row r="38" spans="1:3" ht="12.75">
      <c r="A38" s="371" t="s">
        <v>345</v>
      </c>
      <c r="B38" s="1598" t="s">
        <v>1315</v>
      </c>
      <c r="C38" s="1569">
        <v>533</v>
      </c>
    </row>
    <row r="39" spans="1:3" ht="12.75" customHeight="1" thickBot="1">
      <c r="A39" s="371" t="s">
        <v>346</v>
      </c>
      <c r="B39" s="138" t="s">
        <v>1314</v>
      </c>
      <c r="C39" s="1510">
        <f>105+67</f>
        <v>172</v>
      </c>
    </row>
    <row r="40" spans="1:3" ht="13.5" thickBot="1">
      <c r="A40" s="371" t="s">
        <v>347</v>
      </c>
      <c r="B40" s="1364" t="s">
        <v>45</v>
      </c>
      <c r="C40" s="1356">
        <f>SUM(C17:C39)</f>
        <v>5339</v>
      </c>
    </row>
    <row r="41" spans="1:3" ht="6.75" customHeight="1">
      <c r="A41" s="371" t="s">
        <v>348</v>
      </c>
      <c r="B41" s="476"/>
      <c r="C41" s="1357"/>
    </row>
    <row r="42" spans="1:3" ht="12.75">
      <c r="A42" s="371" t="s">
        <v>349</v>
      </c>
      <c r="B42" s="1365" t="s">
        <v>720</v>
      </c>
      <c r="C42" s="1358"/>
    </row>
    <row r="43" spans="1:3" ht="12.75">
      <c r="A43" s="371" t="s">
        <v>350</v>
      </c>
      <c r="B43" s="136" t="s">
        <v>1127</v>
      </c>
      <c r="C43" s="1359">
        <v>330</v>
      </c>
    </row>
    <row r="44" spans="1:3" ht="12.75">
      <c r="A44" s="371" t="s">
        <v>351</v>
      </c>
      <c r="B44" s="136" t="s">
        <v>1128</v>
      </c>
      <c r="C44" s="1360">
        <v>148</v>
      </c>
    </row>
    <row r="45" spans="1:3" ht="12.75">
      <c r="A45" s="371" t="s">
        <v>352</v>
      </c>
      <c r="B45" s="136" t="s">
        <v>1129</v>
      </c>
      <c r="C45" s="1360">
        <v>153</v>
      </c>
    </row>
    <row r="46" spans="1:3" ht="12.75">
      <c r="A46" s="371" t="s">
        <v>353</v>
      </c>
      <c r="B46" s="136" t="s">
        <v>1130</v>
      </c>
      <c r="C46" s="1360">
        <v>41</v>
      </c>
    </row>
    <row r="47" spans="1:3" ht="12.75">
      <c r="A47" s="371" t="s">
        <v>354</v>
      </c>
      <c r="B47" s="136" t="s">
        <v>1132</v>
      </c>
      <c r="C47" s="1360">
        <v>513</v>
      </c>
    </row>
    <row r="48" spans="1:3" ht="12.75">
      <c r="A48" s="371" t="s">
        <v>355</v>
      </c>
      <c r="B48" s="136" t="s">
        <v>1131</v>
      </c>
      <c r="C48" s="1360">
        <v>30</v>
      </c>
    </row>
    <row r="49" spans="1:3" ht="12.75">
      <c r="A49" s="371" t="s">
        <v>356</v>
      </c>
      <c r="B49" s="136" t="s">
        <v>1133</v>
      </c>
      <c r="C49" s="1360">
        <v>230</v>
      </c>
    </row>
    <row r="50" spans="1:3" ht="12.75">
      <c r="A50" s="371" t="s">
        <v>357</v>
      </c>
      <c r="B50" s="136" t="s">
        <v>1134</v>
      </c>
      <c r="C50" s="1360">
        <v>150</v>
      </c>
    </row>
    <row r="51" spans="1:3" ht="12.75">
      <c r="A51" s="371" t="s">
        <v>358</v>
      </c>
      <c r="B51" s="1642" t="s">
        <v>1387</v>
      </c>
      <c r="C51" s="1360">
        <v>20</v>
      </c>
    </row>
    <row r="52" spans="1:3" ht="12.75">
      <c r="A52" s="371" t="s">
        <v>359</v>
      </c>
      <c r="B52" s="1642" t="s">
        <v>1388</v>
      </c>
      <c r="C52" s="1360">
        <v>9</v>
      </c>
    </row>
    <row r="53" spans="1:3" ht="13.5" thickBot="1">
      <c r="A53" s="371" t="s">
        <v>369</v>
      </c>
      <c r="B53" s="1642" t="s">
        <v>1389</v>
      </c>
      <c r="C53" s="1361">
        <v>12</v>
      </c>
    </row>
    <row r="54" spans="1:3" ht="13.5" thickBot="1">
      <c r="A54" s="371" t="s">
        <v>370</v>
      </c>
      <c r="B54" s="177" t="s">
        <v>45</v>
      </c>
      <c r="C54" s="1362">
        <f>SUM(C43:C53)</f>
        <v>1636</v>
      </c>
    </row>
    <row r="55" spans="1:3" ht="13.5" thickBot="1">
      <c r="A55" s="371" t="s">
        <v>371</v>
      </c>
      <c r="B55" s="1366"/>
      <c r="C55" s="1363"/>
    </row>
    <row r="56" spans="1:3" ht="13.5" thickBot="1">
      <c r="A56" s="371" t="s">
        <v>372</v>
      </c>
      <c r="B56" s="672" t="s">
        <v>40</v>
      </c>
      <c r="C56" s="1398">
        <f>C40+C14+C54</f>
        <v>9490</v>
      </c>
    </row>
    <row r="57" spans="1:3" ht="12.75">
      <c r="A57" s="371" t="s">
        <v>373</v>
      </c>
      <c r="B57" s="1496"/>
      <c r="C57" s="1499"/>
    </row>
    <row r="58" spans="1:3" ht="12.75">
      <c r="A58" s="371" t="s">
        <v>374</v>
      </c>
      <c r="B58" s="1497" t="s">
        <v>465</v>
      </c>
      <c r="C58" s="1007"/>
    </row>
    <row r="59" spans="1:3" ht="12.75">
      <c r="A59" s="371" t="s">
        <v>375</v>
      </c>
      <c r="B59" s="136" t="s">
        <v>1312</v>
      </c>
      <c r="C59" s="1007">
        <v>32</v>
      </c>
    </row>
    <row r="60" spans="1:3" ht="12.75">
      <c r="A60" s="371" t="s">
        <v>376</v>
      </c>
      <c r="B60" s="1498"/>
      <c r="C60" s="1006"/>
    </row>
    <row r="61" spans="1:3" ht="12.75">
      <c r="A61" s="371" t="s">
        <v>377</v>
      </c>
      <c r="B61" s="1497" t="s">
        <v>985</v>
      </c>
      <c r="C61" s="155">
        <f>C59</f>
        <v>32</v>
      </c>
    </row>
    <row r="62" spans="1:3" ht="12.75">
      <c r="A62" s="393"/>
      <c r="B62" s="1641"/>
      <c r="C62" s="30"/>
    </row>
    <row r="63" spans="1:3" ht="12.75">
      <c r="A63" s="1712">
        <v>2</v>
      </c>
      <c r="B63" s="1675"/>
      <c r="C63" s="1675"/>
    </row>
    <row r="64" spans="1:3" ht="12.75">
      <c r="A64" s="1654" t="s">
        <v>1436</v>
      </c>
      <c r="B64" s="1654"/>
      <c r="C64" s="1654"/>
    </row>
    <row r="65" spans="1:3" ht="8.25" customHeight="1">
      <c r="A65" s="384"/>
      <c r="B65" s="384"/>
      <c r="C65" s="384"/>
    </row>
    <row r="66" spans="2:3" ht="15.75">
      <c r="B66" s="1710" t="s">
        <v>63</v>
      </c>
      <c r="C66" s="1710"/>
    </row>
    <row r="67" spans="2:3" ht="15.75">
      <c r="B67" s="1710" t="s">
        <v>64</v>
      </c>
      <c r="C67" s="1710"/>
    </row>
    <row r="68" spans="2:3" ht="15.75">
      <c r="B68" s="1710" t="s">
        <v>604</v>
      </c>
      <c r="C68" s="1710"/>
    </row>
    <row r="69" spans="2:3" ht="13.5" thickBot="1">
      <c r="B69" s="41"/>
      <c r="C69" s="43" t="s">
        <v>4</v>
      </c>
    </row>
    <row r="70" spans="1:3" ht="26.25" thickBot="1">
      <c r="A70" s="447" t="s">
        <v>311</v>
      </c>
      <c r="B70" s="495" t="s">
        <v>65</v>
      </c>
      <c r="C70" s="496" t="s">
        <v>1107</v>
      </c>
    </row>
    <row r="71" spans="1:3" ht="13.5" thickBot="1">
      <c r="A71" s="1013" t="s">
        <v>312</v>
      </c>
      <c r="B71" s="463" t="s">
        <v>313</v>
      </c>
      <c r="C71" s="469" t="s">
        <v>314</v>
      </c>
    </row>
    <row r="72" spans="1:3" ht="12.75">
      <c r="A72" s="371" t="s">
        <v>378</v>
      </c>
      <c r="B72" s="1094" t="s">
        <v>707</v>
      </c>
      <c r="C72" s="1369"/>
    </row>
    <row r="73" spans="1:3" ht="12.75">
      <c r="A73" s="371" t="s">
        <v>379</v>
      </c>
      <c r="B73" s="444" t="s">
        <v>710</v>
      </c>
      <c r="C73" s="1367">
        <f>1000+2000+1517</f>
        <v>4517</v>
      </c>
    </row>
    <row r="74" spans="1:3" ht="12.75">
      <c r="A74" s="371" t="s">
        <v>380</v>
      </c>
      <c r="B74" s="1400" t="s">
        <v>66</v>
      </c>
      <c r="C74" s="1368">
        <f>SUM(C73:C73)</f>
        <v>4517</v>
      </c>
    </row>
    <row r="75" spans="1:3" ht="9" customHeight="1">
      <c r="A75" s="371" t="s">
        <v>381</v>
      </c>
      <c r="B75" s="1094"/>
      <c r="C75" s="1368"/>
    </row>
    <row r="76" spans="1:3" ht="12.75">
      <c r="A76" s="371" t="s">
        <v>1283</v>
      </c>
      <c r="B76" s="1094" t="s">
        <v>707</v>
      </c>
      <c r="C76" s="1368"/>
    </row>
    <row r="77" spans="1:3" ht="12.75">
      <c r="A77" s="371" t="s">
        <v>382</v>
      </c>
      <c r="B77" s="1093" t="s">
        <v>1108</v>
      </c>
      <c r="C77" s="1367">
        <v>1379</v>
      </c>
    </row>
    <row r="78" spans="1:3" ht="9" customHeight="1">
      <c r="A78" s="371" t="s">
        <v>383</v>
      </c>
      <c r="B78" s="1093"/>
      <c r="C78" s="1367"/>
    </row>
    <row r="79" spans="1:3" ht="13.5" thickBot="1">
      <c r="A79" s="371" t="s">
        <v>384</v>
      </c>
      <c r="B79" s="1599" t="s">
        <v>494</v>
      </c>
      <c r="C79" s="1600">
        <f>SUM(C77:C78)</f>
        <v>1379</v>
      </c>
    </row>
    <row r="80" spans="1:3" ht="12.75">
      <c r="A80" s="371" t="s">
        <v>385</v>
      </c>
      <c r="B80" s="1096" t="s">
        <v>708</v>
      </c>
      <c r="C80" s="1369"/>
    </row>
    <row r="81" spans="1:3" ht="12.75">
      <c r="A81" s="371" t="s">
        <v>386</v>
      </c>
      <c r="B81" s="444" t="s">
        <v>709</v>
      </c>
      <c r="C81" s="1369">
        <v>1250</v>
      </c>
    </row>
    <row r="82" spans="1:3" ht="12.75">
      <c r="A82" s="371" t="s">
        <v>490</v>
      </c>
      <c r="B82" s="1095" t="s">
        <v>454</v>
      </c>
      <c r="C82" s="1368">
        <f>SUM(C81:C81)</f>
        <v>1250</v>
      </c>
    </row>
    <row r="83" spans="1:3" ht="12.75">
      <c r="A83" s="371" t="s">
        <v>491</v>
      </c>
      <c r="B83" s="1400"/>
      <c r="C83" s="1370"/>
    </row>
    <row r="84" spans="1:3" ht="12.75">
      <c r="A84" s="371" t="s">
        <v>574</v>
      </c>
      <c r="B84" s="1519" t="s">
        <v>707</v>
      </c>
      <c r="C84" s="1402"/>
    </row>
    <row r="85" spans="1:3" ht="12.75">
      <c r="A85" s="371" t="s">
        <v>575</v>
      </c>
      <c r="B85" s="1403" t="s">
        <v>1272</v>
      </c>
      <c r="C85" s="1402">
        <v>5588</v>
      </c>
    </row>
    <row r="86" spans="1:3" ht="12.75">
      <c r="A86" s="371" t="s">
        <v>576</v>
      </c>
      <c r="B86" s="366" t="s">
        <v>67</v>
      </c>
      <c r="C86" s="1370">
        <f>SUM(C84:C85)</f>
        <v>5588</v>
      </c>
    </row>
    <row r="87" spans="1:3" ht="12.75">
      <c r="A87" s="371" t="s">
        <v>577</v>
      </c>
      <c r="B87" s="1399"/>
      <c r="C87" s="1008"/>
    </row>
    <row r="88" spans="1:3" ht="12.75">
      <c r="A88" s="371" t="s">
        <v>578</v>
      </c>
      <c r="B88" s="1371" t="s">
        <v>707</v>
      </c>
      <c r="C88" s="1367"/>
    </row>
    <row r="89" spans="1:3" ht="12.75">
      <c r="A89" s="371" t="s">
        <v>579</v>
      </c>
      <c r="B89" s="364" t="s">
        <v>1331</v>
      </c>
      <c r="C89" s="1367">
        <v>300000</v>
      </c>
    </row>
    <row r="90" spans="1:3" ht="12.75">
      <c r="A90" s="371" t="s">
        <v>580</v>
      </c>
      <c r="B90" s="365" t="s">
        <v>1332</v>
      </c>
      <c r="C90" s="1367">
        <v>4540</v>
      </c>
    </row>
    <row r="91" spans="1:3" ht="12.75">
      <c r="A91" s="371" t="s">
        <v>581</v>
      </c>
      <c r="B91" s="190" t="s">
        <v>456</v>
      </c>
      <c r="C91" s="1368">
        <f>SUM(C89:C90)</f>
        <v>304540</v>
      </c>
    </row>
    <row r="92" spans="1:3" ht="12.75">
      <c r="A92" s="371" t="s">
        <v>582</v>
      </c>
      <c r="B92" s="1097"/>
      <c r="C92" s="1004"/>
    </row>
    <row r="93" spans="1:3" ht="12.75">
      <c r="A93" s="371" t="s">
        <v>583</v>
      </c>
      <c r="B93" s="1371" t="s">
        <v>707</v>
      </c>
      <c r="C93" s="1369"/>
    </row>
    <row r="94" spans="1:3" ht="12.75">
      <c r="A94" s="371" t="s">
        <v>584</v>
      </c>
      <c r="B94" s="755"/>
      <c r="C94" s="1369"/>
    </row>
    <row r="95" spans="1:3" ht="12.75">
      <c r="A95" s="371" t="s">
        <v>588</v>
      </c>
      <c r="B95" s="1511" t="s">
        <v>990</v>
      </c>
      <c r="C95" s="1369">
        <f>1905+241</f>
        <v>2146</v>
      </c>
    </row>
    <row r="96" spans="1:3" ht="12.75">
      <c r="A96" s="371" t="s">
        <v>589</v>
      </c>
      <c r="B96" s="755" t="s">
        <v>986</v>
      </c>
      <c r="C96" s="1369">
        <f>57893-3980</f>
        <v>53913</v>
      </c>
    </row>
    <row r="97" spans="1:3" ht="12.75">
      <c r="A97" s="371" t="s">
        <v>590</v>
      </c>
      <c r="B97" s="755" t="s">
        <v>1276</v>
      </c>
      <c r="C97" s="1369">
        <v>37357</v>
      </c>
    </row>
    <row r="98" spans="1:3" ht="12.75">
      <c r="A98" s="371" t="s">
        <v>591</v>
      </c>
      <c r="B98" s="1511" t="s">
        <v>1277</v>
      </c>
      <c r="C98" s="1369">
        <v>4750</v>
      </c>
    </row>
    <row r="99" spans="1:3" ht="12.75">
      <c r="A99" s="371" t="s">
        <v>592</v>
      </c>
      <c r="B99" s="191" t="s">
        <v>455</v>
      </c>
      <c r="C99" s="1004">
        <f>SUM(C94:C98)</f>
        <v>98166</v>
      </c>
    </row>
    <row r="100" spans="1:3" ht="12.75">
      <c r="A100" s="371" t="s">
        <v>593</v>
      </c>
      <c r="B100" s="364"/>
      <c r="C100" s="1369"/>
    </row>
    <row r="101" spans="1:3" ht="12.75">
      <c r="A101" s="371" t="s">
        <v>594</v>
      </c>
      <c r="B101" s="1371" t="s">
        <v>707</v>
      </c>
      <c r="C101" s="1369"/>
    </row>
    <row r="102" spans="1:3" ht="12.75">
      <c r="A102" s="371" t="s">
        <v>595</v>
      </c>
      <c r="B102" s="364" t="s">
        <v>1110</v>
      </c>
      <c r="C102" s="1369">
        <v>5271</v>
      </c>
    </row>
    <row r="103" spans="1:3" ht="12.75">
      <c r="A103" s="371" t="s">
        <v>596</v>
      </c>
      <c r="B103" s="1473"/>
      <c r="C103" s="1474"/>
    </row>
    <row r="104" spans="1:3" ht="12.75">
      <c r="A104" s="371" t="s">
        <v>597</v>
      </c>
      <c r="B104" s="1022" t="s">
        <v>1109</v>
      </c>
      <c r="C104" s="1005">
        <f>SUM(C101:C103)</f>
        <v>5271</v>
      </c>
    </row>
    <row r="105" spans="1:3" ht="10.5" customHeight="1">
      <c r="A105" s="371" t="s">
        <v>598</v>
      </c>
      <c r="B105" s="1098"/>
      <c r="C105" s="1005"/>
    </row>
    <row r="106" spans="1:3" ht="15.75" customHeight="1">
      <c r="A106" s="371" t="s">
        <v>711</v>
      </c>
      <c r="B106" s="1371" t="s">
        <v>707</v>
      </c>
      <c r="C106" s="1005"/>
    </row>
    <row r="107" spans="1:3" ht="10.5" customHeight="1">
      <c r="A107" s="371" t="s">
        <v>712</v>
      </c>
      <c r="B107" s="1494"/>
      <c r="C107" s="1474">
        <v>0</v>
      </c>
    </row>
    <row r="108" spans="1:3" ht="12.75">
      <c r="A108" s="371" t="s">
        <v>713</v>
      </c>
      <c r="B108" s="753" t="s">
        <v>1333</v>
      </c>
      <c r="C108" s="1007">
        <f>SUM(C107)</f>
        <v>0</v>
      </c>
    </row>
    <row r="109" spans="1:3" ht="12.75">
      <c r="A109" s="371" t="s">
        <v>714</v>
      </c>
      <c r="B109" s="1098"/>
      <c r="C109" s="1007"/>
    </row>
    <row r="110" spans="1:3" ht="12.75">
      <c r="A110" s="371" t="s">
        <v>1218</v>
      </c>
      <c r="B110" s="1371" t="s">
        <v>707</v>
      </c>
      <c r="C110" s="1008"/>
    </row>
    <row r="111" spans="1:3" ht="12.75">
      <c r="A111" s="371" t="s">
        <v>1219</v>
      </c>
      <c r="B111" s="755" t="s">
        <v>1232</v>
      </c>
      <c r="C111" s="1006">
        <v>3753</v>
      </c>
    </row>
    <row r="112" spans="1:3" ht="12.75">
      <c r="A112" s="371" t="s">
        <v>1220</v>
      </c>
      <c r="B112" s="755" t="s">
        <v>1271</v>
      </c>
      <c r="C112" s="1006">
        <v>232</v>
      </c>
    </row>
    <row r="113" spans="1:3" ht="12.75">
      <c r="A113" s="371" t="s">
        <v>1221</v>
      </c>
      <c r="B113" s="755" t="s">
        <v>1123</v>
      </c>
      <c r="C113" s="1006">
        <f>6325+487103+24355+2217</f>
        <v>520000</v>
      </c>
    </row>
    <row r="114" spans="1:3" ht="12.75">
      <c r="A114" s="371" t="s">
        <v>1222</v>
      </c>
      <c r="B114" s="753" t="s">
        <v>452</v>
      </c>
      <c r="C114" s="1007">
        <f>SUM(C111:C113)</f>
        <v>523985</v>
      </c>
    </row>
    <row r="115" spans="1:3" ht="12.75">
      <c r="A115" s="371" t="s">
        <v>1223</v>
      </c>
      <c r="B115" s="753"/>
      <c r="C115" s="1007"/>
    </row>
    <row r="116" spans="1:3" ht="12.75">
      <c r="A116" s="371" t="s">
        <v>1224</v>
      </c>
      <c r="B116" s="753" t="s">
        <v>715</v>
      </c>
      <c r="C116" s="1007"/>
    </row>
    <row r="117" spans="1:3" ht="12.75">
      <c r="A117" s="371" t="s">
        <v>1225</v>
      </c>
      <c r="B117" s="755" t="s">
        <v>716</v>
      </c>
      <c r="C117" s="1006">
        <v>22878</v>
      </c>
    </row>
    <row r="118" spans="1:3" ht="12.75">
      <c r="A118" s="371" t="s">
        <v>1226</v>
      </c>
      <c r="B118" s="753" t="s">
        <v>587</v>
      </c>
      <c r="C118" s="1007">
        <f>SUM(C117)</f>
        <v>22878</v>
      </c>
    </row>
    <row r="119" spans="1:3" ht="12.75">
      <c r="A119" s="371" t="s">
        <v>1227</v>
      </c>
      <c r="B119" s="753"/>
      <c r="C119" s="1007"/>
    </row>
    <row r="120" spans="1:3" ht="12.75">
      <c r="A120" s="371" t="s">
        <v>1228</v>
      </c>
      <c r="B120" s="755" t="s">
        <v>1102</v>
      </c>
      <c r="C120" s="1006">
        <v>429</v>
      </c>
    </row>
    <row r="121" spans="1:3" ht="12.75">
      <c r="A121" s="371" t="s">
        <v>1229</v>
      </c>
      <c r="B121" s="1494" t="s">
        <v>1103</v>
      </c>
      <c r="C121" s="1495">
        <v>3686</v>
      </c>
    </row>
    <row r="122" spans="1:3" ht="12.75">
      <c r="A122" s="371" t="s">
        <v>1230</v>
      </c>
      <c r="B122" s="755" t="s">
        <v>1215</v>
      </c>
      <c r="C122" s="1006">
        <f>3400</f>
        <v>3400</v>
      </c>
    </row>
    <row r="123" spans="1:3" ht="12.75">
      <c r="A123" s="371" t="s">
        <v>1231</v>
      </c>
      <c r="B123" s="757" t="s">
        <v>987</v>
      </c>
      <c r="C123" s="1009">
        <f>SUM(C120:C122)</f>
        <v>7515</v>
      </c>
    </row>
    <row r="124" spans="1:3" ht="12.75">
      <c r="A124" s="1712">
        <v>3</v>
      </c>
      <c r="B124" s="1675"/>
      <c r="C124" s="1675"/>
    </row>
    <row r="125" spans="1:3" ht="12.75">
      <c r="A125" s="1654" t="s">
        <v>1436</v>
      </c>
      <c r="B125" s="1654"/>
      <c r="C125" s="1654"/>
    </row>
    <row r="126" spans="2:3" ht="15.75">
      <c r="B126" s="1710" t="s">
        <v>63</v>
      </c>
      <c r="C126" s="1710"/>
    </row>
    <row r="127" spans="2:3" ht="15.75">
      <c r="B127" s="1710" t="s">
        <v>64</v>
      </c>
      <c r="C127" s="1710"/>
    </row>
    <row r="128" spans="2:3" ht="15.75">
      <c r="B128" s="1710" t="s">
        <v>604</v>
      </c>
      <c r="C128" s="1710"/>
    </row>
    <row r="129" spans="2:3" ht="13.5" thickBot="1">
      <c r="B129" s="41"/>
      <c r="C129" s="43" t="s">
        <v>4</v>
      </c>
    </row>
    <row r="130" spans="1:3" ht="26.25" thickBot="1">
      <c r="A130" s="447" t="s">
        <v>311</v>
      </c>
      <c r="B130" s="489" t="s">
        <v>65</v>
      </c>
      <c r="C130" s="1372" t="s">
        <v>1068</v>
      </c>
    </row>
    <row r="131" spans="1:3" ht="12.75">
      <c r="A131" s="1013" t="s">
        <v>312</v>
      </c>
      <c r="B131" s="406" t="s">
        <v>313</v>
      </c>
      <c r="C131" s="654" t="s">
        <v>314</v>
      </c>
    </row>
    <row r="132" spans="1:3" ht="12.75">
      <c r="A132" s="371" t="s">
        <v>1235</v>
      </c>
      <c r="B132" s="1371" t="s">
        <v>707</v>
      </c>
      <c r="C132" s="1005"/>
    </row>
    <row r="133" spans="1:3" ht="12.75">
      <c r="A133" s="371" t="s">
        <v>1236</v>
      </c>
      <c r="B133" s="167" t="s">
        <v>1122</v>
      </c>
      <c r="C133" s="1006">
        <v>762</v>
      </c>
    </row>
    <row r="134" spans="1:3" ht="12.75">
      <c r="A134" s="371" t="s">
        <v>1237</v>
      </c>
      <c r="B134" s="167" t="s">
        <v>1144</v>
      </c>
      <c r="C134" s="1006">
        <v>610</v>
      </c>
    </row>
    <row r="135" spans="1:3" ht="12.75">
      <c r="A135" s="371" t="s">
        <v>1238</v>
      </c>
      <c r="B135" s="1072" t="s">
        <v>585</v>
      </c>
      <c r="C135" s="1007">
        <f>SUM(C133:C134)</f>
        <v>1372</v>
      </c>
    </row>
    <row r="136" spans="1:3" ht="12.75">
      <c r="A136" s="371" t="s">
        <v>1239</v>
      </c>
      <c r="B136" s="1643" t="s">
        <v>715</v>
      </c>
      <c r="C136" s="1005"/>
    </row>
    <row r="137" spans="1:3" ht="12.75">
      <c r="A137" s="371" t="s">
        <v>1240</v>
      </c>
      <c r="B137" s="167" t="s">
        <v>1161</v>
      </c>
      <c r="C137" s="1006">
        <f>2003-1779+14</f>
        <v>238</v>
      </c>
    </row>
    <row r="138" spans="1:3" ht="12.75">
      <c r="A138" s="371" t="s">
        <v>1241</v>
      </c>
      <c r="B138" s="167" t="s">
        <v>1372</v>
      </c>
      <c r="C138" s="1006"/>
    </row>
    <row r="139" spans="1:3" ht="12.75">
      <c r="A139" s="371" t="s">
        <v>1242</v>
      </c>
      <c r="B139" s="167" t="s">
        <v>1161</v>
      </c>
      <c r="C139" s="1006">
        <v>1765</v>
      </c>
    </row>
    <row r="140" spans="1:3" ht="12.75">
      <c r="A140" s="371" t="s">
        <v>1243</v>
      </c>
      <c r="B140" s="1501" t="s">
        <v>1104</v>
      </c>
      <c r="C140" s="1007">
        <f>SUM(C137:C139)</f>
        <v>2003</v>
      </c>
    </row>
    <row r="141" spans="1:3" ht="12.75">
      <c r="A141" s="371" t="s">
        <v>1244</v>
      </c>
      <c r="B141" s="1012"/>
      <c r="C141" s="1007"/>
    </row>
    <row r="142" spans="1:3" ht="12.75">
      <c r="A142" s="371" t="s">
        <v>1245</v>
      </c>
      <c r="B142" s="1371" t="s">
        <v>707</v>
      </c>
      <c r="C142" s="1007"/>
    </row>
    <row r="143" spans="1:3" ht="12.75">
      <c r="A143" s="371" t="s">
        <v>1246</v>
      </c>
      <c r="B143" s="167" t="s">
        <v>1150</v>
      </c>
      <c r="C143" s="1006">
        <f>20025-1842</f>
        <v>18183</v>
      </c>
    </row>
    <row r="144" spans="1:11" s="17" customFormat="1" ht="12.75">
      <c r="A144" s="371" t="s">
        <v>1247</v>
      </c>
      <c r="B144" s="167" t="s">
        <v>1149</v>
      </c>
      <c r="C144" s="1006">
        <v>7680</v>
      </c>
      <c r="K144"/>
    </row>
    <row r="145" spans="1:11" ht="12.75">
      <c r="A145" s="371" t="s">
        <v>1248</v>
      </c>
      <c r="B145" s="167" t="s">
        <v>1152</v>
      </c>
      <c r="C145" s="1006">
        <f>36000+189</f>
        <v>36189</v>
      </c>
      <c r="K145" s="17"/>
    </row>
    <row r="146" spans="1:11" ht="12.75">
      <c r="A146" s="371" t="s">
        <v>1249</v>
      </c>
      <c r="B146" s="167" t="s">
        <v>1155</v>
      </c>
      <c r="C146" s="1006">
        <f>6000-6000</f>
        <v>0</v>
      </c>
      <c r="K146" s="17"/>
    </row>
    <row r="147" spans="1:11" ht="12.75">
      <c r="A147" s="371" t="s">
        <v>1250</v>
      </c>
      <c r="B147" s="167" t="s">
        <v>1273</v>
      </c>
      <c r="C147" s="1006">
        <v>1245</v>
      </c>
      <c r="K147" s="17"/>
    </row>
    <row r="148" spans="1:11" ht="12.75">
      <c r="A148" s="371" t="s">
        <v>1251</v>
      </c>
      <c r="B148" s="167" t="s">
        <v>1274</v>
      </c>
      <c r="C148" s="1006">
        <v>9809</v>
      </c>
      <c r="K148" s="17"/>
    </row>
    <row r="149" spans="1:11" ht="12.75">
      <c r="A149" s="371" t="s">
        <v>1252</v>
      </c>
      <c r="B149" s="167" t="s">
        <v>1279</v>
      </c>
      <c r="C149" s="1006">
        <f>619963-619963</f>
        <v>0</v>
      </c>
      <c r="K149" s="17"/>
    </row>
    <row r="150" spans="1:3" s="17" customFormat="1" ht="12.75">
      <c r="A150" s="371" t="s">
        <v>1253</v>
      </c>
      <c r="B150" s="1012" t="s">
        <v>1376</v>
      </c>
      <c r="C150" s="1007">
        <f>SUM(C143:C149)</f>
        <v>73106</v>
      </c>
    </row>
    <row r="151" spans="1:11" ht="12.75">
      <c r="A151" s="371" t="s">
        <v>1254</v>
      </c>
      <c r="B151" s="753" t="s">
        <v>715</v>
      </c>
      <c r="C151" s="1006"/>
      <c r="K151" s="17"/>
    </row>
    <row r="152" spans="1:11" ht="12.75">
      <c r="A152" s="371" t="s">
        <v>1255</v>
      </c>
      <c r="B152" s="167" t="s">
        <v>1293</v>
      </c>
      <c r="C152" s="1006">
        <f>6030+429</f>
        <v>6459</v>
      </c>
      <c r="K152" s="17"/>
    </row>
    <row r="153" spans="1:11" ht="12.75">
      <c r="A153" s="371" t="s">
        <v>1256</v>
      </c>
      <c r="B153" s="167" t="s">
        <v>1373</v>
      </c>
      <c r="C153" s="1006">
        <v>1373</v>
      </c>
      <c r="K153" s="17"/>
    </row>
    <row r="154" spans="1:11" ht="12.75">
      <c r="A154" s="371" t="s">
        <v>1257</v>
      </c>
      <c r="B154" s="437" t="s">
        <v>1374</v>
      </c>
      <c r="C154" s="1007">
        <f>SUM(C152:C153)</f>
        <v>7832</v>
      </c>
      <c r="K154" s="17"/>
    </row>
    <row r="155" spans="1:11" ht="12.75">
      <c r="A155" s="371" t="s">
        <v>1258</v>
      </c>
      <c r="B155" s="1012"/>
      <c r="C155" s="1007"/>
      <c r="K155" s="17"/>
    </row>
    <row r="156" spans="1:11" ht="12.75">
      <c r="A156" s="371" t="s">
        <v>1259</v>
      </c>
      <c r="B156" s="1371" t="s">
        <v>707</v>
      </c>
      <c r="C156" s="1007"/>
      <c r="K156" s="17"/>
    </row>
    <row r="157" spans="1:11" ht="12.75">
      <c r="A157" s="371" t="s">
        <v>1260</v>
      </c>
      <c r="B157" s="365" t="s">
        <v>1106</v>
      </c>
      <c r="C157" s="1006">
        <v>14732</v>
      </c>
      <c r="K157" s="17"/>
    </row>
    <row r="158" spans="1:11" ht="12.75">
      <c r="A158" s="371" t="s">
        <v>1261</v>
      </c>
      <c r="B158" s="136" t="s">
        <v>1186</v>
      </c>
      <c r="C158" s="1006">
        <v>4953</v>
      </c>
      <c r="K158" s="17"/>
    </row>
    <row r="159" spans="1:11" ht="12.75">
      <c r="A159" s="371" t="s">
        <v>1262</v>
      </c>
      <c r="B159" s="437" t="s">
        <v>1169</v>
      </c>
      <c r="C159" s="1007">
        <f>SUM(C157:C158)</f>
        <v>19685</v>
      </c>
      <c r="K159" s="17"/>
    </row>
    <row r="160" spans="1:11" ht="12.75">
      <c r="A160" s="371" t="s">
        <v>1263</v>
      </c>
      <c r="B160" s="437"/>
      <c r="C160" s="1007"/>
      <c r="K160" s="17"/>
    </row>
    <row r="161" spans="1:3" ht="12.75">
      <c r="A161" s="371" t="s">
        <v>1264</v>
      </c>
      <c r="B161" s="437"/>
      <c r="C161" s="1007"/>
    </row>
    <row r="162" spans="1:11" s="17" customFormat="1" ht="12.75">
      <c r="A162" s="371" t="s">
        <v>1265</v>
      </c>
      <c r="B162" s="1371" t="s">
        <v>707</v>
      </c>
      <c r="C162" s="1007"/>
      <c r="K162"/>
    </row>
    <row r="163" spans="1:11" ht="12.75">
      <c r="A163" s="371" t="s">
        <v>1266</v>
      </c>
      <c r="B163" s="167" t="s">
        <v>1145</v>
      </c>
      <c r="C163" s="1006">
        <f>9523+9242-9321</f>
        <v>9444</v>
      </c>
      <c r="K163" s="17"/>
    </row>
    <row r="164" spans="1:11" ht="12.75">
      <c r="A164" s="371" t="s">
        <v>1267</v>
      </c>
      <c r="B164" s="167" t="s">
        <v>1371</v>
      </c>
      <c r="C164" s="1006">
        <v>9321</v>
      </c>
      <c r="K164" s="17"/>
    </row>
    <row r="165" spans="1:3" ht="12.75">
      <c r="A165" s="371" t="s">
        <v>1268</v>
      </c>
      <c r="B165" s="1012" t="s">
        <v>1146</v>
      </c>
      <c r="C165" s="1007">
        <f>SUM(C163:C164)</f>
        <v>18765</v>
      </c>
    </row>
    <row r="166" spans="1:3" ht="12.75">
      <c r="A166" s="371" t="s">
        <v>1269</v>
      </c>
      <c r="B166" s="1012"/>
      <c r="C166" s="1007"/>
    </row>
    <row r="167" spans="1:3" ht="12.75">
      <c r="A167" s="371" t="s">
        <v>1270</v>
      </c>
      <c r="B167" s="1012" t="s">
        <v>949</v>
      </c>
      <c r="C167" s="1007"/>
    </row>
    <row r="168" spans="1:3" ht="12.75">
      <c r="A168" s="371" t="s">
        <v>1291</v>
      </c>
      <c r="B168" s="167" t="s">
        <v>1390</v>
      </c>
      <c r="C168" s="1006">
        <v>2863</v>
      </c>
    </row>
    <row r="169" spans="1:3" ht="12.75">
      <c r="A169" s="371" t="s">
        <v>1292</v>
      </c>
      <c r="B169" s="167" t="s">
        <v>1153</v>
      </c>
      <c r="C169" s="1006">
        <v>400</v>
      </c>
    </row>
    <row r="170" spans="1:11" s="17" customFormat="1" ht="12.75">
      <c r="A170" s="371" t="s">
        <v>1327</v>
      </c>
      <c r="B170" s="167" t="s">
        <v>1147</v>
      </c>
      <c r="C170" s="1006">
        <v>1500</v>
      </c>
      <c r="K170"/>
    </row>
    <row r="171" spans="1:11" s="17" customFormat="1" ht="12.75">
      <c r="A171" s="371" t="s">
        <v>1328</v>
      </c>
      <c r="B171" s="167" t="s">
        <v>1148</v>
      </c>
      <c r="C171" s="1006"/>
      <c r="K171"/>
    </row>
    <row r="172" spans="1:11" s="17" customFormat="1" ht="12.75">
      <c r="A172" s="371" t="s">
        <v>1329</v>
      </c>
      <c r="B172" s="167" t="s">
        <v>1330</v>
      </c>
      <c r="C172" s="1006"/>
      <c r="K172"/>
    </row>
    <row r="173" spans="1:11" s="17" customFormat="1" ht="12.75">
      <c r="A173" s="371" t="s">
        <v>1375</v>
      </c>
      <c r="B173" s="1012" t="s">
        <v>1325</v>
      </c>
      <c r="C173" s="1007"/>
      <c r="K173"/>
    </row>
    <row r="174" spans="1:11" s="17" customFormat="1" ht="12.75">
      <c r="A174" s="371" t="s">
        <v>1391</v>
      </c>
      <c r="B174" s="167" t="s">
        <v>1326</v>
      </c>
      <c r="C174" s="1006">
        <v>1626</v>
      </c>
      <c r="K174"/>
    </row>
    <row r="175" spans="1:11" ht="12.75">
      <c r="A175" s="371" t="s">
        <v>1392</v>
      </c>
      <c r="B175" s="167"/>
      <c r="C175" s="1006"/>
      <c r="K175" s="17"/>
    </row>
    <row r="176" spans="1:11" ht="13.5" thickBot="1">
      <c r="A176" s="432" t="s">
        <v>1393</v>
      </c>
      <c r="B176" s="1012" t="s">
        <v>950</v>
      </c>
      <c r="C176" s="1007">
        <f>SUM(C168:C175)</f>
        <v>6389</v>
      </c>
      <c r="K176" s="17"/>
    </row>
    <row r="177" spans="1:3" ht="13.5" thickBot="1">
      <c r="A177" s="395" t="s">
        <v>1394</v>
      </c>
      <c r="B177" s="752" t="s">
        <v>62</v>
      </c>
      <c r="C177" s="1401">
        <f>C74+C79+C82+C86+C91+C99+C104+C114+C118+C123+C135+C140+C154+C159+C165+C176+C108+C150</f>
        <v>1104241</v>
      </c>
    </row>
    <row r="178" spans="1:3" ht="13.5" thickBot="1">
      <c r="A178" s="604" t="s">
        <v>1395</v>
      </c>
      <c r="B178" s="754"/>
      <c r="C178" s="1010"/>
    </row>
    <row r="179" spans="1:3" ht="13.5" thickBot="1">
      <c r="A179" s="395" t="s">
        <v>1396</v>
      </c>
      <c r="B179" s="752" t="s">
        <v>441</v>
      </c>
      <c r="C179" s="1011">
        <f>C56+C177+C61</f>
        <v>1113763</v>
      </c>
    </row>
    <row r="180" spans="1:2" ht="12.75">
      <c r="A180" s="1"/>
      <c r="B180" s="1"/>
    </row>
    <row r="181" spans="1:2" ht="12.75">
      <c r="A181" s="1"/>
      <c r="B181" s="1"/>
    </row>
    <row r="182" spans="2:3" ht="12.75">
      <c r="B182" s="1"/>
      <c r="C182" s="1"/>
    </row>
    <row r="183" spans="1:11" s="17" customFormat="1" ht="12.75">
      <c r="A183"/>
      <c r="B183" s="1"/>
      <c r="C183" s="1"/>
      <c r="K183"/>
    </row>
    <row r="184" spans="1:11" s="17" customFormat="1" ht="12.75">
      <c r="A184"/>
      <c r="B184" s="1"/>
      <c r="C184" s="1"/>
      <c r="K184"/>
    </row>
    <row r="185" spans="1:11" s="17" customFormat="1" ht="12.75">
      <c r="A185"/>
      <c r="B185" s="1"/>
      <c r="C185" s="1"/>
      <c r="K185"/>
    </row>
    <row r="186" spans="1:11" s="17" customFormat="1" ht="12.75">
      <c r="A186"/>
      <c r="B186" s="1"/>
      <c r="C186" s="1"/>
      <c r="K186"/>
    </row>
    <row r="187" spans="1:11" s="17" customFormat="1" ht="12.75">
      <c r="A187"/>
      <c r="B187"/>
      <c r="C187"/>
      <c r="K187"/>
    </row>
    <row r="188" spans="1:11" s="17" customFormat="1" ht="12.75">
      <c r="A188"/>
      <c r="B188"/>
      <c r="C188"/>
      <c r="K188"/>
    </row>
    <row r="189" spans="1:11" s="17" customFormat="1" ht="12.75">
      <c r="A189"/>
      <c r="B189"/>
      <c r="C189"/>
      <c r="K189"/>
    </row>
    <row r="190" spans="1:11" s="17" customFormat="1" ht="12.75">
      <c r="A190"/>
      <c r="B190"/>
      <c r="C190"/>
      <c r="K190"/>
    </row>
    <row r="191" spans="1:11" s="17" customFormat="1" ht="12.75">
      <c r="A191"/>
      <c r="B191"/>
      <c r="C191"/>
      <c r="K191"/>
    </row>
    <row r="192" spans="1:11" s="17" customFormat="1" ht="12.75">
      <c r="A192"/>
      <c r="B192"/>
      <c r="C192"/>
      <c r="K192"/>
    </row>
    <row r="193" spans="1:11" s="17" customFormat="1" ht="12.75">
      <c r="A193"/>
      <c r="B193"/>
      <c r="C193"/>
      <c r="K193"/>
    </row>
    <row r="194" spans="1:11" s="17" customFormat="1" ht="12.75">
      <c r="A194"/>
      <c r="B194"/>
      <c r="C194"/>
      <c r="K194"/>
    </row>
    <row r="195" spans="1:11" s="17" customFormat="1" ht="12.75">
      <c r="A195"/>
      <c r="B195"/>
      <c r="C195"/>
      <c r="K195"/>
    </row>
    <row r="196" spans="1:11" s="17" customFormat="1" ht="12.75">
      <c r="A196"/>
      <c r="B196"/>
      <c r="C196"/>
      <c r="K196"/>
    </row>
    <row r="197" spans="1:11" s="17" customFormat="1" ht="12.75">
      <c r="A197"/>
      <c r="B197" s="1"/>
      <c r="C197" s="1"/>
      <c r="K197"/>
    </row>
    <row r="198" spans="1:11" s="17" customFormat="1" ht="12.75">
      <c r="A198"/>
      <c r="B198" s="1"/>
      <c r="C198" s="1"/>
      <c r="K198"/>
    </row>
    <row r="199" spans="1:11" s="17" customFormat="1" ht="12.75">
      <c r="A199"/>
      <c r="B199" s="1"/>
      <c r="C199" s="1"/>
      <c r="K199"/>
    </row>
    <row r="200" spans="1:11" s="17" customFormat="1" ht="12.75">
      <c r="A200"/>
      <c r="B200" s="1"/>
      <c r="C200" s="1"/>
      <c r="K200"/>
    </row>
    <row r="201" spans="1:11" s="17" customFormat="1" ht="12.75">
      <c r="A201"/>
      <c r="B201" s="1"/>
      <c r="C201" s="1"/>
      <c r="K201"/>
    </row>
    <row r="202" spans="1:11" s="17" customFormat="1" ht="12.75">
      <c r="A202"/>
      <c r="B202" s="1"/>
      <c r="C202" s="1"/>
      <c r="K202"/>
    </row>
    <row r="203" spans="1:11" s="17" customFormat="1" ht="12.75">
      <c r="A203"/>
      <c r="B203" s="1"/>
      <c r="C203" s="1"/>
      <c r="K203"/>
    </row>
    <row r="204" spans="1:11" s="17" customFormat="1" ht="12.75">
      <c r="A204"/>
      <c r="B204" s="1"/>
      <c r="C204" s="1"/>
      <c r="K204"/>
    </row>
    <row r="205" spans="1:11" s="17" customFormat="1" ht="12.75">
      <c r="A205"/>
      <c r="B205" s="1"/>
      <c r="C205" s="1"/>
      <c r="K205"/>
    </row>
    <row r="206" spans="1:11" s="17" customFormat="1" ht="12.75">
      <c r="A206"/>
      <c r="B206" s="1"/>
      <c r="C206" s="1"/>
      <c r="K206"/>
    </row>
    <row r="207" spans="1:11" s="17" customFormat="1" ht="12.75">
      <c r="A207"/>
      <c r="B207" s="1"/>
      <c r="C207" s="1"/>
      <c r="K207"/>
    </row>
    <row r="208" spans="1:11" s="17" customFormat="1" ht="12.75">
      <c r="A208"/>
      <c r="B208" s="1"/>
      <c r="C208" s="1"/>
      <c r="K208"/>
    </row>
    <row r="209" spans="1:11" s="17" customFormat="1" ht="12.75">
      <c r="A209"/>
      <c r="B209" s="1"/>
      <c r="C209" s="1"/>
      <c r="K209"/>
    </row>
    <row r="210" spans="1:11" s="17" customFormat="1" ht="12.75">
      <c r="A210"/>
      <c r="B210" s="1"/>
      <c r="C210" s="1"/>
      <c r="K210"/>
    </row>
    <row r="211" spans="1:11" s="17" customFormat="1" ht="12.75">
      <c r="A211"/>
      <c r="B211" s="1"/>
      <c r="C211" s="1"/>
      <c r="K211"/>
    </row>
    <row r="212" spans="1:11" s="17" customFormat="1" ht="12.75">
      <c r="A212"/>
      <c r="B212" s="1"/>
      <c r="C212" s="1"/>
      <c r="K212"/>
    </row>
    <row r="213" spans="1:11" s="17" customFormat="1" ht="12.75">
      <c r="A213"/>
      <c r="B213" s="1"/>
      <c r="C213" s="1"/>
      <c r="K213"/>
    </row>
    <row r="214" spans="1:11" s="17" customFormat="1" ht="12.75">
      <c r="A214"/>
      <c r="B214" s="1"/>
      <c r="C214" s="1"/>
      <c r="K214"/>
    </row>
    <row r="215" spans="1:11" s="17" customFormat="1" ht="12.75">
      <c r="A215"/>
      <c r="B215" s="1"/>
      <c r="C215" s="1"/>
      <c r="K215"/>
    </row>
    <row r="216" spans="1:11" s="17" customFormat="1" ht="12.75">
      <c r="A216"/>
      <c r="B216" s="1"/>
      <c r="C216" s="1"/>
      <c r="K216"/>
    </row>
    <row r="217" spans="1:11" s="17" customFormat="1" ht="12.75">
      <c r="A217"/>
      <c r="B217" s="1"/>
      <c r="C217" s="1"/>
      <c r="K217"/>
    </row>
    <row r="218" spans="1:11" s="17" customFormat="1" ht="12.75">
      <c r="A218"/>
      <c r="B218" s="1"/>
      <c r="C218" s="1"/>
      <c r="D218" s="384"/>
      <c r="E218" s="384"/>
      <c r="K218"/>
    </row>
    <row r="219" spans="1:11" s="17" customFormat="1" ht="12.75">
      <c r="A219"/>
      <c r="B219" s="1"/>
      <c r="C219" s="1"/>
      <c r="D219" s="384"/>
      <c r="E219" s="384"/>
      <c r="K219"/>
    </row>
    <row r="220" spans="1:11" s="17" customFormat="1" ht="12.75">
      <c r="A220"/>
      <c r="B220" s="1"/>
      <c r="C220" s="1"/>
      <c r="D220" s="384"/>
      <c r="E220" s="384"/>
      <c r="K220"/>
    </row>
    <row r="221" spans="1:11" s="17" customFormat="1" ht="12.75">
      <c r="A221"/>
      <c r="B221" s="1"/>
      <c r="C221" s="1"/>
      <c r="D221" s="384"/>
      <c r="E221" s="384"/>
      <c r="K221"/>
    </row>
    <row r="222" spans="1:11" s="17" customFormat="1" ht="12.75">
      <c r="A222"/>
      <c r="B222" s="1"/>
      <c r="C222" s="1"/>
      <c r="D222" s="384"/>
      <c r="E222" s="384"/>
      <c r="K222"/>
    </row>
    <row r="223" spans="1:11" s="17" customFormat="1" ht="12.75">
      <c r="A223"/>
      <c r="B223" s="1"/>
      <c r="C223" s="1"/>
      <c r="D223"/>
      <c r="E223"/>
      <c r="K223"/>
    </row>
    <row r="224" spans="1:11" s="335" customFormat="1" ht="12.75">
      <c r="A224"/>
      <c r="B224" s="1"/>
      <c r="C224" s="1"/>
      <c r="D224"/>
      <c r="E224"/>
      <c r="K224" s="17"/>
    </row>
    <row r="225" spans="1:11" s="335" customFormat="1" ht="12.75">
      <c r="A225"/>
      <c r="B225" s="1"/>
      <c r="C225" s="1"/>
      <c r="D225"/>
      <c r="E225"/>
      <c r="K225" s="17"/>
    </row>
    <row r="226" spans="1:11" s="335" customFormat="1" ht="8.25" customHeight="1">
      <c r="A226"/>
      <c r="B226" s="1"/>
      <c r="C226" s="1"/>
      <c r="D226"/>
      <c r="E226"/>
      <c r="K226" s="17"/>
    </row>
    <row r="227" spans="1:5" s="335" customFormat="1" ht="12.75">
      <c r="A227"/>
      <c r="B227" s="1"/>
      <c r="C227" s="1"/>
      <c r="D227"/>
      <c r="E227"/>
    </row>
    <row r="228" spans="1:5" s="335" customFormat="1" ht="12.75">
      <c r="A228"/>
      <c r="B228" s="1"/>
      <c r="C228" s="1"/>
      <c r="D228"/>
      <c r="E228"/>
    </row>
    <row r="229" spans="1:6" s="335" customFormat="1" ht="8.25" customHeight="1">
      <c r="A229"/>
      <c r="B229" s="1"/>
      <c r="C229" s="1"/>
      <c r="D229"/>
      <c r="E229"/>
      <c r="F229" s="1039"/>
    </row>
    <row r="230" spans="1:6" s="335" customFormat="1" ht="15.75">
      <c r="A230"/>
      <c r="B230" s="1"/>
      <c r="C230" s="1"/>
      <c r="D230"/>
      <c r="E230"/>
      <c r="F230" s="1039"/>
    </row>
    <row r="231" spans="1:6" s="335" customFormat="1" ht="15.75">
      <c r="A231"/>
      <c r="B231" s="1"/>
      <c r="C231" s="1"/>
      <c r="D231"/>
      <c r="E231"/>
      <c r="F231" s="1039"/>
    </row>
    <row r="232" spans="1:6" s="335" customFormat="1" ht="15.75">
      <c r="A232"/>
      <c r="B232" s="1"/>
      <c r="C232" s="1"/>
      <c r="D232"/>
      <c r="E232"/>
      <c r="F232" s="1039"/>
    </row>
    <row r="233" spans="1:6" s="335" customFormat="1" ht="15.75">
      <c r="A233"/>
      <c r="B233" s="1"/>
      <c r="C233" s="1"/>
      <c r="D233"/>
      <c r="E233"/>
      <c r="F233" s="1039"/>
    </row>
    <row r="234" spans="1:6" s="335" customFormat="1" ht="15.75">
      <c r="A234"/>
      <c r="B234" s="1"/>
      <c r="C234" s="1"/>
      <c r="D234"/>
      <c r="E234"/>
      <c r="F234" s="1039"/>
    </row>
    <row r="235" spans="1:5" s="335" customFormat="1" ht="12.75">
      <c r="A235"/>
      <c r="B235" s="1"/>
      <c r="C235" s="1"/>
      <c r="D235"/>
      <c r="E235"/>
    </row>
    <row r="236" spans="1:5" s="335" customFormat="1" ht="12.75">
      <c r="A236"/>
      <c r="B236" s="1"/>
      <c r="C236" s="1"/>
      <c r="D236"/>
      <c r="E236"/>
    </row>
    <row r="237" spans="1:3" s="335" customFormat="1" ht="12.75">
      <c r="A237"/>
      <c r="B237" s="1"/>
      <c r="C237" s="1"/>
    </row>
    <row r="238" spans="1:3" s="335" customFormat="1" ht="12.75">
      <c r="A238"/>
      <c r="B238" s="1"/>
      <c r="C238" s="1"/>
    </row>
    <row r="239" spans="2:11" ht="12.75">
      <c r="B239" s="1"/>
      <c r="C239" s="1"/>
      <c r="K239" s="335"/>
    </row>
    <row r="240" spans="2:11" ht="12.75">
      <c r="B240" s="1"/>
      <c r="C240" s="1"/>
      <c r="K240" s="335"/>
    </row>
    <row r="241" spans="2:11" ht="12.75">
      <c r="B241" s="1"/>
      <c r="C241" s="1"/>
      <c r="K241" s="335"/>
    </row>
    <row r="242" spans="2:11" ht="12.75">
      <c r="B242" s="1"/>
      <c r="C242" s="1"/>
      <c r="K242" s="335"/>
    </row>
    <row r="243" spans="2:11" ht="12.75">
      <c r="B243" s="1"/>
      <c r="C243" s="1"/>
      <c r="K243" s="335"/>
    </row>
    <row r="244" spans="2:11" ht="12.75">
      <c r="B244" s="1"/>
      <c r="C244" s="1"/>
      <c r="K244" s="335"/>
    </row>
    <row r="245" spans="2:8" ht="12.75">
      <c r="B245" s="1"/>
      <c r="C245" s="1"/>
      <c r="H245" s="335"/>
    </row>
    <row r="246" spans="2:8" ht="12.75">
      <c r="B246" s="1"/>
      <c r="C246" s="1"/>
      <c r="H246" s="335"/>
    </row>
    <row r="247" spans="2:7" ht="12.75">
      <c r="B247" s="1"/>
      <c r="C247" s="1"/>
      <c r="G247" s="335"/>
    </row>
    <row r="248" spans="2:7" ht="12.75">
      <c r="B248" s="1"/>
      <c r="C248" s="1"/>
      <c r="G248" s="335"/>
    </row>
    <row r="249" spans="2:8" ht="12.75">
      <c r="B249" s="1"/>
      <c r="C249" s="1"/>
      <c r="H249" s="335"/>
    </row>
    <row r="250" spans="2:8" ht="12.75">
      <c r="B250" s="1"/>
      <c r="C250" s="1"/>
      <c r="H250" s="335"/>
    </row>
    <row r="251" spans="2:8" ht="12.75">
      <c r="B251" s="1"/>
      <c r="C251" s="1"/>
      <c r="H251" s="335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</sheetData>
  <sheetProtection/>
  <mergeCells count="14">
    <mergeCell ref="B68:C68"/>
    <mergeCell ref="A124:C124"/>
    <mergeCell ref="A125:C125"/>
    <mergeCell ref="B126:C126"/>
    <mergeCell ref="B127:C127"/>
    <mergeCell ref="B128:C128"/>
    <mergeCell ref="B66:C66"/>
    <mergeCell ref="B67:C67"/>
    <mergeCell ref="A1:C1"/>
    <mergeCell ref="B3:C3"/>
    <mergeCell ref="B4:C4"/>
    <mergeCell ref="B5:C5"/>
    <mergeCell ref="A63:C63"/>
    <mergeCell ref="A64:C6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54" t="s">
        <v>1437</v>
      </c>
      <c r="B1" s="1654"/>
      <c r="C1" s="1654"/>
      <c r="D1" s="384"/>
      <c r="E1" s="384"/>
    </row>
    <row r="2" spans="1:5" ht="12.75">
      <c r="A2" s="384"/>
      <c r="B2" s="384"/>
      <c r="C2" s="384"/>
      <c r="D2" s="384"/>
      <c r="E2" s="384"/>
    </row>
    <row r="3" spans="2:3" ht="15.75">
      <c r="B3" s="1710" t="s">
        <v>757</v>
      </c>
      <c r="C3" s="1710"/>
    </row>
    <row r="4" spans="2:3" ht="15.75">
      <c r="B4" s="1710" t="s">
        <v>604</v>
      </c>
      <c r="C4" s="1710"/>
    </row>
    <row r="5" spans="2:3" ht="15.75">
      <c r="B5" s="189"/>
      <c r="C5" s="189"/>
    </row>
    <row r="6" spans="2:3" ht="13.5" thickBot="1">
      <c r="B6" s="1"/>
      <c r="C6" s="43" t="s">
        <v>4</v>
      </c>
    </row>
    <row r="7" spans="1:3" ht="32.25" thickBot="1">
      <c r="A7" s="447" t="s">
        <v>311</v>
      </c>
      <c r="B7" s="1442" t="s">
        <v>68</v>
      </c>
      <c r="C7" s="497" t="s">
        <v>1338</v>
      </c>
    </row>
    <row r="8" spans="1:3" ht="13.5" thickBot="1">
      <c r="A8" s="1000" t="s">
        <v>312</v>
      </c>
      <c r="B8" s="477" t="s">
        <v>313</v>
      </c>
      <c r="C8" s="1070" t="s">
        <v>314</v>
      </c>
    </row>
    <row r="9" spans="1:3" ht="16.5" thickBot="1">
      <c r="A9" s="408" t="s">
        <v>316</v>
      </c>
      <c r="B9" s="1443" t="s">
        <v>517</v>
      </c>
      <c r="C9" s="1434"/>
    </row>
    <row r="10" spans="1:3" ht="15.75">
      <c r="A10" s="765" t="s">
        <v>317</v>
      </c>
      <c r="B10" s="1444" t="s">
        <v>964</v>
      </c>
      <c r="C10" s="1435">
        <f>20000-16260</f>
        <v>3740</v>
      </c>
    </row>
    <row r="11" spans="1:3" ht="15.75">
      <c r="A11" s="766" t="s">
        <v>318</v>
      </c>
      <c r="B11" s="1445" t="s">
        <v>519</v>
      </c>
      <c r="C11" s="1436">
        <v>600</v>
      </c>
    </row>
    <row r="12" spans="1:3" ht="15.75">
      <c r="A12" s="766" t="s">
        <v>319</v>
      </c>
      <c r="B12" s="1446" t="s">
        <v>572</v>
      </c>
      <c r="C12" s="1437">
        <f>28000-2000-4826</f>
        <v>21174</v>
      </c>
    </row>
    <row r="13" spans="1:3" ht="15.75">
      <c r="A13" s="766" t="s">
        <v>320</v>
      </c>
      <c r="B13" s="1445" t="s">
        <v>573</v>
      </c>
      <c r="C13" s="1436">
        <f>3000</f>
        <v>3000</v>
      </c>
    </row>
    <row r="14" spans="1:3" ht="15.75">
      <c r="A14" s="766" t="s">
        <v>321</v>
      </c>
      <c r="B14" s="1447" t="s">
        <v>601</v>
      </c>
      <c r="C14" s="1437">
        <v>5000</v>
      </c>
    </row>
    <row r="15" spans="1:3" ht="15.75">
      <c r="A15" s="766" t="s">
        <v>322</v>
      </c>
      <c r="B15" s="1445" t="s">
        <v>1165</v>
      </c>
      <c r="C15" s="1436">
        <f>26000-800-5000-233-200-690-300-3148-3254-200-200+6723+3530-1800+42</f>
        <v>20470</v>
      </c>
    </row>
    <row r="16" spans="1:3" ht="15.75">
      <c r="A16" s="766" t="s">
        <v>323</v>
      </c>
      <c r="B16" s="1448"/>
      <c r="C16" s="1438"/>
    </row>
    <row r="17" spans="1:3" ht="15.75">
      <c r="A17" s="766" t="s">
        <v>324</v>
      </c>
      <c r="B17" s="1500"/>
      <c r="C17" s="1439"/>
    </row>
    <row r="18" spans="1:3" ht="16.5" thickBot="1">
      <c r="A18" s="932" t="s">
        <v>325</v>
      </c>
      <c r="B18" s="1446"/>
      <c r="C18" s="1440"/>
    </row>
    <row r="19" spans="1:3" ht="26.25" customHeight="1" thickBot="1">
      <c r="A19" s="408" t="s">
        <v>326</v>
      </c>
      <c r="B19" s="1449" t="s">
        <v>522</v>
      </c>
      <c r="C19" s="1441">
        <f>SUM(C10:C18)</f>
        <v>53984</v>
      </c>
    </row>
    <row r="20" spans="1:3" ht="15.75">
      <c r="A20" s="438"/>
      <c r="B20" s="194"/>
      <c r="C20" s="500"/>
    </row>
    <row r="21" spans="1:3" ht="15.75">
      <c r="A21" s="415" t="s">
        <v>327</v>
      </c>
      <c r="B21" s="195" t="s">
        <v>518</v>
      </c>
      <c r="C21" s="501"/>
    </row>
    <row r="22" spans="1:3" ht="15.75">
      <c r="A22" s="415" t="s">
        <v>328</v>
      </c>
      <c r="B22" s="192" t="s">
        <v>989</v>
      </c>
      <c r="C22" s="498">
        <v>2500</v>
      </c>
    </row>
    <row r="23" spans="1:3" ht="15.75">
      <c r="A23" s="415" t="s">
        <v>329</v>
      </c>
      <c r="B23" s="192" t="s">
        <v>1166</v>
      </c>
      <c r="C23" s="498">
        <v>20000</v>
      </c>
    </row>
    <row r="24" spans="1:3" ht="15.75">
      <c r="A24" s="415" t="s">
        <v>330</v>
      </c>
      <c r="B24" s="192" t="s">
        <v>520</v>
      </c>
      <c r="C24" s="498">
        <f>35000-6350-1245-4983-6591</f>
        <v>15831</v>
      </c>
    </row>
    <row r="25" spans="1:3" ht="15.75">
      <c r="A25" s="415" t="s">
        <v>331</v>
      </c>
      <c r="B25" s="192" t="s">
        <v>521</v>
      </c>
      <c r="C25" s="498">
        <v>5000</v>
      </c>
    </row>
    <row r="26" spans="1:3" ht="15.75">
      <c r="A26" s="415" t="s">
        <v>332</v>
      </c>
      <c r="B26" s="734" t="s">
        <v>1051</v>
      </c>
      <c r="C26" s="735">
        <v>10000</v>
      </c>
    </row>
    <row r="27" spans="1:3" ht="15.75">
      <c r="A27" s="415" t="s">
        <v>333</v>
      </c>
      <c r="B27" s="1026" t="s">
        <v>988</v>
      </c>
      <c r="C27" s="735">
        <v>2000</v>
      </c>
    </row>
    <row r="28" spans="1:3" ht="15.75">
      <c r="A28" s="415" t="s">
        <v>334</v>
      </c>
      <c r="B28" s="734" t="s">
        <v>1189</v>
      </c>
      <c r="C28" s="735">
        <f>118000-2337-2000-1078-3365-388-6464-9456</f>
        <v>92912</v>
      </c>
    </row>
    <row r="29" spans="1:3" ht="15.75">
      <c r="A29" s="415" t="s">
        <v>336</v>
      </c>
      <c r="B29" s="734" t="s">
        <v>1324</v>
      </c>
      <c r="C29" s="735">
        <f>619963-18000-5597-1816</f>
        <v>594550</v>
      </c>
    </row>
    <row r="30" spans="1:3" ht="15.75">
      <c r="A30" s="415" t="s">
        <v>337</v>
      </c>
      <c r="B30" s="734"/>
      <c r="C30" s="735"/>
    </row>
    <row r="31" spans="1:3" ht="18" customHeight="1">
      <c r="A31" s="415" t="s">
        <v>338</v>
      </c>
      <c r="B31" s="1405"/>
      <c r="C31" s="1406"/>
    </row>
    <row r="32" spans="1:3" ht="16.5" customHeight="1" thickBot="1">
      <c r="A32" s="415" t="s">
        <v>339</v>
      </c>
      <c r="B32" s="193"/>
      <c r="C32" s="499"/>
    </row>
    <row r="33" spans="1:3" ht="16.5" thickBot="1">
      <c r="A33" s="395" t="s">
        <v>340</v>
      </c>
      <c r="B33" s="786" t="s">
        <v>523</v>
      </c>
      <c r="C33" s="502">
        <f>SUM(C22:C32)</f>
        <v>742793</v>
      </c>
    </row>
    <row r="34" spans="1:3" ht="16.5" thickBot="1">
      <c r="A34" s="450" t="s">
        <v>341</v>
      </c>
      <c r="B34" s="125"/>
      <c r="C34" s="502"/>
    </row>
    <row r="35" spans="1:3" ht="16.5" thickBot="1">
      <c r="A35" s="395" t="s">
        <v>342</v>
      </c>
      <c r="B35" s="1027" t="s">
        <v>758</v>
      </c>
      <c r="C35" s="503">
        <f>C19+C33</f>
        <v>796777</v>
      </c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ht="15.75">
      <c r="B42" s="402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84" t="s">
        <v>1438</v>
      </c>
      <c r="B1" s="384"/>
      <c r="C1" s="384"/>
      <c r="D1" s="384"/>
      <c r="E1" s="384"/>
    </row>
    <row r="2" spans="2:3" ht="12.75">
      <c r="B2" s="1"/>
      <c r="C2" s="1"/>
    </row>
    <row r="3" spans="2:3" ht="15.75">
      <c r="B3" s="1710" t="s">
        <v>69</v>
      </c>
      <c r="C3" s="1710"/>
    </row>
    <row r="4" spans="2:3" ht="15.75">
      <c r="B4" s="189"/>
      <c r="C4" s="189"/>
    </row>
    <row r="5" spans="2:3" ht="15.75">
      <c r="B5" s="189"/>
      <c r="C5" s="189"/>
    </row>
    <row r="6" spans="2:3" ht="13.5" thickBot="1">
      <c r="B6" s="1"/>
      <c r="C6" s="1"/>
    </row>
    <row r="7" spans="1:3" ht="26.25" thickBot="1">
      <c r="A7" s="447" t="s">
        <v>311</v>
      </c>
      <c r="B7" s="495" t="s">
        <v>70</v>
      </c>
      <c r="C7" s="504" t="s">
        <v>71</v>
      </c>
    </row>
    <row r="8" spans="1:3" ht="13.5" thickBot="1">
      <c r="A8" s="449" t="s">
        <v>312</v>
      </c>
      <c r="B8" s="463" t="s">
        <v>313</v>
      </c>
      <c r="C8" s="469" t="s">
        <v>314</v>
      </c>
    </row>
    <row r="9" spans="1:3" ht="15.75">
      <c r="A9" s="493" t="s">
        <v>316</v>
      </c>
      <c r="B9" s="196" t="s">
        <v>442</v>
      </c>
      <c r="C9" s="505">
        <v>1</v>
      </c>
    </row>
    <row r="10" spans="1:3" ht="15.75">
      <c r="A10" s="452" t="s">
        <v>317</v>
      </c>
      <c r="B10" s="196" t="s">
        <v>458</v>
      </c>
      <c r="C10" s="505">
        <v>0.3</v>
      </c>
    </row>
    <row r="11" spans="1:3" ht="15.75">
      <c r="A11" s="448" t="s">
        <v>318</v>
      </c>
      <c r="B11" s="196" t="s">
        <v>465</v>
      </c>
      <c r="C11" s="505">
        <v>75</v>
      </c>
    </row>
    <row r="12" spans="1:3" ht="15.75">
      <c r="A12" s="448" t="s">
        <v>319</v>
      </c>
      <c r="B12" s="196" t="s">
        <v>479</v>
      </c>
      <c r="C12" s="505">
        <v>1</v>
      </c>
    </row>
    <row r="13" spans="1:3" ht="15.75">
      <c r="A13" s="448" t="s">
        <v>320</v>
      </c>
      <c r="B13" s="196" t="s">
        <v>72</v>
      </c>
      <c r="C13" s="505">
        <v>72</v>
      </c>
    </row>
    <row r="14" spans="1:3" ht="15.75">
      <c r="A14" s="415" t="s">
        <v>321</v>
      </c>
      <c r="B14" s="196" t="s">
        <v>73</v>
      </c>
      <c r="C14" s="505">
        <v>97</v>
      </c>
    </row>
    <row r="15" spans="1:3" ht="16.5" thickBot="1">
      <c r="A15" s="416" t="s">
        <v>322</v>
      </c>
      <c r="B15" s="196" t="s">
        <v>11</v>
      </c>
      <c r="C15" s="505">
        <v>98</v>
      </c>
    </row>
    <row r="16" spans="1:3" ht="16.5" thickBot="1">
      <c r="A16" s="395" t="s">
        <v>323</v>
      </c>
      <c r="B16" s="507" t="s">
        <v>74</v>
      </c>
      <c r="C16" s="508">
        <f>SUM(C9:C15)</f>
        <v>344.3</v>
      </c>
    </row>
    <row r="17" spans="2:3" ht="15.75">
      <c r="B17" s="36"/>
      <c r="C17" s="197"/>
    </row>
    <row r="18" spans="2:3" ht="15.75">
      <c r="B18" s="36"/>
      <c r="C18" s="197"/>
    </row>
    <row r="19" spans="2:3" ht="12.75">
      <c r="B19" s="1"/>
      <c r="C19" s="1"/>
    </row>
    <row r="20" spans="2:3" ht="12.75">
      <c r="B20" s="1"/>
      <c r="C20" s="1"/>
    </row>
    <row r="21" spans="1:5" ht="12.75">
      <c r="A21" s="384" t="s">
        <v>1439</v>
      </c>
      <c r="B21" s="384"/>
      <c r="C21" s="384"/>
      <c r="D21" s="384"/>
      <c r="E21" s="384"/>
    </row>
    <row r="22" spans="2:3" ht="12.75">
      <c r="B22" s="1"/>
      <c r="C22" s="1"/>
    </row>
    <row r="23" spans="2:3" ht="15.75">
      <c r="B23" s="1710" t="s">
        <v>265</v>
      </c>
      <c r="C23" s="1710"/>
    </row>
    <row r="24" spans="2:3" ht="15.75">
      <c r="B24" s="189"/>
      <c r="C24" s="189"/>
    </row>
    <row r="25" spans="2:3" ht="15.75">
      <c r="B25" s="189"/>
      <c r="C25" s="189"/>
    </row>
    <row r="26" spans="2:3" ht="13.5" thickBot="1">
      <c r="B26" s="1"/>
      <c r="C26" s="1"/>
    </row>
    <row r="27" spans="1:3" ht="26.25" thickBot="1">
      <c r="A27" s="447" t="s">
        <v>311</v>
      </c>
      <c r="B27" s="495" t="s">
        <v>70</v>
      </c>
      <c r="C27" s="504" t="s">
        <v>71</v>
      </c>
    </row>
    <row r="28" spans="1:3" ht="13.5" thickBot="1">
      <c r="A28" s="449" t="s">
        <v>312</v>
      </c>
      <c r="B28" s="463" t="s">
        <v>313</v>
      </c>
      <c r="C28" s="469" t="s">
        <v>314</v>
      </c>
    </row>
    <row r="29" spans="1:3" ht="15.75">
      <c r="A29" s="493" t="s">
        <v>316</v>
      </c>
      <c r="B29" s="196" t="s">
        <v>442</v>
      </c>
      <c r="C29" s="505">
        <v>240</v>
      </c>
    </row>
    <row r="30" spans="1:3" ht="15.75">
      <c r="A30" s="415" t="s">
        <v>317</v>
      </c>
      <c r="B30" s="196" t="s">
        <v>465</v>
      </c>
      <c r="C30" s="506"/>
    </row>
    <row r="31" spans="1:3" ht="15.75">
      <c r="A31" s="415" t="s">
        <v>318</v>
      </c>
      <c r="B31" s="196" t="s">
        <v>72</v>
      </c>
      <c r="C31" s="506"/>
    </row>
    <row r="32" spans="1:3" ht="15.75">
      <c r="A32" s="415" t="s">
        <v>319</v>
      </c>
      <c r="B32" s="196" t="s">
        <v>73</v>
      </c>
      <c r="C32" s="506"/>
    </row>
    <row r="33" spans="1:3" ht="15.75">
      <c r="A33" s="415" t="s">
        <v>320</v>
      </c>
      <c r="B33" s="196" t="s">
        <v>11</v>
      </c>
      <c r="C33" s="506">
        <v>7</v>
      </c>
    </row>
    <row r="34" spans="1:3" ht="16.5" thickBot="1">
      <c r="A34" s="429" t="s">
        <v>321</v>
      </c>
      <c r="B34" s="196"/>
      <c r="C34" s="506"/>
    </row>
    <row r="35" spans="1:3" ht="16.5" thickBot="1">
      <c r="A35" s="395" t="s">
        <v>322</v>
      </c>
      <c r="B35" s="507" t="s">
        <v>443</v>
      </c>
      <c r="C35" s="508">
        <f>SUM(C29:C34)</f>
        <v>247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3.28125" style="0" customWidth="1"/>
    <col min="4" max="4" width="27.421875" style="0" customWidth="1"/>
    <col min="5" max="5" width="13.00390625" style="0" customWidth="1"/>
  </cols>
  <sheetData>
    <row r="1" spans="1:5" ht="12.75">
      <c r="A1" s="1654" t="s">
        <v>1440</v>
      </c>
      <c r="B1" s="1654"/>
      <c r="C1" s="1654"/>
      <c r="D1" s="1654"/>
      <c r="E1" s="1654"/>
    </row>
    <row r="2" spans="1:5" ht="12.75">
      <c r="A2" s="384"/>
      <c r="B2" s="384"/>
      <c r="C2" s="384"/>
      <c r="D2" s="384"/>
      <c r="E2" s="384"/>
    </row>
    <row r="3" spans="1:5" ht="15.75">
      <c r="A3" s="1716" t="s">
        <v>75</v>
      </c>
      <c r="B3" s="1675"/>
      <c r="C3" s="1675"/>
      <c r="D3" s="1675"/>
      <c r="E3" s="1675"/>
    </row>
    <row r="4" spans="2:5" ht="9" customHeight="1">
      <c r="B4" s="51"/>
      <c r="C4" s="51"/>
      <c r="D4" s="51"/>
      <c r="E4" s="51"/>
    </row>
    <row r="5" spans="2:5" ht="13.5" thickBot="1">
      <c r="B5" s="51"/>
      <c r="C5" s="51"/>
      <c r="D5" s="1713" t="s">
        <v>4</v>
      </c>
      <c r="E5" s="1713"/>
    </row>
    <row r="6" spans="1:5" ht="13.5" thickBot="1">
      <c r="A6" s="1717" t="s">
        <v>311</v>
      </c>
      <c r="B6" s="1714" t="s">
        <v>51</v>
      </c>
      <c r="C6" s="1714"/>
      <c r="D6" s="1714" t="s">
        <v>76</v>
      </c>
      <c r="E6" s="1715"/>
    </row>
    <row r="7" spans="1:5" ht="18" customHeight="1" thickBot="1">
      <c r="A7" s="1718"/>
      <c r="B7" s="52" t="s">
        <v>68</v>
      </c>
      <c r="C7" s="53" t="s">
        <v>1074</v>
      </c>
      <c r="D7" s="52" t="s">
        <v>68</v>
      </c>
      <c r="E7" s="513" t="s">
        <v>1074</v>
      </c>
    </row>
    <row r="8" spans="1:5" ht="12.75" customHeight="1" thickBot="1">
      <c r="A8" s="486" t="s">
        <v>312</v>
      </c>
      <c r="B8" s="474" t="s">
        <v>313</v>
      </c>
      <c r="C8" s="477" t="s">
        <v>314</v>
      </c>
      <c r="D8" s="477" t="s">
        <v>315</v>
      </c>
      <c r="E8" s="466" t="s">
        <v>335</v>
      </c>
    </row>
    <row r="9" spans="1:5" ht="12.75">
      <c r="A9" s="493" t="s">
        <v>316</v>
      </c>
      <c r="B9" s="54" t="s">
        <v>925</v>
      </c>
      <c r="C9" s="55">
        <f>'13_sz_ melléklet'!F9</f>
        <v>436162</v>
      </c>
      <c r="D9" s="54" t="s">
        <v>759</v>
      </c>
      <c r="E9" s="514">
        <f>'2_sz_ melléklet'!F10</f>
        <v>1130241</v>
      </c>
    </row>
    <row r="10" spans="1:5" ht="12.75">
      <c r="A10" s="452" t="s">
        <v>317</v>
      </c>
      <c r="B10" s="54" t="s">
        <v>934</v>
      </c>
      <c r="C10" s="55">
        <f>-('22 24  sz. melléklet'!F24+'22 24  sz. melléklet'!F25+'14 16_sz_ melléklet'!E17+'14 16_sz_ melléklet'!E15+'14 16_sz_ melléklet'!E11)</f>
        <v>-217100</v>
      </c>
      <c r="D10" s="54" t="s">
        <v>760</v>
      </c>
      <c r="E10" s="514">
        <f>'2_sz_ melléklet'!F11</f>
        <v>299477</v>
      </c>
    </row>
    <row r="11" spans="1:5" ht="12.75">
      <c r="A11" s="448" t="s">
        <v>318</v>
      </c>
      <c r="B11" s="54" t="s">
        <v>926</v>
      </c>
      <c r="C11" s="55">
        <f>'13_sz_ melléklet'!F10</f>
        <v>1022700</v>
      </c>
      <c r="D11" s="54" t="s">
        <v>761</v>
      </c>
      <c r="E11" s="514">
        <f>'2_sz_ melléklet'!F12</f>
        <v>1100182.74</v>
      </c>
    </row>
    <row r="12" spans="1:5" ht="12.75">
      <c r="A12" s="448" t="s">
        <v>319</v>
      </c>
      <c r="B12" s="54" t="s">
        <v>927</v>
      </c>
      <c r="C12" s="56">
        <f>'13_sz_ melléklet'!F15</f>
        <v>1711038</v>
      </c>
      <c r="D12" s="54" t="s">
        <v>762</v>
      </c>
      <c r="E12" s="514">
        <f>'2_sz_ melléklet'!F14</f>
        <v>2463</v>
      </c>
    </row>
    <row r="13" spans="1:5" ht="12.75">
      <c r="A13" s="448" t="s">
        <v>320</v>
      </c>
      <c r="B13" s="54" t="s">
        <v>928</v>
      </c>
      <c r="C13" s="56">
        <f>'13_sz_ melléklet'!F24</f>
        <v>0</v>
      </c>
      <c r="D13" s="54" t="s">
        <v>763</v>
      </c>
      <c r="E13" s="514">
        <f>'2_sz_ melléklet'!F13</f>
        <v>0</v>
      </c>
    </row>
    <row r="14" spans="1:5" ht="12.75">
      <c r="A14" s="415" t="s">
        <v>321</v>
      </c>
      <c r="B14" s="321"/>
      <c r="C14" s="56"/>
      <c r="D14" s="54" t="s">
        <v>77</v>
      </c>
      <c r="E14" s="514"/>
    </row>
    <row r="15" spans="1:5" ht="12.75">
      <c r="A15" s="415" t="s">
        <v>322</v>
      </c>
      <c r="B15" s="57"/>
      <c r="C15" s="55"/>
      <c r="D15" s="54" t="s">
        <v>764</v>
      </c>
      <c r="E15" s="514">
        <f>'2_sz_ melléklet'!F15</f>
        <v>1597900</v>
      </c>
    </row>
    <row r="16" spans="1:5" ht="12.75">
      <c r="A16" s="452" t="s">
        <v>323</v>
      </c>
      <c r="B16" s="321"/>
      <c r="C16" s="55"/>
      <c r="D16" s="57" t="s">
        <v>1308</v>
      </c>
      <c r="E16" s="514">
        <f>-'34 sz melléklet'!C33</f>
        <v>-742793</v>
      </c>
    </row>
    <row r="17" spans="1:5" ht="12" customHeight="1" thickBot="1">
      <c r="A17" s="448"/>
      <c r="B17" s="1293"/>
      <c r="C17" s="1294"/>
      <c r="D17" s="57" t="s">
        <v>765</v>
      </c>
      <c r="E17" s="514">
        <f>'2_sz_ melléklet'!F23</f>
        <v>123501</v>
      </c>
    </row>
    <row r="18" spans="1:5" ht="13.5" thickBot="1">
      <c r="A18" s="510" t="s">
        <v>324</v>
      </c>
      <c r="B18" s="962" t="s">
        <v>78</v>
      </c>
      <c r="C18" s="963">
        <f>SUM(C9:C16)</f>
        <v>2952800</v>
      </c>
      <c r="D18" s="962" t="s">
        <v>79</v>
      </c>
      <c r="E18" s="964">
        <f>E9+E10+E11+E13+E14+E15+E16+E17</f>
        <v>3508508.74</v>
      </c>
    </row>
    <row r="19" spans="1:5" ht="6.75" customHeight="1" thickBot="1">
      <c r="A19" s="456"/>
      <c r="B19" s="960"/>
      <c r="C19" s="961"/>
      <c r="D19" s="960"/>
      <c r="E19" s="961"/>
    </row>
    <row r="20" spans="1:5" ht="14.25" customHeight="1">
      <c r="A20" s="1203" t="s">
        <v>325</v>
      </c>
      <c r="B20" s="1292" t="s">
        <v>929</v>
      </c>
      <c r="C20" s="1616">
        <f>'13_sz_ melléklet'!F47</f>
        <v>100000</v>
      </c>
      <c r="D20" s="1615" t="s">
        <v>766</v>
      </c>
      <c r="E20" s="1616">
        <f>'2_sz_ melléklet'!F48</f>
        <v>100000</v>
      </c>
    </row>
    <row r="21" spans="1:5" ht="12.75" customHeight="1">
      <c r="A21" s="451" t="s">
        <v>326</v>
      </c>
      <c r="B21" s="1288" t="s">
        <v>930</v>
      </c>
      <c r="C21" s="736">
        <f>'13_sz_ melléklet'!F48</f>
        <v>0</v>
      </c>
      <c r="D21" s="737" t="s">
        <v>770</v>
      </c>
      <c r="E21" s="736">
        <f>'2_sz_ melléklet'!F47</f>
        <v>0</v>
      </c>
    </row>
    <row r="22" spans="1:5" ht="12.75" customHeight="1">
      <c r="A22" s="451" t="s">
        <v>327</v>
      </c>
      <c r="B22" s="1291" t="s">
        <v>931</v>
      </c>
      <c r="C22" s="736">
        <f>'13_sz_ melléklet'!F49</f>
        <v>0</v>
      </c>
      <c r="D22" s="737" t="s">
        <v>940</v>
      </c>
      <c r="E22" s="736"/>
    </row>
    <row r="23" spans="1:5" ht="12.75" customHeight="1">
      <c r="A23" s="451" t="s">
        <v>328</v>
      </c>
      <c r="B23" s="1289" t="s">
        <v>933</v>
      </c>
      <c r="C23" s="736"/>
      <c r="D23" s="737"/>
      <c r="E23" s="736"/>
    </row>
    <row r="24" spans="1:5" ht="12.75" customHeight="1">
      <c r="A24" s="451" t="s">
        <v>329</v>
      </c>
      <c r="B24" s="1290" t="s">
        <v>932</v>
      </c>
      <c r="C24" s="1277">
        <f>'13_sz_ melléklet'!F50</f>
        <v>1742908</v>
      </c>
      <c r="D24" s="1278"/>
      <c r="E24" s="1277"/>
    </row>
    <row r="25" spans="1:5" ht="12.75" customHeight="1">
      <c r="A25" s="451" t="s">
        <v>330</v>
      </c>
      <c r="B25" s="1289" t="s">
        <v>933</v>
      </c>
      <c r="C25" s="1277">
        <f>-550762+1483-450-635580-470-18+3485+30639-5000</f>
        <v>-1156673</v>
      </c>
      <c r="D25" s="1278"/>
      <c r="E25" s="1277"/>
    </row>
    <row r="26" spans="1:5" ht="12.75" customHeight="1">
      <c r="A26" s="451" t="s">
        <v>331</v>
      </c>
      <c r="B26" s="1289" t="s">
        <v>939</v>
      </c>
      <c r="C26" s="1277">
        <f>'13_sz_ melléklet'!F54</f>
        <v>12023365</v>
      </c>
      <c r="D26" s="1278" t="s">
        <v>1343</v>
      </c>
      <c r="E26" s="1277">
        <f>'2_sz_ melléklet'!F44</f>
        <v>12023365</v>
      </c>
    </row>
    <row r="27" spans="1:5" ht="12.75" customHeight="1">
      <c r="A27" s="451" t="s">
        <v>332</v>
      </c>
      <c r="B27" s="1604" t="s">
        <v>1344</v>
      </c>
      <c r="C27" s="956">
        <f>'13_sz_ melléklet'!F51</f>
        <v>0</v>
      </c>
      <c r="D27" s="1605" t="s">
        <v>1345</v>
      </c>
      <c r="E27" s="1610">
        <f>'2_sz_ melléklet'!F43</f>
        <v>30526</v>
      </c>
    </row>
    <row r="28" spans="1:5" ht="13.5" thickBot="1">
      <c r="A28" s="1279" t="s">
        <v>333</v>
      </c>
      <c r="B28" s="954"/>
      <c r="C28" s="952"/>
      <c r="D28" s="955"/>
      <c r="E28" s="956"/>
    </row>
    <row r="29" spans="1:8" ht="13.5" thickBot="1">
      <c r="A29" s="953" t="s">
        <v>334</v>
      </c>
      <c r="B29" s="957" t="s">
        <v>80</v>
      </c>
      <c r="C29" s="958">
        <f>SUM(C18:C28)</f>
        <v>15662400</v>
      </c>
      <c r="D29" s="959" t="s">
        <v>81</v>
      </c>
      <c r="E29" s="958">
        <f>SUM(E18:E28)</f>
        <v>15662399.74</v>
      </c>
      <c r="H29" s="79"/>
    </row>
    <row r="30" spans="2:5" ht="8.25" customHeight="1">
      <c r="B30" s="51"/>
      <c r="C30" s="51"/>
      <c r="D30" s="51"/>
      <c r="E30" s="51"/>
    </row>
    <row r="31" spans="2:5" ht="15.75">
      <c r="B31" s="1716" t="s">
        <v>82</v>
      </c>
      <c r="C31" s="1716"/>
      <c r="D31" s="1716"/>
      <c r="E31" s="1716"/>
    </row>
    <row r="32" spans="2:5" ht="9.75" customHeight="1">
      <c r="B32" s="51"/>
      <c r="C32" s="51"/>
      <c r="D32" s="51"/>
      <c r="E32" s="51"/>
    </row>
    <row r="33" spans="2:5" ht="13.5" thickBot="1">
      <c r="B33" s="51"/>
      <c r="C33" s="51"/>
      <c r="D33" s="1713" t="s">
        <v>4</v>
      </c>
      <c r="E33" s="1713"/>
    </row>
    <row r="34" spans="1:5" ht="13.5" thickBot="1">
      <c r="A34" s="1717" t="s">
        <v>311</v>
      </c>
      <c r="B34" s="1714" t="s">
        <v>51</v>
      </c>
      <c r="C34" s="1714"/>
      <c r="D34" s="1714" t="s">
        <v>76</v>
      </c>
      <c r="E34" s="1715"/>
    </row>
    <row r="35" spans="1:5" ht="19.5" customHeight="1" thickBot="1">
      <c r="A35" s="1718"/>
      <c r="B35" s="58" t="s">
        <v>68</v>
      </c>
      <c r="C35" s="59" t="s">
        <v>1074</v>
      </c>
      <c r="D35" s="58" t="s">
        <v>68</v>
      </c>
      <c r="E35" s="516" t="s">
        <v>1074</v>
      </c>
    </row>
    <row r="36" spans="1:5" ht="13.5" thickBot="1">
      <c r="A36" s="449" t="s">
        <v>312</v>
      </c>
      <c r="B36" s="474" t="s">
        <v>313</v>
      </c>
      <c r="C36" s="477" t="s">
        <v>314</v>
      </c>
      <c r="D36" s="477" t="s">
        <v>315</v>
      </c>
      <c r="E36" s="466" t="s">
        <v>335</v>
      </c>
    </row>
    <row r="37" spans="1:5" ht="12.75">
      <c r="A37" s="765" t="s">
        <v>336</v>
      </c>
      <c r="B37" s="1303" t="s">
        <v>935</v>
      </c>
      <c r="C37" s="1295">
        <f>'13_sz_ melléklet'!F29</f>
        <v>0</v>
      </c>
      <c r="D37" s="60" t="s">
        <v>767</v>
      </c>
      <c r="E37" s="514">
        <f>'2_sz_ melléklet'!F27</f>
        <v>1113763</v>
      </c>
    </row>
    <row r="38" spans="1:5" ht="12.75">
      <c r="A38" s="765" t="s">
        <v>337</v>
      </c>
      <c r="B38" s="1304" t="s">
        <v>936</v>
      </c>
      <c r="C38" s="1296">
        <f>'13_sz_ melléklet'!F35</f>
        <v>791263</v>
      </c>
      <c r="D38" s="60" t="s">
        <v>768</v>
      </c>
      <c r="E38" s="514">
        <f>'2_sz_ melléklet'!F28</f>
        <v>190656</v>
      </c>
    </row>
    <row r="39" spans="1:5" ht="12.75">
      <c r="A39" s="765" t="s">
        <v>338</v>
      </c>
      <c r="B39" s="1305" t="s">
        <v>937</v>
      </c>
      <c r="C39" s="1296">
        <f>'13_sz_ melléklet'!F40</f>
        <v>75781</v>
      </c>
      <c r="D39" s="61" t="s">
        <v>769</v>
      </c>
      <c r="E39" s="515">
        <f>'2_sz_ melléklet'!F29</f>
        <v>193605</v>
      </c>
    </row>
    <row r="40" spans="1:5" ht="12.75">
      <c r="A40" s="765" t="s">
        <v>339</v>
      </c>
      <c r="B40" s="1306" t="s">
        <v>938</v>
      </c>
      <c r="C40" s="1296">
        <f>-C10</f>
        <v>217100</v>
      </c>
      <c r="D40" s="61" t="s">
        <v>85</v>
      </c>
      <c r="E40" s="515">
        <f>-E13</f>
        <v>0</v>
      </c>
    </row>
    <row r="41" spans="1:5" ht="12.75">
      <c r="A41" s="765" t="s">
        <v>340</v>
      </c>
      <c r="B41" s="1306"/>
      <c r="C41" s="1296"/>
      <c r="D41" s="61" t="s">
        <v>941</v>
      </c>
      <c r="E41" s="515">
        <f>-E16</f>
        <v>742793</v>
      </c>
    </row>
    <row r="42" spans="1:5" ht="13.5" thickBot="1">
      <c r="A42" s="932" t="s">
        <v>341</v>
      </c>
      <c r="B42" s="1306"/>
      <c r="C42" s="1296"/>
      <c r="D42" s="61"/>
      <c r="E42" s="515"/>
    </row>
    <row r="43" spans="1:5" ht="13.5" thickBot="1">
      <c r="A43" s="395" t="s">
        <v>342</v>
      </c>
      <c r="B43" s="1307" t="s">
        <v>86</v>
      </c>
      <c r="C43" s="1297">
        <f>C37+C38+C39+C40+C41+C42</f>
        <v>1084144</v>
      </c>
      <c r="D43" s="62" t="s">
        <v>87</v>
      </c>
      <c r="E43" s="1281">
        <f>E37+E38+E39+E40+E41+E42</f>
        <v>2240817</v>
      </c>
    </row>
    <row r="44" spans="1:5" ht="12.75">
      <c r="A44" s="765" t="s">
        <v>343</v>
      </c>
      <c r="B44" s="1320" t="s">
        <v>942</v>
      </c>
      <c r="C44" s="1298">
        <f>'13_sz_ melléklet'!F46</f>
        <v>0</v>
      </c>
      <c r="D44" s="1287"/>
      <c r="E44" s="1283"/>
    </row>
    <row r="45" spans="1:5" ht="15" customHeight="1">
      <c r="A45" s="765" t="s">
        <v>344</v>
      </c>
      <c r="B45" s="1308" t="s">
        <v>931</v>
      </c>
      <c r="C45" s="1299">
        <f>-C23</f>
        <v>0</v>
      </c>
      <c r="D45" s="737" t="s">
        <v>770</v>
      </c>
      <c r="E45" s="1284">
        <f>-E22</f>
        <v>0</v>
      </c>
    </row>
    <row r="46" spans="1:8" ht="15" customHeight="1">
      <c r="A46" s="765" t="s">
        <v>345</v>
      </c>
      <c r="B46" s="1309" t="s">
        <v>932</v>
      </c>
      <c r="C46" s="1300">
        <f>-C25</f>
        <v>1156673</v>
      </c>
      <c r="D46" s="1280"/>
      <c r="E46" s="1285"/>
      <c r="H46" s="79"/>
    </row>
    <row r="47" spans="1:5" ht="12" customHeight="1" thickBot="1">
      <c r="A47" s="932" t="s">
        <v>346</v>
      </c>
      <c r="B47" s="1310"/>
      <c r="C47" s="1301">
        <f>'42_sz_ melléklet'!J10</f>
        <v>0</v>
      </c>
      <c r="D47" s="1312" t="s">
        <v>771</v>
      </c>
      <c r="E47" s="1286">
        <f>'2_sz_ melléklet'!F50</f>
        <v>0</v>
      </c>
    </row>
    <row r="48" spans="1:5" ht="13.5" thickBot="1">
      <c r="A48" s="395" t="s">
        <v>347</v>
      </c>
      <c r="B48" s="1307" t="s">
        <v>89</v>
      </c>
      <c r="C48" s="1297">
        <f>SUM(C43:C47)</f>
        <v>2240817</v>
      </c>
      <c r="D48" s="62" t="s">
        <v>90</v>
      </c>
      <c r="E48" s="1282">
        <f>SUM(E43:E47)</f>
        <v>2240817</v>
      </c>
    </row>
    <row r="49" spans="1:5" ht="7.5" customHeight="1" thickBot="1">
      <c r="A49" s="1313"/>
      <c r="B49" s="1314"/>
      <c r="C49" s="1315"/>
      <c r="D49" s="1316"/>
      <c r="E49" s="949"/>
    </row>
    <row r="50" spans="1:5" ht="15.75" customHeight="1" thickBot="1">
      <c r="A50" s="408" t="s">
        <v>348</v>
      </c>
      <c r="B50" s="1317" t="s">
        <v>91</v>
      </c>
      <c r="C50" s="1302">
        <f>C18+C43</f>
        <v>4036944</v>
      </c>
      <c r="D50" s="1318" t="s">
        <v>92</v>
      </c>
      <c r="E50" s="958">
        <f>E18+E43</f>
        <v>5749325.74</v>
      </c>
    </row>
    <row r="51" spans="1:5" ht="12.75">
      <c r="A51" s="492" t="s">
        <v>349</v>
      </c>
      <c r="B51" s="1611" t="s">
        <v>929</v>
      </c>
      <c r="C51" s="1644">
        <f>C20</f>
        <v>100000</v>
      </c>
      <c r="D51" s="1321" t="s">
        <v>772</v>
      </c>
      <c r="E51" s="950">
        <f>E21</f>
        <v>0</v>
      </c>
    </row>
    <row r="52" spans="1:5" ht="12.75">
      <c r="A52" s="371" t="s">
        <v>350</v>
      </c>
      <c r="B52" s="1612" t="s">
        <v>930</v>
      </c>
      <c r="C52" s="951">
        <f>C21</f>
        <v>0</v>
      </c>
      <c r="D52" s="1607"/>
      <c r="E52" s="951"/>
    </row>
    <row r="53" spans="1:5" ht="12.75">
      <c r="A53" s="371" t="s">
        <v>351</v>
      </c>
      <c r="B53" s="1613" t="s">
        <v>942</v>
      </c>
      <c r="C53" s="951">
        <f>C44</f>
        <v>0</v>
      </c>
      <c r="D53" s="1607"/>
      <c r="E53" s="951"/>
    </row>
    <row r="54" spans="1:5" ht="12.75">
      <c r="A54" s="371" t="s">
        <v>352</v>
      </c>
      <c r="B54" s="1291" t="s">
        <v>931</v>
      </c>
      <c r="C54" s="951">
        <f>C22</f>
        <v>0</v>
      </c>
      <c r="D54" s="1607"/>
      <c r="E54" s="951"/>
    </row>
    <row r="55" spans="1:5" ht="12.75">
      <c r="A55" s="371" t="s">
        <v>353</v>
      </c>
      <c r="B55" s="1606" t="s">
        <v>932</v>
      </c>
      <c r="C55" s="736">
        <f>C24</f>
        <v>1742908</v>
      </c>
      <c r="D55" s="737" t="s">
        <v>1343</v>
      </c>
      <c r="E55" s="736">
        <f>E26</f>
        <v>12023365</v>
      </c>
    </row>
    <row r="56" spans="1:5" ht="12.75">
      <c r="A56" s="371" t="s">
        <v>354</v>
      </c>
      <c r="B56" s="1606" t="s">
        <v>1344</v>
      </c>
      <c r="C56" s="736">
        <f>C27</f>
        <v>0</v>
      </c>
      <c r="D56" s="1605" t="s">
        <v>1345</v>
      </c>
      <c r="E56" s="736">
        <f>E27</f>
        <v>30526</v>
      </c>
    </row>
    <row r="57" spans="1:5" ht="12.75">
      <c r="A57" s="371" t="s">
        <v>355</v>
      </c>
      <c r="B57" s="1291" t="s">
        <v>939</v>
      </c>
      <c r="C57" s="1319">
        <f>C26</f>
        <v>12023365</v>
      </c>
      <c r="D57" s="1608" t="s">
        <v>93</v>
      </c>
      <c r="E57" s="1319">
        <f>E20+E47</f>
        <v>100000</v>
      </c>
    </row>
    <row r="58" spans="1:5" ht="13.5" thickBot="1">
      <c r="A58" s="383" t="s">
        <v>356</v>
      </c>
      <c r="B58" s="1614" t="s">
        <v>854</v>
      </c>
      <c r="C58" s="1609">
        <f>'13_sz_ melléklet'!F53</f>
        <v>1219077</v>
      </c>
      <c r="D58" s="965" t="s">
        <v>773</v>
      </c>
      <c r="E58" s="952">
        <f>'2_sz_ melléklet'!F45</f>
        <v>1219077</v>
      </c>
    </row>
    <row r="59" spans="1:5" ht="13.5" thickBot="1">
      <c r="A59" s="395" t="s">
        <v>357</v>
      </c>
      <c r="B59" s="1311" t="s">
        <v>94</v>
      </c>
      <c r="C59" s="1302">
        <f>SUM(C50:C58)</f>
        <v>19122294</v>
      </c>
      <c r="D59" s="966" t="s">
        <v>95</v>
      </c>
      <c r="E59" s="958">
        <f>SUM(E50:E58)</f>
        <v>19122293.740000002</v>
      </c>
    </row>
    <row r="60" spans="2:5" ht="12.75">
      <c r="B60" s="1"/>
      <c r="C60" s="1"/>
      <c r="D60" s="1"/>
      <c r="E60" s="1"/>
    </row>
  </sheetData>
  <sheetProtection/>
  <mergeCells count="11">
    <mergeCell ref="A1:E1"/>
    <mergeCell ref="A3:E3"/>
    <mergeCell ref="D33:E33"/>
    <mergeCell ref="B34:C34"/>
    <mergeCell ref="D34:E34"/>
    <mergeCell ref="D5:E5"/>
    <mergeCell ref="B6:C6"/>
    <mergeCell ref="D6:E6"/>
    <mergeCell ref="B31:E31"/>
    <mergeCell ref="A6:A7"/>
    <mergeCell ref="A34:A3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1">
      <selection activeCell="G160" sqref="G160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654" t="s">
        <v>1441</v>
      </c>
      <c r="B1" s="1654"/>
      <c r="C1" s="1654"/>
      <c r="D1" s="1654"/>
      <c r="E1" s="1654"/>
      <c r="H1" s="22"/>
      <c r="I1" s="166"/>
      <c r="J1" s="166"/>
    </row>
    <row r="2" spans="2:10" s="16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741" t="s">
        <v>1351</v>
      </c>
      <c r="B3" s="1675"/>
      <c r="C3" s="1675"/>
      <c r="D3" s="1675"/>
      <c r="E3" s="1675"/>
      <c r="F3" s="310"/>
      <c r="G3" s="310"/>
      <c r="H3" s="42"/>
    </row>
    <row r="4" spans="1:8" s="1" customFormat="1" ht="15.75">
      <c r="A4" s="1741" t="s">
        <v>275</v>
      </c>
      <c r="B4" s="1678"/>
      <c r="C4" s="1678"/>
      <c r="D4" s="1678"/>
      <c r="E4" s="1678"/>
      <c r="F4"/>
      <c r="G4"/>
      <c r="H4" s="42"/>
    </row>
    <row r="5" spans="1:8" s="1" customFormat="1" ht="15.75">
      <c r="A5" s="1741" t="s">
        <v>1075</v>
      </c>
      <c r="B5" s="1675"/>
      <c r="C5" s="1675"/>
      <c r="D5" s="1675"/>
      <c r="E5" s="1675"/>
      <c r="F5"/>
      <c r="G5"/>
      <c r="H5" s="42"/>
    </row>
    <row r="7" spans="1:8" ht="14.25" customHeight="1">
      <c r="A7" s="1725" t="s">
        <v>276</v>
      </c>
      <c r="B7" s="1726"/>
      <c r="C7" s="1726"/>
      <c r="D7" s="1726"/>
      <c r="E7" s="1726"/>
      <c r="H7" s="311"/>
    </row>
    <row r="8" spans="1:5" ht="31.5" customHeight="1">
      <c r="A8" s="1729" t="s">
        <v>602</v>
      </c>
      <c r="B8" s="1678"/>
      <c r="C8" s="1678"/>
      <c r="D8" s="1678"/>
      <c r="E8" s="1678"/>
    </row>
    <row r="9" spans="1:5" ht="15.75">
      <c r="A9" s="1729" t="s">
        <v>603</v>
      </c>
      <c r="B9" s="1678"/>
      <c r="C9" s="1678"/>
      <c r="D9" s="310"/>
      <c r="E9" s="310"/>
    </row>
    <row r="10" spans="2:5" ht="15.75" thickBot="1">
      <c r="B10" s="200"/>
      <c r="C10" s="200"/>
      <c r="D10" s="200"/>
      <c r="E10" s="200" t="s">
        <v>228</v>
      </c>
    </row>
    <row r="11" spans="1:5" ht="27" thickBot="1">
      <c r="A11" s="512" t="s">
        <v>311</v>
      </c>
      <c r="B11" s="214" t="s">
        <v>277</v>
      </c>
      <c r="C11" s="523" t="s">
        <v>214</v>
      </c>
      <c r="D11" s="523" t="s">
        <v>215</v>
      </c>
      <c r="E11" s="518" t="s">
        <v>5</v>
      </c>
    </row>
    <row r="12" spans="1:5" ht="13.5" thickBot="1">
      <c r="A12" s="486" t="s">
        <v>312</v>
      </c>
      <c r="B12" s="474" t="s">
        <v>313</v>
      </c>
      <c r="C12" s="477" t="s">
        <v>314</v>
      </c>
      <c r="D12" s="477" t="s">
        <v>315</v>
      </c>
      <c r="E12" s="466" t="s">
        <v>335</v>
      </c>
    </row>
    <row r="13" spans="1:5" ht="15">
      <c r="A13" s="493" t="s">
        <v>316</v>
      </c>
      <c r="B13" s="215" t="s">
        <v>278</v>
      </c>
      <c r="C13" s="779"/>
      <c r="D13" s="524"/>
      <c r="E13" s="1042">
        <f aca="true" t="shared" si="0" ref="E13:E18">SUM(C13:D13)</f>
        <v>0</v>
      </c>
    </row>
    <row r="14" spans="1:5" ht="15">
      <c r="A14" s="452" t="s">
        <v>317</v>
      </c>
      <c r="B14" s="216" t="s">
        <v>279</v>
      </c>
      <c r="C14" s="530">
        <v>0</v>
      </c>
      <c r="D14" s="525"/>
      <c r="E14" s="522">
        <f t="shared" si="0"/>
        <v>0</v>
      </c>
    </row>
    <row r="15" spans="1:5" ht="15">
      <c r="A15" s="448" t="s">
        <v>318</v>
      </c>
      <c r="B15" s="215" t="s">
        <v>280</v>
      </c>
      <c r="C15" s="528">
        <f>' 27 28 sz. melléklet'!E20</f>
        <v>28808</v>
      </c>
      <c r="D15" s="524"/>
      <c r="E15" s="522">
        <f t="shared" si="0"/>
        <v>28808</v>
      </c>
    </row>
    <row r="16" spans="1:5" s="16" customFormat="1" ht="15">
      <c r="A16" s="448" t="s">
        <v>319</v>
      </c>
      <c r="B16" s="217" t="s">
        <v>281</v>
      </c>
      <c r="C16" s="525">
        <v>0</v>
      </c>
      <c r="D16" s="525"/>
      <c r="E16" s="519">
        <f t="shared" si="0"/>
        <v>0</v>
      </c>
    </row>
    <row r="17" spans="1:5" ht="15">
      <c r="A17" s="448" t="s">
        <v>320</v>
      </c>
      <c r="B17" s="218" t="s">
        <v>267</v>
      </c>
      <c r="C17" s="524">
        <v>0</v>
      </c>
      <c r="D17" s="524"/>
      <c r="E17" s="519">
        <f t="shared" si="0"/>
        <v>0</v>
      </c>
    </row>
    <row r="18" spans="1:5" ht="15.75" thickBot="1">
      <c r="A18" s="416" t="s">
        <v>321</v>
      </c>
      <c r="B18" s="352" t="s">
        <v>282</v>
      </c>
      <c r="C18" s="526">
        <v>0</v>
      </c>
      <c r="D18" s="526"/>
      <c r="E18" s="520">
        <f t="shared" si="0"/>
        <v>0</v>
      </c>
    </row>
    <row r="19" spans="1:5" ht="15" thickBot="1">
      <c r="A19" s="395" t="s">
        <v>322</v>
      </c>
      <c r="B19" s="211" t="s">
        <v>283</v>
      </c>
      <c r="C19" s="780">
        <f>SUM(C13:C18)-C14</f>
        <v>28808</v>
      </c>
      <c r="D19" s="780">
        <f>SUM(D13:D18)-D14</f>
        <v>0</v>
      </c>
      <c r="E19" s="780">
        <f>SUM(E13:E18)-E14</f>
        <v>28808</v>
      </c>
    </row>
    <row r="20" spans="1:5" ht="13.5" thickBot="1">
      <c r="A20" s="450" t="s">
        <v>323</v>
      </c>
      <c r="B20" s="15"/>
      <c r="C20" s="333"/>
      <c r="D20" s="333"/>
      <c r="E20" s="326"/>
    </row>
    <row r="21" spans="1:5" ht="15.75" thickBot="1">
      <c r="A21" s="395" t="s">
        <v>324</v>
      </c>
      <c r="B21" s="214" t="s">
        <v>284</v>
      </c>
      <c r="C21" s="523" t="s">
        <v>214</v>
      </c>
      <c r="D21" s="523" t="s">
        <v>215</v>
      </c>
      <c r="E21" s="518" t="s">
        <v>26</v>
      </c>
    </row>
    <row r="22" spans="1:5" ht="15.75">
      <c r="A22" s="429" t="s">
        <v>325</v>
      </c>
      <c r="B22" s="355" t="s">
        <v>298</v>
      </c>
      <c r="C22" s="527">
        <v>0</v>
      </c>
      <c r="D22" s="524"/>
      <c r="E22" s="521">
        <f>SUM(C22:D22)</f>
        <v>0</v>
      </c>
    </row>
    <row r="23" spans="1:5" ht="15.75">
      <c r="A23" s="415" t="s">
        <v>326</v>
      </c>
      <c r="B23" s="356" t="s">
        <v>299</v>
      </c>
      <c r="C23" s="525">
        <v>0</v>
      </c>
      <c r="D23" s="525"/>
      <c r="E23" s="519">
        <f>SUM(C23:D23)</f>
        <v>0</v>
      </c>
    </row>
    <row r="24" spans="1:5" ht="15.75">
      <c r="A24" s="415" t="s">
        <v>327</v>
      </c>
      <c r="B24" s="356" t="s">
        <v>300</v>
      </c>
      <c r="C24" s="525">
        <v>0</v>
      </c>
      <c r="D24" s="525"/>
      <c r="E24" s="519">
        <f>SUM(C24:D24)</f>
        <v>0</v>
      </c>
    </row>
    <row r="25" spans="1:5" ht="15.75">
      <c r="A25" s="415" t="s">
        <v>328</v>
      </c>
      <c r="B25" s="356" t="s">
        <v>301</v>
      </c>
      <c r="C25" s="528"/>
      <c r="D25" s="525"/>
      <c r="E25" s="522">
        <f>SUM(C25:D25)</f>
        <v>0</v>
      </c>
    </row>
    <row r="26" spans="1:5" ht="16.5" thickBot="1">
      <c r="A26" s="433" t="s">
        <v>329</v>
      </c>
      <c r="B26" s="517" t="s">
        <v>302</v>
      </c>
      <c r="C26" s="526">
        <v>0</v>
      </c>
      <c r="D26" s="526"/>
      <c r="E26" s="520">
        <f>SUM(C26:D26)</f>
        <v>0</v>
      </c>
    </row>
    <row r="27" spans="1:10" ht="15" thickBot="1">
      <c r="A27" s="395" t="s">
        <v>330</v>
      </c>
      <c r="B27" s="219" t="s">
        <v>287</v>
      </c>
      <c r="C27" s="780">
        <f>SUM(C22:C26)</f>
        <v>0</v>
      </c>
      <c r="D27" s="780">
        <f>SUM(D22:D26)</f>
        <v>0</v>
      </c>
      <c r="E27" s="780">
        <f>SUM(E22:E26)</f>
        <v>0</v>
      </c>
      <c r="F27" s="16"/>
      <c r="G27" s="16"/>
      <c r="H27" s="16"/>
      <c r="I27" s="16"/>
      <c r="J27" s="16"/>
    </row>
    <row r="28" spans="2:10" ht="14.25">
      <c r="B28" s="314"/>
      <c r="C28" s="92"/>
      <c r="D28" s="92"/>
      <c r="E28" s="92"/>
      <c r="F28" s="16"/>
      <c r="G28" s="16"/>
      <c r="H28" s="16"/>
      <c r="I28" s="16"/>
      <c r="J28" s="16"/>
    </row>
    <row r="29" spans="1:8" ht="18.75" customHeight="1">
      <c r="A29" s="1725" t="s">
        <v>276</v>
      </c>
      <c r="B29" s="1726"/>
      <c r="C29" s="1726"/>
      <c r="D29" s="1726"/>
      <c r="E29" s="1726"/>
      <c r="H29" s="311"/>
    </row>
    <row r="30" spans="1:5" ht="32.25" customHeight="1">
      <c r="A30" s="1744" t="s">
        <v>1304</v>
      </c>
      <c r="B30" s="1726"/>
      <c r="C30" s="1726"/>
      <c r="D30" s="1726"/>
      <c r="E30" s="1726"/>
    </row>
    <row r="31" spans="1:5" ht="15.75">
      <c r="A31" s="1727" t="s">
        <v>1305</v>
      </c>
      <c r="B31" s="1678"/>
      <c r="C31" s="1678"/>
      <c r="D31" s="1678"/>
      <c r="E31" s="1678"/>
    </row>
    <row r="32" spans="2:5" ht="10.5" customHeight="1" thickBot="1">
      <c r="B32" s="200"/>
      <c r="C32" s="200"/>
      <c r="D32" s="200"/>
      <c r="E32" s="200" t="s">
        <v>228</v>
      </c>
    </row>
    <row r="33" spans="1:5" ht="27" thickBot="1">
      <c r="A33" s="512" t="s">
        <v>311</v>
      </c>
      <c r="B33" s="214" t="s">
        <v>277</v>
      </c>
      <c r="C33" s="523" t="s">
        <v>214</v>
      </c>
      <c r="D33" s="523" t="s">
        <v>215</v>
      </c>
      <c r="E33" s="354" t="s">
        <v>5</v>
      </c>
    </row>
    <row r="34" spans="1:5" ht="13.5" thickBot="1">
      <c r="A34" s="486" t="s">
        <v>312</v>
      </c>
      <c r="B34" s="474" t="s">
        <v>313</v>
      </c>
      <c r="C34" s="477" t="s">
        <v>314</v>
      </c>
      <c r="D34" s="477" t="s">
        <v>315</v>
      </c>
      <c r="E34" s="466" t="s">
        <v>335</v>
      </c>
    </row>
    <row r="35" spans="1:5" ht="15">
      <c r="A35" s="493" t="s">
        <v>316</v>
      </c>
      <c r="B35" s="215" t="s">
        <v>278</v>
      </c>
      <c r="C35" s="337"/>
      <c r="D35" s="208"/>
      <c r="E35" s="360">
        <f aca="true" t="shared" si="1" ref="E35:E40">SUM(C35:D35)</f>
        <v>0</v>
      </c>
    </row>
    <row r="36" spans="1:5" ht="15">
      <c r="A36" s="452" t="s">
        <v>317</v>
      </c>
      <c r="B36" s="216" t="s">
        <v>279</v>
      </c>
      <c r="C36" s="220">
        <v>0</v>
      </c>
      <c r="D36" s="220"/>
      <c r="E36" s="359">
        <f t="shared" si="1"/>
        <v>0</v>
      </c>
    </row>
    <row r="37" spans="1:5" ht="15">
      <c r="A37" s="448" t="s">
        <v>318</v>
      </c>
      <c r="B37" s="215" t="s">
        <v>280</v>
      </c>
      <c r="C37" s="220">
        <f>640+312</f>
        <v>952</v>
      </c>
      <c r="D37" s="208"/>
      <c r="E37" s="359">
        <f t="shared" si="1"/>
        <v>952</v>
      </c>
    </row>
    <row r="38" spans="1:5" s="16" customFormat="1" ht="15">
      <c r="A38" s="448" t="s">
        <v>319</v>
      </c>
      <c r="B38" s="217" t="s">
        <v>281</v>
      </c>
      <c r="C38" s="220">
        <v>0</v>
      </c>
      <c r="D38" s="210"/>
      <c r="E38" s="359">
        <f t="shared" si="1"/>
        <v>0</v>
      </c>
    </row>
    <row r="39" spans="1:5" ht="15">
      <c r="A39" s="448" t="s">
        <v>320</v>
      </c>
      <c r="B39" s="218" t="s">
        <v>267</v>
      </c>
      <c r="C39" s="337">
        <v>0</v>
      </c>
      <c r="D39" s="208"/>
      <c r="E39" s="359">
        <f t="shared" si="1"/>
        <v>0</v>
      </c>
    </row>
    <row r="40" spans="1:5" ht="15.75" thickBot="1">
      <c r="A40" s="416" t="s">
        <v>321</v>
      </c>
      <c r="B40" s="217" t="s">
        <v>282</v>
      </c>
      <c r="C40" s="220"/>
      <c r="D40" s="210"/>
      <c r="E40" s="359">
        <f t="shared" si="1"/>
        <v>0</v>
      </c>
    </row>
    <row r="41" spans="1:5" ht="15" thickBot="1">
      <c r="A41" s="395" t="s">
        <v>322</v>
      </c>
      <c r="B41" s="211" t="s">
        <v>283</v>
      </c>
      <c r="C41" s="338">
        <f>SUM(C35:C40)</f>
        <v>952</v>
      </c>
      <c r="D41" s="338">
        <f>SUM(D35:D40)</f>
        <v>0</v>
      </c>
      <c r="E41" s="529">
        <f>SUM(E35:E40)</f>
        <v>952</v>
      </c>
    </row>
    <row r="42" spans="1:5" ht="15" thickBot="1">
      <c r="A42" s="450" t="s">
        <v>323</v>
      </c>
      <c r="B42" s="92"/>
      <c r="C42" s="92"/>
      <c r="D42" s="92"/>
      <c r="E42" s="568"/>
    </row>
    <row r="43" spans="1:5" ht="15.75" thickBot="1">
      <c r="A43" s="395" t="s">
        <v>324</v>
      </c>
      <c r="B43" s="214" t="s">
        <v>284</v>
      </c>
      <c r="C43" s="523" t="s">
        <v>214</v>
      </c>
      <c r="D43" s="523" t="s">
        <v>215</v>
      </c>
      <c r="E43" s="354" t="s">
        <v>26</v>
      </c>
    </row>
    <row r="44" spans="1:5" ht="15.75">
      <c r="A44" s="429" t="s">
        <v>325</v>
      </c>
      <c r="B44" s="355" t="s">
        <v>298</v>
      </c>
      <c r="C44" s="357">
        <f>504+246</f>
        <v>750</v>
      </c>
      <c r="D44" s="208"/>
      <c r="E44" s="358">
        <f>SUM(C44:D44)</f>
        <v>750</v>
      </c>
    </row>
    <row r="45" spans="1:5" ht="15.75">
      <c r="A45" s="415" t="s">
        <v>326</v>
      </c>
      <c r="B45" s="356" t="s">
        <v>299</v>
      </c>
      <c r="C45" s="209">
        <f>136+66</f>
        <v>202</v>
      </c>
      <c r="D45" s="210"/>
      <c r="E45" s="351">
        <f>SUM(C45:D45)</f>
        <v>202</v>
      </c>
    </row>
    <row r="46" spans="1:5" ht="15.75">
      <c r="A46" s="415" t="s">
        <v>327</v>
      </c>
      <c r="B46" s="356" t="s">
        <v>300</v>
      </c>
      <c r="C46" s="209">
        <v>0</v>
      </c>
      <c r="D46" s="210"/>
      <c r="E46" s="351">
        <f>SUM(C46:D46)</f>
        <v>0</v>
      </c>
    </row>
    <row r="47" spans="1:5" ht="15.75">
      <c r="A47" s="415" t="s">
        <v>328</v>
      </c>
      <c r="B47" s="356" t="s">
        <v>301</v>
      </c>
      <c r="C47" s="337"/>
      <c r="D47" s="210"/>
      <c r="E47" s="359">
        <f>SUM(C47:D47)</f>
        <v>0</v>
      </c>
    </row>
    <row r="48" spans="1:5" ht="16.5" thickBot="1">
      <c r="A48" s="433" t="s">
        <v>329</v>
      </c>
      <c r="B48" s="356" t="s">
        <v>302</v>
      </c>
      <c r="C48" s="353">
        <v>0</v>
      </c>
      <c r="D48" s="210"/>
      <c r="E48" s="351">
        <f>SUM(C48:D48)</f>
        <v>0</v>
      </c>
    </row>
    <row r="49" spans="1:10" ht="15" thickBot="1">
      <c r="A49" s="395" t="s">
        <v>330</v>
      </c>
      <c r="B49" s="219" t="s">
        <v>287</v>
      </c>
      <c r="C49" s="338">
        <f>SUM(C44:C48)</f>
        <v>952</v>
      </c>
      <c r="D49" s="338">
        <f>SUM(D44:D48)</f>
        <v>0</v>
      </c>
      <c r="E49" s="529">
        <f>SUM(E44:E48)</f>
        <v>952</v>
      </c>
      <c r="F49" s="16"/>
      <c r="G49" s="16"/>
      <c r="H49" s="16"/>
      <c r="I49" s="16"/>
      <c r="J49" s="16"/>
    </row>
    <row r="50" spans="2:10" ht="14.25">
      <c r="B50" s="314"/>
      <c r="C50" s="92"/>
      <c r="D50" s="92"/>
      <c r="E50" s="92"/>
      <c r="F50" s="16"/>
      <c r="G50" s="16"/>
      <c r="H50" s="16"/>
      <c r="I50" s="16"/>
      <c r="J50" s="16"/>
    </row>
    <row r="51" spans="1:10" ht="12.75">
      <c r="A51" s="1654" t="s">
        <v>1441</v>
      </c>
      <c r="B51" s="1654"/>
      <c r="C51" s="1654"/>
      <c r="D51" s="1654"/>
      <c r="E51" s="1654"/>
      <c r="F51" s="16"/>
      <c r="G51" s="16"/>
      <c r="H51" s="16"/>
      <c r="I51" s="16"/>
      <c r="J51" s="16"/>
    </row>
    <row r="52" spans="1:10" ht="12.75">
      <c r="A52" s="1675">
        <v>2</v>
      </c>
      <c r="B52" s="1675"/>
      <c r="C52" s="1675"/>
      <c r="D52" s="1675"/>
      <c r="E52" s="1675"/>
      <c r="F52" s="16"/>
      <c r="G52" s="16"/>
      <c r="H52" s="16"/>
      <c r="I52" s="16"/>
      <c r="J52" s="16"/>
    </row>
    <row r="53" spans="1:10" ht="12.75">
      <c r="A53" s="13"/>
      <c r="B53" s="13"/>
      <c r="C53" s="13"/>
      <c r="D53" s="13"/>
      <c r="E53" s="13"/>
      <c r="F53" s="16"/>
      <c r="G53" s="16"/>
      <c r="H53" s="16"/>
      <c r="I53" s="16"/>
      <c r="J53" s="16"/>
    </row>
    <row r="54" spans="6:10" ht="12.75">
      <c r="F54" s="16"/>
      <c r="G54" s="16"/>
      <c r="H54" s="16"/>
      <c r="I54" s="16"/>
      <c r="J54" s="16"/>
    </row>
    <row r="55" spans="1:5" ht="15.75" customHeight="1">
      <c r="A55" s="1729" t="s">
        <v>1076</v>
      </c>
      <c r="B55" s="1678"/>
      <c r="C55" s="1678"/>
      <c r="D55" s="1678"/>
      <c r="E55" s="1678"/>
    </row>
    <row r="56" spans="1:5" ht="15.75">
      <c r="A56" s="1729" t="s">
        <v>1077</v>
      </c>
      <c r="B56" s="1678"/>
      <c r="C56" s="1678"/>
      <c r="D56" s="1678"/>
      <c r="E56" s="1678"/>
    </row>
    <row r="57" spans="2:5" ht="15.75" thickBot="1">
      <c r="B57" s="200"/>
      <c r="C57" s="200"/>
      <c r="D57" s="200"/>
      <c r="E57" s="200" t="s">
        <v>228</v>
      </c>
    </row>
    <row r="58" spans="1:5" ht="27" thickBot="1">
      <c r="A58" s="512" t="s">
        <v>311</v>
      </c>
      <c r="B58" s="214" t="s">
        <v>277</v>
      </c>
      <c r="C58" s="523" t="s">
        <v>214</v>
      </c>
      <c r="D58" s="523" t="s">
        <v>215</v>
      </c>
      <c r="E58" s="354" t="s">
        <v>5</v>
      </c>
    </row>
    <row r="59" spans="1:5" ht="13.5" thickBot="1">
      <c r="A59" s="486" t="s">
        <v>312</v>
      </c>
      <c r="B59" s="474" t="s">
        <v>313</v>
      </c>
      <c r="C59" s="474" t="s">
        <v>314</v>
      </c>
      <c r="D59" s="477" t="s">
        <v>315</v>
      </c>
      <c r="E59" s="466" t="s">
        <v>335</v>
      </c>
    </row>
    <row r="60" spans="1:5" ht="15">
      <c r="A60" s="493" t="s">
        <v>316</v>
      </c>
      <c r="B60" s="215" t="s">
        <v>278</v>
      </c>
      <c r="C60" s="782"/>
      <c r="D60" s="208"/>
      <c r="E60" s="360">
        <f aca="true" t="shared" si="2" ref="E60:E65">SUM(C60:D60)</f>
        <v>0</v>
      </c>
    </row>
    <row r="61" spans="1:5" ht="15">
      <c r="A61" s="452" t="s">
        <v>317</v>
      </c>
      <c r="B61" s="216" t="s">
        <v>279</v>
      </c>
      <c r="C61" s="781">
        <v>0</v>
      </c>
      <c r="D61" s="210"/>
      <c r="E61" s="359">
        <f t="shared" si="2"/>
        <v>0</v>
      </c>
    </row>
    <row r="62" spans="1:5" ht="15">
      <c r="A62" s="448" t="s">
        <v>318</v>
      </c>
      <c r="B62" s="215" t="s">
        <v>280</v>
      </c>
      <c r="C62" s="337"/>
      <c r="D62" s="208"/>
      <c r="E62" s="359">
        <f t="shared" si="2"/>
        <v>0</v>
      </c>
    </row>
    <row r="63" spans="1:5" s="16" customFormat="1" ht="15">
      <c r="A63" s="448" t="s">
        <v>319</v>
      </c>
      <c r="B63" s="217" t="s">
        <v>281</v>
      </c>
      <c r="C63" s="220">
        <v>0</v>
      </c>
      <c r="D63" s="210"/>
      <c r="E63" s="359">
        <f t="shared" si="2"/>
        <v>0</v>
      </c>
    </row>
    <row r="64" spans="1:5" ht="15">
      <c r="A64" s="448" t="s">
        <v>320</v>
      </c>
      <c r="B64" s="218" t="s">
        <v>267</v>
      </c>
      <c r="C64" s="337">
        <v>0</v>
      </c>
      <c r="D64" s="208"/>
      <c r="E64" s="359">
        <f t="shared" si="2"/>
        <v>0</v>
      </c>
    </row>
    <row r="65" spans="1:5" ht="15.75" thickBot="1">
      <c r="A65" s="416" t="s">
        <v>321</v>
      </c>
      <c r="B65" s="217" t="s">
        <v>282</v>
      </c>
      <c r="C65" s="220">
        <v>0</v>
      </c>
      <c r="D65" s="210"/>
      <c r="E65" s="359">
        <f t="shared" si="2"/>
        <v>0</v>
      </c>
    </row>
    <row r="66" spans="1:5" ht="15" thickBot="1">
      <c r="A66" s="509" t="s">
        <v>322</v>
      </c>
      <c r="B66" s="211" t="s">
        <v>283</v>
      </c>
      <c r="C66" s="338">
        <f>SUM(C60:C65)-C61</f>
        <v>0</v>
      </c>
      <c r="D66" s="920">
        <f>SUM(D60:D65)-D61</f>
        <v>0</v>
      </c>
      <c r="E66" s="780">
        <f>SUM(E60:E65)-E61</f>
        <v>0</v>
      </c>
    </row>
    <row r="67" spans="1:5" ht="13.5" thickBot="1">
      <c r="A67" s="448" t="s">
        <v>323</v>
      </c>
      <c r="B67" s="15"/>
      <c r="C67" s="15"/>
      <c r="D67" s="15"/>
      <c r="E67" s="326"/>
    </row>
    <row r="68" spans="1:5" ht="15.75" thickBot="1">
      <c r="A68" s="448" t="s">
        <v>324</v>
      </c>
      <c r="B68" s="214" t="s">
        <v>284</v>
      </c>
      <c r="C68" s="523" t="s">
        <v>214</v>
      </c>
      <c r="D68" s="523" t="s">
        <v>215</v>
      </c>
      <c r="E68" s="354" t="s">
        <v>26</v>
      </c>
    </row>
    <row r="69" spans="1:5" ht="15.75">
      <c r="A69" s="448" t="s">
        <v>325</v>
      </c>
      <c r="B69" s="339" t="s">
        <v>298</v>
      </c>
      <c r="C69" s="340">
        <v>0</v>
      </c>
      <c r="D69" s="340"/>
      <c r="E69" s="360">
        <f>SUM(C69:D69)</f>
        <v>0</v>
      </c>
    </row>
    <row r="70" spans="1:5" ht="15.75">
      <c r="A70" s="448" t="s">
        <v>326</v>
      </c>
      <c r="B70" s="341" t="s">
        <v>299</v>
      </c>
      <c r="C70" s="342">
        <v>0</v>
      </c>
      <c r="D70" s="342"/>
      <c r="E70" s="359">
        <f>SUM(C70:D70)</f>
        <v>0</v>
      </c>
    </row>
    <row r="71" spans="1:5" ht="15.75">
      <c r="A71" s="448" t="s">
        <v>327</v>
      </c>
      <c r="B71" s="341" t="s">
        <v>300</v>
      </c>
      <c r="C71" s="342">
        <v>0</v>
      </c>
      <c r="D71" s="342"/>
      <c r="E71" s="359">
        <f>SUM(C71:D71)</f>
        <v>0</v>
      </c>
    </row>
    <row r="72" spans="1:5" ht="15.75">
      <c r="A72" s="448" t="s">
        <v>328</v>
      </c>
      <c r="B72" s="341" t="s">
        <v>301</v>
      </c>
      <c r="C72" s="342"/>
      <c r="D72" s="342"/>
      <c r="E72" s="359">
        <f>SUM(C72:D72)</f>
        <v>0</v>
      </c>
    </row>
    <row r="73" spans="1:5" ht="16.5" thickBot="1">
      <c r="A73" s="448" t="s">
        <v>329</v>
      </c>
      <c r="B73" s="343" t="s">
        <v>302</v>
      </c>
      <c r="C73" s="342">
        <v>0</v>
      </c>
      <c r="D73" s="342"/>
      <c r="E73" s="359">
        <f>SUM(C73:D73)</f>
        <v>0</v>
      </c>
    </row>
    <row r="74" spans="1:10" ht="15" thickBot="1">
      <c r="A74" s="567" t="s">
        <v>330</v>
      </c>
      <c r="B74" s="219" t="s">
        <v>287</v>
      </c>
      <c r="C74" s="338">
        <f>SUM(C69:C73)</f>
        <v>0</v>
      </c>
      <c r="D74" s="344"/>
      <c r="E74" s="529">
        <f>SUM(E69:E73)</f>
        <v>0</v>
      </c>
      <c r="F74" s="16"/>
      <c r="G74" s="16"/>
      <c r="H74" s="16"/>
      <c r="I74" s="16"/>
      <c r="J74" s="16"/>
    </row>
    <row r="75" spans="2:10" ht="23.25" customHeight="1">
      <c r="B75" s="314"/>
      <c r="C75" s="345"/>
      <c r="D75" s="345"/>
      <c r="E75" s="345"/>
      <c r="F75" s="16"/>
      <c r="G75" s="16"/>
      <c r="H75" s="16"/>
      <c r="I75" s="16"/>
      <c r="J75" s="16"/>
    </row>
    <row r="76" spans="2:10" ht="14.25">
      <c r="B76" s="314"/>
      <c r="C76" s="345"/>
      <c r="D76" s="345"/>
      <c r="E76" s="345"/>
      <c r="F76" s="16"/>
      <c r="G76" s="16"/>
      <c r="H76" s="16"/>
      <c r="I76" s="16"/>
      <c r="J76" s="16"/>
    </row>
    <row r="77" spans="2:10" ht="14.25">
      <c r="B77" s="314"/>
      <c r="C77" s="345"/>
      <c r="D77" s="345"/>
      <c r="E77" s="345"/>
      <c r="F77" s="16"/>
      <c r="G77" s="16"/>
      <c r="H77" s="16"/>
      <c r="I77" s="16"/>
      <c r="J77" s="16"/>
    </row>
    <row r="78" spans="2:5" ht="14.25">
      <c r="B78" s="314"/>
      <c r="C78" s="345"/>
      <c r="D78" s="345"/>
      <c r="E78" s="345"/>
    </row>
    <row r="79" spans="1:5" ht="15.75" customHeight="1">
      <c r="A79" s="1728" t="s">
        <v>1002</v>
      </c>
      <c r="B79" s="1728"/>
      <c r="C79" s="1728"/>
      <c r="D79" s="1728"/>
      <c r="E79" s="1728"/>
    </row>
    <row r="80" spans="1:5" s="917" customFormat="1" ht="15.75" customHeight="1">
      <c r="A80" s="1740" t="s">
        <v>1078</v>
      </c>
      <c r="B80" s="1740"/>
      <c r="C80" s="1740"/>
      <c r="D80" s="1740"/>
      <c r="E80" s="1740"/>
    </row>
    <row r="81" spans="2:5" ht="15.75" thickBot="1">
      <c r="B81" s="200"/>
      <c r="C81" s="200"/>
      <c r="D81" s="200"/>
      <c r="E81" s="200" t="s">
        <v>228</v>
      </c>
    </row>
    <row r="82" spans="1:5" ht="27" thickBot="1">
      <c r="A82" s="512" t="s">
        <v>311</v>
      </c>
      <c r="B82" s="214" t="s">
        <v>277</v>
      </c>
      <c r="C82" s="523" t="s">
        <v>214</v>
      </c>
      <c r="D82" s="523" t="s">
        <v>215</v>
      </c>
      <c r="E82" s="354" t="s">
        <v>5</v>
      </c>
    </row>
    <row r="83" spans="1:5" ht="13.5" thickBot="1">
      <c r="A83" s="486" t="s">
        <v>312</v>
      </c>
      <c r="B83" s="474" t="s">
        <v>313</v>
      </c>
      <c r="C83" s="474" t="s">
        <v>314</v>
      </c>
      <c r="D83" s="477" t="s">
        <v>315</v>
      </c>
      <c r="E83" s="466" t="s">
        <v>335</v>
      </c>
    </row>
    <row r="84" spans="1:5" ht="15">
      <c r="A84" s="493" t="s">
        <v>316</v>
      </c>
      <c r="B84" s="215" t="s">
        <v>278</v>
      </c>
      <c r="C84" s="337"/>
      <c r="D84" s="208"/>
      <c r="E84" s="360">
        <f aca="true" t="shared" si="3" ref="E84:E89">SUM(C84:D84)</f>
        <v>0</v>
      </c>
    </row>
    <row r="85" spans="1:5" s="16" customFormat="1" ht="15">
      <c r="A85" s="452" t="s">
        <v>317</v>
      </c>
      <c r="B85" s="216" t="s">
        <v>279</v>
      </c>
      <c r="C85" s="220">
        <v>0</v>
      </c>
      <c r="D85" s="210"/>
      <c r="E85" s="359">
        <f t="shared" si="3"/>
        <v>0</v>
      </c>
    </row>
    <row r="86" spans="1:5" ht="15">
      <c r="A86" s="448" t="s">
        <v>318</v>
      </c>
      <c r="B86" s="215" t="s">
        <v>280</v>
      </c>
      <c r="C86" s="337"/>
      <c r="D86" s="208"/>
      <c r="E86" s="359">
        <f t="shared" si="3"/>
        <v>0</v>
      </c>
    </row>
    <row r="87" spans="1:5" ht="15">
      <c r="A87" s="448" t="s">
        <v>319</v>
      </c>
      <c r="B87" s="217" t="s">
        <v>281</v>
      </c>
      <c r="C87" s="220">
        <v>0</v>
      </c>
      <c r="D87" s="210"/>
      <c r="E87" s="359">
        <f t="shared" si="3"/>
        <v>0</v>
      </c>
    </row>
    <row r="88" spans="1:5" ht="15">
      <c r="A88" s="448" t="s">
        <v>320</v>
      </c>
      <c r="B88" s="218" t="s">
        <v>267</v>
      </c>
      <c r="C88" s="337">
        <v>0</v>
      </c>
      <c r="D88" s="208"/>
      <c r="E88" s="359">
        <f t="shared" si="3"/>
        <v>0</v>
      </c>
    </row>
    <row r="89" spans="1:5" ht="15.75" thickBot="1">
      <c r="A89" s="416" t="s">
        <v>321</v>
      </c>
      <c r="B89" s="217" t="s">
        <v>282</v>
      </c>
      <c r="C89" s="220">
        <v>0</v>
      </c>
      <c r="D89" s="210"/>
      <c r="E89" s="359">
        <f t="shared" si="3"/>
        <v>0</v>
      </c>
    </row>
    <row r="90" spans="1:5" ht="15" thickBot="1">
      <c r="A90" s="509" t="s">
        <v>322</v>
      </c>
      <c r="B90" s="211" t="s">
        <v>283</v>
      </c>
      <c r="C90" s="338">
        <f>SUM(C84:C89)</f>
        <v>0</v>
      </c>
      <c r="D90" s="212">
        <v>0</v>
      </c>
      <c r="E90" s="529">
        <f>SUM(E84:E89)</f>
        <v>0</v>
      </c>
    </row>
    <row r="91" spans="1:5" ht="13.5" thickBot="1">
      <c r="A91" s="448" t="s">
        <v>323</v>
      </c>
      <c r="B91" s="15"/>
      <c r="C91" s="15"/>
      <c r="D91" s="15"/>
      <c r="E91" s="326"/>
    </row>
    <row r="92" spans="1:5" ht="15.75" thickBot="1">
      <c r="A92" s="448" t="s">
        <v>324</v>
      </c>
      <c r="B92" s="214" t="s">
        <v>284</v>
      </c>
      <c r="C92" s="523" t="s">
        <v>214</v>
      </c>
      <c r="D92" s="523" t="s">
        <v>215</v>
      </c>
      <c r="E92" s="354" t="s">
        <v>26</v>
      </c>
    </row>
    <row r="93" spans="1:5" ht="15.75">
      <c r="A93" s="448" t="s">
        <v>325</v>
      </c>
      <c r="B93" s="339" t="s">
        <v>298</v>
      </c>
      <c r="C93" s="340">
        <v>0</v>
      </c>
      <c r="D93" s="340"/>
      <c r="E93" s="360">
        <f>SUM(C93:D93)</f>
        <v>0</v>
      </c>
    </row>
    <row r="94" spans="1:5" ht="15.75">
      <c r="A94" s="448" t="s">
        <v>326</v>
      </c>
      <c r="B94" s="341" t="s">
        <v>299</v>
      </c>
      <c r="C94" s="342">
        <v>0</v>
      </c>
      <c r="D94" s="342"/>
      <c r="E94" s="359">
        <f>SUM(C94:D94)</f>
        <v>0</v>
      </c>
    </row>
    <row r="95" spans="1:5" ht="15.75">
      <c r="A95" s="448" t="s">
        <v>327</v>
      </c>
      <c r="B95" s="341" t="s">
        <v>300</v>
      </c>
      <c r="C95" s="342">
        <v>0</v>
      </c>
      <c r="D95" s="342"/>
      <c r="E95" s="359">
        <f>SUM(C95:D95)</f>
        <v>0</v>
      </c>
    </row>
    <row r="96" spans="1:10" ht="15.75">
      <c r="A96" s="448" t="s">
        <v>328</v>
      </c>
      <c r="B96" s="341" t="s">
        <v>301</v>
      </c>
      <c r="C96" s="342"/>
      <c r="D96" s="342"/>
      <c r="E96" s="359">
        <f>SUM(C96:D96)</f>
        <v>0</v>
      </c>
      <c r="F96" s="16"/>
      <c r="G96" s="16"/>
      <c r="H96" s="16"/>
      <c r="I96" s="16"/>
      <c r="J96" s="16"/>
    </row>
    <row r="97" spans="1:10" ht="16.5" thickBot="1">
      <c r="A97" s="448" t="s">
        <v>329</v>
      </c>
      <c r="B97" s="343" t="s">
        <v>302</v>
      </c>
      <c r="C97" s="342">
        <v>0</v>
      </c>
      <c r="D97" s="342"/>
      <c r="E97" s="359">
        <f>SUM(C97:D97)</f>
        <v>0</v>
      </c>
      <c r="F97" s="16"/>
      <c r="G97" s="16"/>
      <c r="H97" s="16"/>
      <c r="I97" s="16"/>
      <c r="J97" s="16"/>
    </row>
    <row r="98" spans="1:10" ht="15" thickBot="1">
      <c r="A98" s="567" t="s">
        <v>330</v>
      </c>
      <c r="B98" s="219" t="s">
        <v>287</v>
      </c>
      <c r="C98" s="338">
        <f>SUM(C93:C97)</f>
        <v>0</v>
      </c>
      <c r="D98" s="344">
        <v>0</v>
      </c>
      <c r="E98" s="529">
        <f>SUM(E93:E97)</f>
        <v>0</v>
      </c>
      <c r="F98" s="16"/>
      <c r="G98" s="16"/>
      <c r="H98" s="16"/>
      <c r="I98" s="16"/>
      <c r="J98" s="16"/>
    </row>
    <row r="99" spans="2:10" ht="14.25">
      <c r="B99" s="314"/>
      <c r="C99" s="345"/>
      <c r="D99" s="345"/>
      <c r="E99" s="345"/>
      <c r="F99" s="16"/>
      <c r="G99" s="16"/>
      <c r="H99" s="16"/>
      <c r="I99" s="16"/>
      <c r="J99" s="16"/>
    </row>
    <row r="100" spans="1:5" s="16" customFormat="1" ht="14.25">
      <c r="A100"/>
      <c r="B100" s="314"/>
      <c r="C100" s="345"/>
      <c r="D100" s="345"/>
      <c r="E100" s="345"/>
    </row>
    <row r="101" spans="2:5" ht="14.25">
      <c r="B101" s="314"/>
      <c r="C101" s="345"/>
      <c r="D101" s="345"/>
      <c r="E101" s="345"/>
    </row>
    <row r="102" spans="2:5" ht="14.25">
      <c r="B102" s="314"/>
      <c r="C102" s="345"/>
      <c r="D102" s="345"/>
      <c r="E102" s="345"/>
    </row>
    <row r="103" spans="1:10" ht="12.75">
      <c r="A103" s="1654" t="s">
        <v>1441</v>
      </c>
      <c r="B103" s="1654"/>
      <c r="C103" s="1654"/>
      <c r="D103" s="1654"/>
      <c r="E103" s="1654"/>
      <c r="F103" s="16"/>
      <c r="G103" s="16"/>
      <c r="H103" s="16"/>
      <c r="I103" s="16"/>
      <c r="J103" s="16"/>
    </row>
    <row r="104" spans="1:10" ht="12.75">
      <c r="A104" s="1675">
        <v>3</v>
      </c>
      <c r="B104" s="1675"/>
      <c r="C104" s="1675"/>
      <c r="D104" s="1675"/>
      <c r="E104" s="1675"/>
      <c r="F104" s="16"/>
      <c r="G104" s="16"/>
      <c r="H104" s="16"/>
      <c r="I104" s="16"/>
      <c r="J104" s="16"/>
    </row>
    <row r="105" spans="1:10" ht="12.75">
      <c r="A105" s="13"/>
      <c r="B105" s="13"/>
      <c r="C105" s="13"/>
      <c r="D105" s="13"/>
      <c r="E105" s="13"/>
      <c r="F105" s="16"/>
      <c r="G105" s="16"/>
      <c r="H105" s="16"/>
      <c r="I105" s="16"/>
      <c r="J105" s="16"/>
    </row>
    <row r="106" spans="1:10" ht="12.75">
      <c r="A106" s="1725" t="s">
        <v>1352</v>
      </c>
      <c r="B106" s="1726"/>
      <c r="C106" s="1726"/>
      <c r="D106" s="1726"/>
      <c r="E106" s="1726"/>
      <c r="F106" s="16"/>
      <c r="G106" s="16"/>
      <c r="H106" s="16"/>
      <c r="I106" s="16"/>
      <c r="J106" s="16"/>
    </row>
    <row r="107" spans="2:5" ht="14.25">
      <c r="B107" s="314"/>
      <c r="C107" s="345"/>
      <c r="D107" s="345"/>
      <c r="E107" s="345"/>
    </row>
    <row r="108" spans="1:5" ht="15.75">
      <c r="A108" s="1728" t="s">
        <v>1353</v>
      </c>
      <c r="B108" s="1728"/>
      <c r="C108" s="1728"/>
      <c r="D108" s="1728"/>
      <c r="E108" s="1728"/>
    </row>
    <row r="109" spans="1:5" ht="15.75">
      <c r="A109" s="1740" t="s">
        <v>1004</v>
      </c>
      <c r="B109" s="1740"/>
      <c r="C109" s="1740"/>
      <c r="D109" s="1740"/>
      <c r="E109" s="1740"/>
    </row>
    <row r="110" spans="2:5" ht="15.75" thickBot="1">
      <c r="B110" s="200"/>
      <c r="C110" s="200"/>
      <c r="D110" s="200"/>
      <c r="E110" s="200" t="s">
        <v>228</v>
      </c>
    </row>
    <row r="111" spans="1:5" ht="27" thickBot="1">
      <c r="A111" s="512" t="s">
        <v>311</v>
      </c>
      <c r="B111" s="214" t="s">
        <v>277</v>
      </c>
      <c r="C111" s="523" t="s">
        <v>214</v>
      </c>
      <c r="D111" s="523" t="s">
        <v>215</v>
      </c>
      <c r="E111" s="354" t="s">
        <v>5</v>
      </c>
    </row>
    <row r="112" spans="1:5" ht="13.5" thickBot="1">
      <c r="A112" s="486" t="s">
        <v>312</v>
      </c>
      <c r="B112" s="474" t="s">
        <v>313</v>
      </c>
      <c r="C112" s="474" t="s">
        <v>314</v>
      </c>
      <c r="D112" s="477" t="s">
        <v>315</v>
      </c>
      <c r="E112" s="466" t="s">
        <v>335</v>
      </c>
    </row>
    <row r="113" spans="1:5" ht="15">
      <c r="A113" s="493" t="s">
        <v>316</v>
      </c>
      <c r="B113" s="215" t="s">
        <v>278</v>
      </c>
      <c r="C113" s="337">
        <v>126795</v>
      </c>
      <c r="D113" s="208"/>
      <c r="E113" s="360">
        <f aca="true" t="shared" si="4" ref="E113:E118">SUM(C113:D113)</f>
        <v>126795</v>
      </c>
    </row>
    <row r="114" spans="1:5" s="16" customFormat="1" ht="15">
      <c r="A114" s="452" t="s">
        <v>317</v>
      </c>
      <c r="B114" s="216" t="s">
        <v>1354</v>
      </c>
      <c r="C114" s="220">
        <v>400000</v>
      </c>
      <c r="D114" s="210"/>
      <c r="E114" s="359">
        <f t="shared" si="4"/>
        <v>400000</v>
      </c>
    </row>
    <row r="115" spans="1:5" ht="15">
      <c r="A115" s="448" t="s">
        <v>318</v>
      </c>
      <c r="B115" s="215" t="s">
        <v>280</v>
      </c>
      <c r="C115" s="337"/>
      <c r="D115" s="208"/>
      <c r="E115" s="360">
        <f t="shared" si="4"/>
        <v>0</v>
      </c>
    </row>
    <row r="116" spans="1:5" ht="15">
      <c r="A116" s="448" t="s">
        <v>319</v>
      </c>
      <c r="B116" s="217" t="s">
        <v>281</v>
      </c>
      <c r="C116" s="220">
        <v>0</v>
      </c>
      <c r="D116" s="210"/>
      <c r="E116" s="359">
        <f t="shared" si="4"/>
        <v>0</v>
      </c>
    </row>
    <row r="117" spans="1:5" ht="15">
      <c r="A117" s="448" t="s">
        <v>320</v>
      </c>
      <c r="B117" s="218" t="s">
        <v>267</v>
      </c>
      <c r="C117" s="337">
        <v>0</v>
      </c>
      <c r="D117" s="208"/>
      <c r="E117" s="359">
        <f t="shared" si="4"/>
        <v>0</v>
      </c>
    </row>
    <row r="118" spans="1:5" ht="15.75" thickBot="1">
      <c r="A118" s="416" t="s">
        <v>321</v>
      </c>
      <c r="B118" s="217" t="s">
        <v>282</v>
      </c>
      <c r="C118" s="220">
        <v>0</v>
      </c>
      <c r="D118" s="210"/>
      <c r="E118" s="359">
        <f t="shared" si="4"/>
        <v>0</v>
      </c>
    </row>
    <row r="119" spans="1:5" ht="15" thickBot="1">
      <c r="A119" s="509" t="s">
        <v>322</v>
      </c>
      <c r="B119" s="211" t="s">
        <v>283</v>
      </c>
      <c r="C119" s="338">
        <f>SUM(C113:C118)</f>
        <v>526795</v>
      </c>
      <c r="D119" s="212">
        <v>0</v>
      </c>
      <c r="E119" s="529">
        <f>SUM(E113:E118)</f>
        <v>526795</v>
      </c>
    </row>
    <row r="120" spans="1:5" ht="13.5" thickBot="1">
      <c r="A120" s="448" t="s">
        <v>323</v>
      </c>
      <c r="B120" s="15"/>
      <c r="C120" s="15"/>
      <c r="D120" s="15"/>
      <c r="E120" s="326"/>
    </row>
    <row r="121" spans="1:5" ht="15.75" thickBot="1">
      <c r="A121" s="448" t="s">
        <v>324</v>
      </c>
      <c r="B121" s="214" t="s">
        <v>284</v>
      </c>
      <c r="C121" s="523" t="s">
        <v>214</v>
      </c>
      <c r="D121" s="523" t="s">
        <v>215</v>
      </c>
      <c r="E121" s="354" t="s">
        <v>26</v>
      </c>
    </row>
    <row r="122" spans="1:5" ht="15.75">
      <c r="A122" s="448" t="s">
        <v>325</v>
      </c>
      <c r="B122" s="339" t="s">
        <v>298</v>
      </c>
      <c r="C122" s="340">
        <v>0</v>
      </c>
      <c r="D122" s="340"/>
      <c r="E122" s="360">
        <f>SUM(C122:D122)</f>
        <v>0</v>
      </c>
    </row>
    <row r="123" spans="1:5" ht="15.75">
      <c r="A123" s="448" t="s">
        <v>326</v>
      </c>
      <c r="B123" s="341" t="s">
        <v>299</v>
      </c>
      <c r="C123" s="342">
        <v>0</v>
      </c>
      <c r="D123" s="342"/>
      <c r="E123" s="359">
        <f>SUM(C123:D123)</f>
        <v>0</v>
      </c>
    </row>
    <row r="124" spans="1:5" ht="15.75">
      <c r="A124" s="448" t="s">
        <v>327</v>
      </c>
      <c r="B124" s="341" t="s">
        <v>300</v>
      </c>
      <c r="C124" s="342">
        <v>6795</v>
      </c>
      <c r="D124" s="342"/>
      <c r="E124" s="359">
        <f>SUM(C124:D124)</f>
        <v>6795</v>
      </c>
    </row>
    <row r="125" spans="1:10" ht="15.75">
      <c r="A125" s="448" t="s">
        <v>328</v>
      </c>
      <c r="B125" s="341" t="s">
        <v>301</v>
      </c>
      <c r="C125" s="342">
        <v>520000</v>
      </c>
      <c r="D125" s="342"/>
      <c r="E125" s="359">
        <f>SUM(C125:D125)</f>
        <v>520000</v>
      </c>
      <c r="F125" s="16"/>
      <c r="G125" s="16"/>
      <c r="H125" s="16"/>
      <c r="I125" s="16"/>
      <c r="J125" s="16"/>
    </row>
    <row r="126" spans="1:10" ht="16.5" thickBot="1">
      <c r="A126" s="448" t="s">
        <v>329</v>
      </c>
      <c r="B126" s="343" t="s">
        <v>302</v>
      </c>
      <c r="C126" s="342">
        <v>0</v>
      </c>
      <c r="D126" s="342"/>
      <c r="E126" s="359">
        <f>SUM(C126:D126)</f>
        <v>0</v>
      </c>
      <c r="F126" s="16"/>
      <c r="G126" s="16"/>
      <c r="H126" s="16"/>
      <c r="I126" s="16"/>
      <c r="J126" s="16"/>
    </row>
    <row r="127" spans="1:10" ht="15" thickBot="1">
      <c r="A127" s="567" t="s">
        <v>330</v>
      </c>
      <c r="B127" s="219" t="s">
        <v>287</v>
      </c>
      <c r="C127" s="338">
        <f>SUM(C122:C126)</f>
        <v>526795</v>
      </c>
      <c r="D127" s="344">
        <v>0</v>
      </c>
      <c r="E127" s="529">
        <f>SUM(E122:E126)</f>
        <v>526795</v>
      </c>
      <c r="F127" s="16"/>
      <c r="G127" s="16"/>
      <c r="H127" s="16"/>
      <c r="I127" s="16"/>
      <c r="J127" s="16"/>
    </row>
    <row r="128" spans="1:10" ht="14.25">
      <c r="A128" s="393"/>
      <c r="B128" s="314"/>
      <c r="C128" s="345"/>
      <c r="D128" s="345"/>
      <c r="E128" s="345"/>
      <c r="F128" s="16"/>
      <c r="G128" s="16"/>
      <c r="H128" s="16"/>
      <c r="I128" s="16"/>
      <c r="J128" s="16"/>
    </row>
    <row r="129" spans="1:10" ht="14.25">
      <c r="A129" s="393"/>
      <c r="B129" s="314"/>
      <c r="C129" s="345"/>
      <c r="D129" s="345"/>
      <c r="E129" s="345"/>
      <c r="F129" s="16"/>
      <c r="G129" s="16"/>
      <c r="H129" s="16"/>
      <c r="I129" s="16"/>
      <c r="J129" s="16"/>
    </row>
    <row r="130" spans="1:10" ht="14.25">
      <c r="A130" s="393"/>
      <c r="B130" s="314"/>
      <c r="C130" s="345"/>
      <c r="D130" s="345"/>
      <c r="E130" s="345"/>
      <c r="F130" s="16"/>
      <c r="G130" s="16"/>
      <c r="H130" s="16"/>
      <c r="I130" s="16"/>
      <c r="J130" s="16"/>
    </row>
    <row r="131" spans="2:10" ht="14.25">
      <c r="B131" s="314"/>
      <c r="C131" s="345"/>
      <c r="D131" s="345"/>
      <c r="E131" s="345"/>
      <c r="F131" s="16"/>
      <c r="G131" s="16"/>
      <c r="H131" s="16"/>
      <c r="I131" s="16"/>
      <c r="J131" s="16"/>
    </row>
    <row r="132" spans="1:5" ht="15.75">
      <c r="A132" s="1728" t="s">
        <v>1355</v>
      </c>
      <c r="B132" s="1728"/>
      <c r="C132" s="1728"/>
      <c r="D132" s="1728"/>
      <c r="E132" s="1728"/>
    </row>
    <row r="133" spans="1:5" s="917" customFormat="1" ht="15.75">
      <c r="A133" s="1740" t="s">
        <v>1078</v>
      </c>
      <c r="B133" s="1740"/>
      <c r="C133" s="1740"/>
      <c r="D133" s="1740"/>
      <c r="E133" s="1740"/>
    </row>
    <row r="134" spans="2:5" ht="15.75" thickBot="1">
      <c r="B134" s="200"/>
      <c r="C134" s="200"/>
      <c r="D134" s="200"/>
      <c r="E134" s="200" t="s">
        <v>228</v>
      </c>
    </row>
    <row r="135" spans="1:5" ht="27" thickBot="1">
      <c r="A135" s="512" t="s">
        <v>311</v>
      </c>
      <c r="B135" s="214" t="s">
        <v>277</v>
      </c>
      <c r="C135" s="523" t="s">
        <v>214</v>
      </c>
      <c r="D135" s="523" t="s">
        <v>215</v>
      </c>
      <c r="E135" s="354" t="s">
        <v>5</v>
      </c>
    </row>
    <row r="136" spans="1:5" s="16" customFormat="1" ht="13.5" thickBot="1">
      <c r="A136" s="486" t="s">
        <v>312</v>
      </c>
      <c r="B136" s="474" t="s">
        <v>313</v>
      </c>
      <c r="C136" s="474" t="s">
        <v>314</v>
      </c>
      <c r="D136" s="477" t="s">
        <v>315</v>
      </c>
      <c r="E136" s="466" t="s">
        <v>335</v>
      </c>
    </row>
    <row r="137" spans="1:5" ht="15">
      <c r="A137" s="493" t="s">
        <v>316</v>
      </c>
      <c r="B137" s="215" t="s">
        <v>278</v>
      </c>
      <c r="C137" s="918">
        <v>4554</v>
      </c>
      <c r="D137" s="527"/>
      <c r="E137" s="921">
        <f aca="true" t="shared" si="5" ref="E137:E142">SUM(C137:D137)</f>
        <v>4554</v>
      </c>
    </row>
    <row r="138" spans="1:5" ht="15">
      <c r="A138" s="452" t="s">
        <v>317</v>
      </c>
      <c r="B138" s="216" t="s">
        <v>1354</v>
      </c>
      <c r="C138" s="919">
        <v>300000</v>
      </c>
      <c r="D138" s="530">
        <v>300000</v>
      </c>
      <c r="E138" s="522">
        <f t="shared" si="5"/>
        <v>600000</v>
      </c>
    </row>
    <row r="139" spans="1:5" ht="15">
      <c r="A139" s="448" t="s">
        <v>318</v>
      </c>
      <c r="B139" s="215" t="s">
        <v>280</v>
      </c>
      <c r="C139" s="918"/>
      <c r="D139" s="524"/>
      <c r="E139" s="522">
        <f t="shared" si="5"/>
        <v>0</v>
      </c>
    </row>
    <row r="140" spans="1:5" ht="15">
      <c r="A140" s="448" t="s">
        <v>319</v>
      </c>
      <c r="B140" s="217" t="s">
        <v>281</v>
      </c>
      <c r="C140" s="919">
        <v>0</v>
      </c>
      <c r="D140" s="525"/>
      <c r="E140" s="522">
        <f t="shared" si="5"/>
        <v>0</v>
      </c>
    </row>
    <row r="141" spans="1:5" ht="15">
      <c r="A141" s="448" t="s">
        <v>320</v>
      </c>
      <c r="B141" s="218" t="s">
        <v>267</v>
      </c>
      <c r="C141" s="918">
        <v>0</v>
      </c>
      <c r="D141" s="524"/>
      <c r="E141" s="522">
        <f t="shared" si="5"/>
        <v>0</v>
      </c>
    </row>
    <row r="142" spans="1:5" ht="15.75" thickBot="1">
      <c r="A142" s="416" t="s">
        <v>321</v>
      </c>
      <c r="B142" s="217" t="s">
        <v>282</v>
      </c>
      <c r="C142" s="919">
        <v>0</v>
      </c>
      <c r="D142" s="525"/>
      <c r="E142" s="522">
        <f t="shared" si="5"/>
        <v>0</v>
      </c>
    </row>
    <row r="143" spans="1:5" ht="15" thickBot="1">
      <c r="A143" s="509" t="s">
        <v>322</v>
      </c>
      <c r="B143" s="211" t="s">
        <v>283</v>
      </c>
      <c r="C143" s="920">
        <f>SUM(C137:C142)</f>
        <v>304554</v>
      </c>
      <c r="D143" s="920">
        <f>SUM(D137:D142)</f>
        <v>300000</v>
      </c>
      <c r="E143" s="922">
        <f>SUM(E137:E142)</f>
        <v>604554</v>
      </c>
    </row>
    <row r="144" spans="1:5" ht="13.5" thickBot="1">
      <c r="A144" s="448" t="s">
        <v>323</v>
      </c>
      <c r="B144" s="15"/>
      <c r="C144" s="15"/>
      <c r="D144" s="15"/>
      <c r="E144" s="326"/>
    </row>
    <row r="145" spans="1:5" ht="15.75" thickBot="1">
      <c r="A145" s="448" t="s">
        <v>324</v>
      </c>
      <c r="B145" s="214" t="s">
        <v>284</v>
      </c>
      <c r="C145" s="523" t="s">
        <v>214</v>
      </c>
      <c r="D145" s="523" t="s">
        <v>215</v>
      </c>
      <c r="E145" s="518" t="s">
        <v>26</v>
      </c>
    </row>
    <row r="146" spans="1:5" ht="15.75">
      <c r="A146" s="448" t="s">
        <v>325</v>
      </c>
      <c r="B146" s="339" t="s">
        <v>298</v>
      </c>
      <c r="C146" s="923">
        <v>0</v>
      </c>
      <c r="D146" s="528"/>
      <c r="E146" s="921">
        <f>SUM(C146:D146)</f>
        <v>0</v>
      </c>
    </row>
    <row r="147" spans="1:10" ht="15.75">
      <c r="A147" s="448" t="s">
        <v>326</v>
      </c>
      <c r="B147" s="341" t="s">
        <v>299</v>
      </c>
      <c r="C147" s="924">
        <v>0</v>
      </c>
      <c r="D147" s="530"/>
      <c r="E147" s="522">
        <f>SUM(C147:D147)</f>
        <v>0</v>
      </c>
      <c r="F147" s="16"/>
      <c r="G147" s="16"/>
      <c r="H147" s="16"/>
      <c r="I147" s="16"/>
      <c r="J147" s="16"/>
    </row>
    <row r="148" spans="1:10" ht="15.75">
      <c r="A148" s="448" t="s">
        <v>327</v>
      </c>
      <c r="B148" s="341" t="s">
        <v>300</v>
      </c>
      <c r="C148" s="924">
        <v>14</v>
      </c>
      <c r="D148" s="530">
        <v>35000</v>
      </c>
      <c r="E148" s="522">
        <f>SUM(C148:D148)</f>
        <v>35014</v>
      </c>
      <c r="F148" s="16"/>
      <c r="G148" s="16"/>
      <c r="H148" s="16"/>
      <c r="I148" s="16"/>
      <c r="J148" s="16"/>
    </row>
    <row r="149" spans="1:10" ht="15.75">
      <c r="A149" s="448" t="s">
        <v>328</v>
      </c>
      <c r="B149" s="341" t="s">
        <v>301</v>
      </c>
      <c r="C149" s="924">
        <v>304540</v>
      </c>
      <c r="D149" s="530">
        <v>265000</v>
      </c>
      <c r="E149" s="522">
        <f>SUM(C149:D149)</f>
        <v>569540</v>
      </c>
      <c r="F149" s="16"/>
      <c r="G149" s="16"/>
      <c r="H149" s="16"/>
      <c r="I149" s="16"/>
      <c r="J149" s="16"/>
    </row>
    <row r="150" spans="1:10" ht="16.5" thickBot="1">
      <c r="A150" s="453" t="s">
        <v>329</v>
      </c>
      <c r="B150" s="343" t="s">
        <v>302</v>
      </c>
      <c r="C150" s="924">
        <v>0</v>
      </c>
      <c r="D150" s="530"/>
      <c r="E150" s="522">
        <f>SUM(C150:D150)</f>
        <v>0</v>
      </c>
      <c r="F150" s="16"/>
      <c r="G150" s="16"/>
      <c r="H150" s="16"/>
      <c r="I150" s="16"/>
      <c r="J150" s="16"/>
    </row>
    <row r="151" spans="1:10" ht="15" thickBot="1">
      <c r="A151" s="395" t="s">
        <v>330</v>
      </c>
      <c r="B151" s="219" t="s">
        <v>287</v>
      </c>
      <c r="C151" s="920">
        <f>SUM(C146:C150)</f>
        <v>304554</v>
      </c>
      <c r="D151" s="780">
        <f>SUM(D146:D150)</f>
        <v>300000</v>
      </c>
      <c r="E151" s="922">
        <f>SUM(E146:E150)</f>
        <v>604554</v>
      </c>
      <c r="F151" s="16"/>
      <c r="G151" s="16"/>
      <c r="H151" s="16"/>
      <c r="I151" s="16"/>
      <c r="J151" s="16"/>
    </row>
    <row r="152" spans="1:10" ht="14.25">
      <c r="A152" s="393"/>
      <c r="B152" s="314"/>
      <c r="C152" s="345"/>
      <c r="D152" s="345"/>
      <c r="E152" s="345"/>
      <c r="F152" s="16"/>
      <c r="G152" s="16"/>
      <c r="H152" s="16"/>
      <c r="I152" s="16"/>
      <c r="J152" s="16"/>
    </row>
    <row r="153" spans="1:10" ht="14.25">
      <c r="A153" s="393"/>
      <c r="B153" s="314"/>
      <c r="C153" s="345"/>
      <c r="D153" s="345"/>
      <c r="E153" s="345"/>
      <c r="F153" s="16"/>
      <c r="G153" s="16"/>
      <c r="H153" s="16"/>
      <c r="I153" s="16"/>
      <c r="J153" s="16"/>
    </row>
    <row r="154" spans="1:10" ht="14.25">
      <c r="A154" s="393"/>
      <c r="B154" s="314"/>
      <c r="C154" s="345"/>
      <c r="D154" s="345"/>
      <c r="E154" s="345"/>
      <c r="F154" s="16"/>
      <c r="G154" s="16"/>
      <c r="H154" s="16"/>
      <c r="I154" s="16"/>
      <c r="J154" s="16"/>
    </row>
    <row r="155" spans="1:10" ht="12.75">
      <c r="A155" s="1654" t="s">
        <v>1441</v>
      </c>
      <c r="B155" s="1654"/>
      <c r="C155" s="1654"/>
      <c r="D155" s="1654"/>
      <c r="E155" s="1654"/>
      <c r="F155" s="16"/>
      <c r="G155" s="16"/>
      <c r="H155" s="16"/>
      <c r="I155" s="16"/>
      <c r="J155" s="16"/>
    </row>
    <row r="156" spans="1:10" ht="12.75">
      <c r="A156" s="1675">
        <v>4</v>
      </c>
      <c r="B156" s="1675"/>
      <c r="C156" s="1675"/>
      <c r="D156" s="1675"/>
      <c r="E156" s="1675"/>
      <c r="F156" s="16"/>
      <c r="G156" s="16"/>
      <c r="H156" s="16"/>
      <c r="I156" s="16"/>
      <c r="J156" s="16"/>
    </row>
    <row r="157" spans="2:10" ht="14.25">
      <c r="B157" s="314"/>
      <c r="C157" s="345"/>
      <c r="D157" s="345"/>
      <c r="E157" s="345"/>
      <c r="F157" s="16"/>
      <c r="G157" s="16"/>
      <c r="H157" s="16"/>
      <c r="I157" s="16"/>
      <c r="J157" s="16"/>
    </row>
    <row r="158" spans="2:5" ht="14.25">
      <c r="B158" s="314"/>
      <c r="C158" s="345"/>
      <c r="D158" s="345"/>
      <c r="E158" s="345"/>
    </row>
    <row r="159" spans="1:5" ht="15.75" customHeight="1">
      <c r="A159" s="1728" t="s">
        <v>1003</v>
      </c>
      <c r="B159" s="1728"/>
      <c r="C159" s="1728"/>
      <c r="D159" s="1728"/>
      <c r="E159" s="1728"/>
    </row>
    <row r="160" spans="1:5" s="917" customFormat="1" ht="15.75" customHeight="1">
      <c r="A160" s="1728" t="s">
        <v>1004</v>
      </c>
      <c r="B160" s="1728"/>
      <c r="C160" s="1728"/>
      <c r="D160" s="1728"/>
      <c r="E160" s="1728"/>
    </row>
    <row r="161" spans="2:5" ht="15.75" thickBot="1">
      <c r="B161" s="200"/>
      <c r="C161" s="200"/>
      <c r="D161" s="200"/>
      <c r="E161" s="200" t="s">
        <v>228</v>
      </c>
    </row>
    <row r="162" spans="1:5" ht="27" thickBot="1">
      <c r="A162" s="512" t="s">
        <v>311</v>
      </c>
      <c r="B162" s="214" t="s">
        <v>277</v>
      </c>
      <c r="C162" s="523" t="s">
        <v>214</v>
      </c>
      <c r="D162" s="523" t="s">
        <v>215</v>
      </c>
      <c r="E162" s="518" t="s">
        <v>5</v>
      </c>
    </row>
    <row r="163" spans="1:5" s="16" customFormat="1" ht="13.5" thickBot="1">
      <c r="A163" s="486" t="s">
        <v>312</v>
      </c>
      <c r="B163" s="474" t="s">
        <v>313</v>
      </c>
      <c r="C163" s="474" t="s">
        <v>314</v>
      </c>
      <c r="D163" s="477" t="s">
        <v>315</v>
      </c>
      <c r="E163" s="466" t="s">
        <v>335</v>
      </c>
    </row>
    <row r="164" spans="1:5" ht="15">
      <c r="A164" s="493" t="s">
        <v>316</v>
      </c>
      <c r="B164" s="215" t="s">
        <v>278</v>
      </c>
      <c r="C164" s="928"/>
      <c r="D164" s="524"/>
      <c r="E164" s="921">
        <f aca="true" t="shared" si="6" ref="E164:E169">SUM(C164:D164)</f>
        <v>0</v>
      </c>
    </row>
    <row r="165" spans="1:5" ht="15">
      <c r="A165" s="452" t="s">
        <v>317</v>
      </c>
      <c r="B165" s="216" t="s">
        <v>279</v>
      </c>
      <c r="C165" s="929">
        <v>0</v>
      </c>
      <c r="D165" s="525"/>
      <c r="E165" s="522">
        <f t="shared" si="6"/>
        <v>0</v>
      </c>
    </row>
    <row r="166" spans="1:5" ht="15">
      <c r="A166" s="448" t="s">
        <v>318</v>
      </c>
      <c r="B166" s="215" t="s">
        <v>280</v>
      </c>
      <c r="C166" s="928"/>
      <c r="D166" s="524">
        <v>0</v>
      </c>
      <c r="E166" s="522">
        <f t="shared" si="6"/>
        <v>0</v>
      </c>
    </row>
    <row r="167" spans="1:5" ht="15">
      <c r="A167" s="448" t="s">
        <v>319</v>
      </c>
      <c r="B167" s="217" t="s">
        <v>281</v>
      </c>
      <c r="C167" s="929">
        <v>0</v>
      </c>
      <c r="D167" s="525"/>
      <c r="E167" s="522">
        <f t="shared" si="6"/>
        <v>0</v>
      </c>
    </row>
    <row r="168" spans="1:5" ht="15">
      <c r="A168" s="448" t="s">
        <v>320</v>
      </c>
      <c r="B168" s="218" t="s">
        <v>267</v>
      </c>
      <c r="C168" s="928">
        <v>0</v>
      </c>
      <c r="D168" s="524"/>
      <c r="E168" s="522">
        <f t="shared" si="6"/>
        <v>0</v>
      </c>
    </row>
    <row r="169" spans="1:5" ht="15.75" thickBot="1">
      <c r="A169" s="416" t="s">
        <v>321</v>
      </c>
      <c r="B169" s="217" t="s">
        <v>282</v>
      </c>
      <c r="C169" s="929">
        <v>0</v>
      </c>
      <c r="D169" s="525"/>
      <c r="E169" s="522">
        <f t="shared" si="6"/>
        <v>0</v>
      </c>
    </row>
    <row r="170" spans="1:5" ht="15" thickBot="1">
      <c r="A170" s="509" t="s">
        <v>322</v>
      </c>
      <c r="B170" s="211" t="s">
        <v>283</v>
      </c>
      <c r="C170" s="930">
        <f>SUM(C164:C169)</f>
        <v>0</v>
      </c>
      <c r="D170" s="780">
        <f>SUM(D164:D169)</f>
        <v>0</v>
      </c>
      <c r="E170" s="922">
        <f>SUM(E164:E169)</f>
        <v>0</v>
      </c>
    </row>
    <row r="171" spans="1:5" ht="13.5" thickBot="1">
      <c r="A171" s="448" t="s">
        <v>323</v>
      </c>
      <c r="B171" s="15"/>
      <c r="C171" s="927"/>
      <c r="D171" s="15"/>
      <c r="E171" s="326"/>
    </row>
    <row r="172" spans="1:5" ht="15.75" thickBot="1">
      <c r="A172" s="448" t="s">
        <v>324</v>
      </c>
      <c r="B172" s="214" t="s">
        <v>284</v>
      </c>
      <c r="C172" s="523" t="s">
        <v>214</v>
      </c>
      <c r="D172" s="523" t="s">
        <v>215</v>
      </c>
      <c r="E172" s="518" t="s">
        <v>26</v>
      </c>
    </row>
    <row r="173" spans="1:5" ht="15.75">
      <c r="A173" s="448" t="s">
        <v>325</v>
      </c>
      <c r="B173" s="925" t="s">
        <v>298</v>
      </c>
      <c r="C173" s="528"/>
      <c r="D173" s="528"/>
      <c r="E173" s="921">
        <f>SUM(C173:D173)</f>
        <v>0</v>
      </c>
    </row>
    <row r="174" spans="1:10" ht="15.75">
      <c r="A174" s="448" t="s">
        <v>326</v>
      </c>
      <c r="B174" s="356" t="s">
        <v>299</v>
      </c>
      <c r="C174" s="530"/>
      <c r="D174" s="530"/>
      <c r="E174" s="522">
        <f>SUM(C174:D174)</f>
        <v>0</v>
      </c>
      <c r="F174" s="16"/>
      <c r="G174" s="16"/>
      <c r="H174" s="16"/>
      <c r="I174" s="16"/>
      <c r="J174" s="16"/>
    </row>
    <row r="175" spans="1:10" ht="15.75">
      <c r="A175" s="448" t="s">
        <v>327</v>
      </c>
      <c r="B175" s="356" t="s">
        <v>300</v>
      </c>
      <c r="C175" s="530"/>
      <c r="D175" s="530"/>
      <c r="E175" s="522">
        <f>SUM(C175:D175)</f>
        <v>0</v>
      </c>
      <c r="F175" s="16"/>
      <c r="G175" s="16"/>
      <c r="H175" s="16"/>
      <c r="I175" s="16"/>
      <c r="J175" s="16"/>
    </row>
    <row r="176" spans="1:10" ht="15.75">
      <c r="A176" s="448" t="s">
        <v>328</v>
      </c>
      <c r="B176" s="356" t="s">
        <v>301</v>
      </c>
      <c r="C176" s="929"/>
      <c r="D176" s="530"/>
      <c r="E176" s="522">
        <f>SUM(C176:D176)</f>
        <v>0</v>
      </c>
      <c r="F176" s="16"/>
      <c r="G176" s="16"/>
      <c r="H176" s="16"/>
      <c r="I176" s="16"/>
      <c r="J176" s="16"/>
    </row>
    <row r="177" spans="1:10" ht="16.5" thickBot="1">
      <c r="A177" s="453" t="s">
        <v>329</v>
      </c>
      <c r="B177" s="926" t="s">
        <v>302</v>
      </c>
      <c r="C177" s="929">
        <v>0</v>
      </c>
      <c r="D177" s="530"/>
      <c r="E177" s="522">
        <f>SUM(C177:D177)</f>
        <v>0</v>
      </c>
      <c r="F177" s="16"/>
      <c r="G177" s="16"/>
      <c r="H177" s="16"/>
      <c r="I177" s="16"/>
      <c r="J177" s="16"/>
    </row>
    <row r="178" spans="1:10" ht="15" thickBot="1">
      <c r="A178" s="395" t="s">
        <v>330</v>
      </c>
      <c r="B178" s="219" t="s">
        <v>287</v>
      </c>
      <c r="C178" s="930">
        <f>SUM(C173:C177)</f>
        <v>0</v>
      </c>
      <c r="D178" s="930">
        <f>SUM(D173:D177)</f>
        <v>0</v>
      </c>
      <c r="E178" s="780">
        <f>SUM(E173:E177)</f>
        <v>0</v>
      </c>
      <c r="F178" s="16"/>
      <c r="G178" s="16"/>
      <c r="H178" s="16"/>
      <c r="I178" s="16"/>
      <c r="J178" s="16"/>
    </row>
    <row r="179" spans="1:10" ht="14.25">
      <c r="A179" s="393"/>
      <c r="B179" s="314"/>
      <c r="C179" s="345"/>
      <c r="D179" s="345"/>
      <c r="E179" s="345"/>
      <c r="F179" s="16"/>
      <c r="G179" s="16"/>
      <c r="H179" s="16"/>
      <c r="I179" s="16"/>
      <c r="J179" s="16"/>
    </row>
    <row r="180" spans="1:10" ht="14.25">
      <c r="A180" s="393"/>
      <c r="B180" s="314"/>
      <c r="C180" s="345"/>
      <c r="D180" s="345"/>
      <c r="E180" s="345"/>
      <c r="F180" s="16"/>
      <c r="G180" s="16"/>
      <c r="H180" s="16"/>
      <c r="I180" s="16"/>
      <c r="J180" s="16"/>
    </row>
    <row r="181" spans="1:10" ht="14.25">
      <c r="A181" s="393"/>
      <c r="B181" s="314"/>
      <c r="C181" s="345"/>
      <c r="D181" s="345"/>
      <c r="E181" s="345"/>
      <c r="F181" s="16"/>
      <c r="G181" s="16"/>
      <c r="H181" s="16"/>
      <c r="I181" s="16"/>
      <c r="J181" s="16"/>
    </row>
    <row r="182" spans="2:5" ht="14.25">
      <c r="B182" s="314"/>
      <c r="C182" s="345"/>
      <c r="D182" s="345"/>
      <c r="E182" s="345"/>
    </row>
    <row r="183" spans="2:5" ht="15.75" customHeight="1">
      <c r="B183" s="310" t="s">
        <v>1356</v>
      </c>
      <c r="C183" s="310"/>
      <c r="D183" s="310"/>
      <c r="E183" s="310"/>
    </row>
    <row r="184" spans="1:5" s="917" customFormat="1" ht="15.75" customHeight="1">
      <c r="A184"/>
      <c r="B184" s="310"/>
      <c r="C184" s="310"/>
      <c r="D184" s="310"/>
      <c r="E184" s="310"/>
    </row>
    <row r="185" spans="2:5" ht="16.5" thickBot="1">
      <c r="B185" s="310"/>
      <c r="C185" s="310"/>
      <c r="D185" s="310"/>
      <c r="E185" s="310" t="s">
        <v>228</v>
      </c>
    </row>
    <row r="186" spans="1:5" ht="27" thickBot="1">
      <c r="A186" s="512" t="s">
        <v>311</v>
      </c>
      <c r="B186" s="1745" t="s">
        <v>285</v>
      </c>
      <c r="C186" s="1746"/>
      <c r="D186" s="213" t="s">
        <v>286</v>
      </c>
      <c r="E186" s="207"/>
    </row>
    <row r="187" spans="1:5" s="16" customFormat="1" ht="13.5" thickBot="1">
      <c r="A187" s="486" t="s">
        <v>312</v>
      </c>
      <c r="B187" s="1723" t="s">
        <v>313</v>
      </c>
      <c r="C187" s="1724"/>
      <c r="D187" s="1723" t="s">
        <v>314</v>
      </c>
      <c r="E187" s="1724"/>
    </row>
    <row r="188" spans="1:5" ht="15.75">
      <c r="A188" s="493" t="s">
        <v>316</v>
      </c>
      <c r="B188" s="1734" t="s">
        <v>308</v>
      </c>
      <c r="C188" s="1735"/>
      <c r="D188" s="1736">
        <v>1229</v>
      </c>
      <c r="E188" s="1737"/>
    </row>
    <row r="189" spans="1:5" ht="15.75">
      <c r="A189" s="452" t="s">
        <v>317</v>
      </c>
      <c r="B189" s="1738" t="s">
        <v>307</v>
      </c>
      <c r="C189" s="1739"/>
      <c r="D189" s="1719">
        <v>2300</v>
      </c>
      <c r="E189" s="1720"/>
    </row>
    <row r="190" spans="1:5" ht="16.5" thickBot="1">
      <c r="A190" s="453" t="s">
        <v>318</v>
      </c>
      <c r="B190" s="1721"/>
      <c r="C190" s="1722"/>
      <c r="D190" s="1742"/>
      <c r="E190" s="1743"/>
    </row>
    <row r="191" spans="1:5" ht="16.5" thickBot="1">
      <c r="A191" s="395" t="s">
        <v>319</v>
      </c>
      <c r="B191" s="1730" t="s">
        <v>26</v>
      </c>
      <c r="C191" s="1731"/>
      <c r="D191" s="1732">
        <f>SUM(D188:D190)</f>
        <v>3529</v>
      </c>
      <c r="E191" s="1733"/>
    </row>
    <row r="192" spans="2:5" ht="14.25">
      <c r="B192" s="314"/>
      <c r="C192" s="92"/>
      <c r="D192" s="92"/>
      <c r="E192" s="92"/>
    </row>
    <row r="193" spans="2:5" ht="14.25">
      <c r="B193" s="314"/>
      <c r="C193" s="92"/>
      <c r="D193" s="92"/>
      <c r="E193" s="92"/>
    </row>
    <row r="194" spans="2:5" ht="14.25">
      <c r="B194" s="314"/>
      <c r="C194" s="92"/>
      <c r="D194" s="92"/>
      <c r="E194" s="92"/>
    </row>
    <row r="195" spans="2:5" ht="14.25">
      <c r="B195" s="314"/>
      <c r="C195" s="92"/>
      <c r="D195" s="92"/>
      <c r="E195" s="92"/>
    </row>
    <row r="196" spans="2:5" ht="14.25">
      <c r="B196" s="314"/>
      <c r="C196" s="92"/>
      <c r="D196" s="92"/>
      <c r="E196" s="92"/>
    </row>
    <row r="197" spans="2:5" ht="14.25">
      <c r="B197" s="314"/>
      <c r="C197" s="92"/>
      <c r="D197" s="92"/>
      <c r="E197" s="92"/>
    </row>
    <row r="198" spans="2:10" ht="14.25">
      <c r="B198" s="314"/>
      <c r="C198" s="92"/>
      <c r="D198" s="92"/>
      <c r="E198" s="92"/>
      <c r="F198" s="16"/>
      <c r="G198" s="16"/>
      <c r="H198" s="16"/>
      <c r="I198" s="16"/>
      <c r="J198" s="16"/>
    </row>
    <row r="199" spans="2:10" ht="14.25">
      <c r="B199" s="314"/>
      <c r="C199" s="92"/>
      <c r="D199" s="92"/>
      <c r="E199" s="92"/>
      <c r="F199" s="16"/>
      <c r="G199" s="16"/>
      <c r="H199" s="16"/>
      <c r="I199" s="16"/>
      <c r="J199" s="16"/>
    </row>
    <row r="200" spans="2:10" ht="14.25">
      <c r="B200" s="314"/>
      <c r="C200" s="92"/>
      <c r="D200" s="92"/>
      <c r="E200" s="92"/>
      <c r="F200" s="16"/>
      <c r="G200" s="16"/>
      <c r="H200" s="16"/>
      <c r="I200" s="16"/>
      <c r="J200" s="16"/>
    </row>
    <row r="201" spans="2:10" ht="14.25">
      <c r="B201" s="314"/>
      <c r="C201" s="92"/>
      <c r="D201" s="92"/>
      <c r="E201" s="92"/>
      <c r="F201" s="16"/>
      <c r="G201" s="16"/>
      <c r="H201" s="16"/>
      <c r="I201" s="16"/>
      <c r="J201" s="16"/>
    </row>
    <row r="202" spans="2:10" ht="14.25">
      <c r="B202" s="314"/>
      <c r="C202" s="92"/>
      <c r="D202" s="92"/>
      <c r="E202" s="92"/>
      <c r="F202" s="16"/>
      <c r="G202" s="16"/>
      <c r="H202" s="16"/>
      <c r="I202" s="16"/>
      <c r="J202" s="16"/>
    </row>
    <row r="203" spans="2:10" ht="14.25">
      <c r="B203" s="314"/>
      <c r="C203" s="92"/>
      <c r="D203" s="92"/>
      <c r="E203" s="92"/>
      <c r="F203" s="16"/>
      <c r="G203" s="16"/>
      <c r="H203" s="16"/>
      <c r="I203" s="16"/>
      <c r="J203" s="16"/>
    </row>
    <row r="204" spans="2:10" ht="14.25">
      <c r="B204" s="314"/>
      <c r="C204" s="92"/>
      <c r="D204" s="92"/>
      <c r="E204" s="92"/>
      <c r="F204" s="16"/>
      <c r="G204" s="16"/>
      <c r="H204" s="16"/>
      <c r="I204" s="16"/>
      <c r="J204" s="16"/>
    </row>
    <row r="205" spans="2:10" ht="14.25">
      <c r="B205" s="314"/>
      <c r="C205" s="92"/>
      <c r="D205" s="92"/>
      <c r="E205" s="92"/>
      <c r="F205" s="16"/>
      <c r="G205" s="16"/>
      <c r="H205" s="16"/>
      <c r="I205" s="16"/>
      <c r="J205" s="16"/>
    </row>
    <row r="206" spans="2:10" ht="14.25">
      <c r="B206" s="314"/>
      <c r="C206" s="92"/>
      <c r="D206" s="92"/>
      <c r="E206" s="92"/>
      <c r="F206" s="16"/>
      <c r="G206" s="16"/>
      <c r="H206" s="16"/>
      <c r="I206" s="16"/>
      <c r="J206" s="16"/>
    </row>
    <row r="207" spans="2:10" ht="14.25">
      <c r="B207" s="314"/>
      <c r="C207" s="92"/>
      <c r="D207" s="92"/>
      <c r="E207" s="92"/>
      <c r="F207" s="16"/>
      <c r="G207" s="16"/>
      <c r="H207" s="16"/>
      <c r="I207" s="16"/>
      <c r="J207" s="16"/>
    </row>
    <row r="208" spans="2:10" ht="14.25">
      <c r="B208" s="314"/>
      <c r="C208" s="92"/>
      <c r="D208" s="92"/>
      <c r="E208" s="92"/>
      <c r="F208" s="16"/>
      <c r="G208" s="16"/>
      <c r="H208" s="16"/>
      <c r="I208" s="16"/>
      <c r="J208" s="16"/>
    </row>
    <row r="209" spans="2:10" ht="14.25">
      <c r="B209" s="314"/>
      <c r="C209" s="92"/>
      <c r="D209" s="92"/>
      <c r="E209" s="92"/>
      <c r="F209" s="16"/>
      <c r="G209" s="16"/>
      <c r="H209" s="16"/>
      <c r="I209" s="16"/>
      <c r="J209" s="16"/>
    </row>
    <row r="210" spans="2:5" ht="14.25">
      <c r="B210" s="314"/>
      <c r="C210" s="92"/>
      <c r="D210" s="92"/>
      <c r="E210" s="92"/>
    </row>
    <row r="211" spans="2:5" ht="15.75" customHeight="1">
      <c r="B211" s="314"/>
      <c r="C211" s="92"/>
      <c r="D211" s="92"/>
      <c r="E211" s="92"/>
    </row>
    <row r="212" spans="1:5" s="917" customFormat="1" ht="15.75" customHeight="1">
      <c r="A212"/>
      <c r="B212" s="314"/>
      <c r="C212" s="92"/>
      <c r="D212" s="92"/>
      <c r="E212" s="92"/>
    </row>
    <row r="213" spans="2:5" ht="14.25">
      <c r="B213" s="314"/>
      <c r="C213" s="92"/>
      <c r="D213" s="92"/>
      <c r="E213" s="92"/>
    </row>
    <row r="214" spans="2:5" ht="14.25">
      <c r="B214" s="314"/>
      <c r="C214" s="92"/>
      <c r="D214" s="92"/>
      <c r="E214" s="92"/>
    </row>
    <row r="215" spans="1:5" s="16" customFormat="1" ht="14.25">
      <c r="A215"/>
      <c r="B215" s="314"/>
      <c r="C215" s="92"/>
      <c r="D215" s="92"/>
      <c r="E215" s="92"/>
    </row>
    <row r="216" spans="2:5" ht="14.25">
      <c r="B216" s="314"/>
      <c r="C216" s="92"/>
      <c r="D216" s="92"/>
      <c r="E216" s="92"/>
    </row>
    <row r="217" spans="2:5" ht="14.25">
      <c r="B217" s="314"/>
      <c r="C217" s="92"/>
      <c r="D217" s="92"/>
      <c r="E217" s="92"/>
    </row>
    <row r="222" ht="12.75">
      <c r="A222" s="16"/>
    </row>
    <row r="223" spans="1:5" ht="12.75">
      <c r="A223" s="16"/>
      <c r="B223" s="16"/>
      <c r="C223" s="16"/>
      <c r="D223" s="16"/>
      <c r="E223" s="16"/>
    </row>
    <row r="224" spans="1:5" ht="12.75">
      <c r="A224" s="16"/>
      <c r="B224" s="16"/>
      <c r="C224" s="16"/>
      <c r="D224" s="16"/>
      <c r="E224" s="16"/>
    </row>
    <row r="225" spans="2:5" ht="12.75">
      <c r="B225" s="16"/>
      <c r="C225" s="16"/>
      <c r="D225" s="16"/>
      <c r="E225" s="16"/>
    </row>
    <row r="226" spans="6:10" ht="12.75">
      <c r="F226" s="16"/>
      <c r="G226" s="16"/>
      <c r="H226" s="16"/>
      <c r="I226" s="16"/>
      <c r="J226" s="16"/>
    </row>
    <row r="227" spans="6:10" ht="12.75">
      <c r="F227" s="16"/>
      <c r="G227" s="16"/>
      <c r="H227" s="16"/>
      <c r="I227" s="16"/>
      <c r="J227" s="16"/>
    </row>
    <row r="228" spans="6:10" ht="12.75">
      <c r="F228" s="16"/>
      <c r="G228" s="16"/>
      <c r="H228" s="16"/>
      <c r="I228" s="16"/>
      <c r="J228" s="16"/>
    </row>
    <row r="229" spans="6:10" ht="12.75">
      <c r="F229" s="16"/>
      <c r="G229" s="16"/>
      <c r="H229" s="16"/>
      <c r="I229" s="16"/>
      <c r="J229" s="16"/>
    </row>
    <row r="230" spans="6:10" ht="12.75">
      <c r="F230" s="16"/>
      <c r="G230" s="16"/>
      <c r="H230" s="16"/>
      <c r="I230" s="16"/>
      <c r="J230" s="16"/>
    </row>
    <row r="231" spans="6:10" ht="12.75">
      <c r="F231" s="16"/>
      <c r="G231" s="16"/>
      <c r="H231" s="16"/>
      <c r="I231" s="16"/>
      <c r="J231" s="16"/>
    </row>
    <row r="232" spans="6:10" ht="12.75">
      <c r="F232" s="16"/>
      <c r="G232" s="16"/>
      <c r="H232" s="16"/>
      <c r="I232" s="16"/>
      <c r="J232" s="16"/>
    </row>
    <row r="233" spans="6:10" ht="12.75">
      <c r="F233" s="16"/>
      <c r="G233" s="16"/>
      <c r="H233" s="16"/>
      <c r="I233" s="16"/>
      <c r="J233" s="16"/>
    </row>
    <row r="235" ht="15.75" customHeight="1"/>
    <row r="236" spans="1:5" s="917" customFormat="1" ht="15.75" customHeight="1">
      <c r="A236"/>
      <c r="B236"/>
      <c r="C236"/>
      <c r="D236"/>
      <c r="E236"/>
    </row>
    <row r="239" spans="1:5" s="16" customFormat="1" ht="12.75">
      <c r="A239"/>
      <c r="B239"/>
      <c r="C239"/>
      <c r="D239"/>
      <c r="E239"/>
    </row>
    <row r="250" spans="6:10" ht="12.75">
      <c r="F250" s="16"/>
      <c r="G250" s="16"/>
      <c r="H250" s="16"/>
      <c r="I250" s="16"/>
      <c r="J250" s="16"/>
    </row>
    <row r="251" spans="6:10" ht="12.75">
      <c r="F251" s="16"/>
      <c r="G251" s="16"/>
      <c r="H251" s="16"/>
      <c r="I251" s="16"/>
      <c r="J251" s="16"/>
    </row>
    <row r="252" spans="6:10" ht="12.75">
      <c r="F252" s="16"/>
      <c r="G252" s="16"/>
      <c r="H252" s="16"/>
      <c r="I252" s="16"/>
      <c r="J252" s="16"/>
    </row>
    <row r="253" spans="6:10" ht="12.75">
      <c r="F253" s="16"/>
      <c r="G253" s="16"/>
      <c r="H253" s="16"/>
      <c r="I253" s="16"/>
      <c r="J253" s="16"/>
    </row>
    <row r="254" spans="6:10" ht="12.75">
      <c r="F254" s="16"/>
      <c r="G254" s="16"/>
      <c r="H254" s="16"/>
      <c r="I254" s="16"/>
      <c r="J254" s="16"/>
    </row>
    <row r="259" spans="6:10" ht="12.75">
      <c r="F259" s="16"/>
      <c r="G259" s="16"/>
      <c r="H259" s="16"/>
      <c r="I259" s="16"/>
      <c r="J259" s="16"/>
    </row>
    <row r="260" spans="6:10" ht="12.75">
      <c r="F260" s="16"/>
      <c r="G260" s="16"/>
      <c r="H260" s="16"/>
      <c r="I260" s="16"/>
      <c r="J260" s="16"/>
    </row>
    <row r="263" ht="32.25" customHeight="1"/>
    <row r="264" ht="15.75" customHeight="1"/>
    <row r="291" spans="1:5" s="16" customFormat="1" ht="12.75">
      <c r="A291"/>
      <c r="B291"/>
      <c r="C291"/>
      <c r="D291"/>
      <c r="E291"/>
    </row>
    <row r="302" spans="6:10" ht="12.75">
      <c r="F302" s="16"/>
      <c r="G302" s="16"/>
      <c r="H302" s="16"/>
      <c r="I302" s="16"/>
      <c r="J302" s="16"/>
    </row>
    <row r="303" spans="6:10" ht="12.75">
      <c r="F303" s="16"/>
      <c r="G303" s="16"/>
      <c r="H303" s="16"/>
      <c r="I303" s="16"/>
      <c r="J303" s="16"/>
    </row>
    <row r="304" spans="6:10" ht="12.75">
      <c r="F304" s="16"/>
      <c r="G304" s="16"/>
      <c r="H304" s="16"/>
      <c r="I304" s="16"/>
      <c r="J304" s="16"/>
    </row>
    <row r="305" spans="6:10" ht="12.75">
      <c r="F305" s="16"/>
      <c r="G305" s="16"/>
      <c r="H305" s="16"/>
      <c r="I305" s="16"/>
      <c r="J305" s="16"/>
    </row>
    <row r="306" spans="6:10" ht="12.75">
      <c r="F306" s="16"/>
      <c r="G306" s="16"/>
      <c r="H306" s="16"/>
      <c r="I306" s="16"/>
      <c r="J306" s="16"/>
    </row>
    <row r="307" spans="6:10" ht="12.75">
      <c r="F307" s="16"/>
      <c r="G307" s="16"/>
      <c r="H307" s="16"/>
      <c r="I307" s="16"/>
      <c r="J307" s="16"/>
    </row>
    <row r="308" spans="6:10" ht="12.75">
      <c r="F308" s="16"/>
      <c r="G308" s="16"/>
      <c r="H308" s="16"/>
      <c r="I308" s="16"/>
      <c r="J308" s="16"/>
    </row>
    <row r="309" spans="6:10" ht="12.75">
      <c r="F309" s="16"/>
      <c r="G309" s="16"/>
      <c r="H309" s="16"/>
      <c r="I309" s="16"/>
      <c r="J309" s="16"/>
    </row>
    <row r="310" spans="6:10" ht="12.75">
      <c r="F310" s="16"/>
      <c r="G310" s="16"/>
      <c r="H310" s="16"/>
      <c r="I310" s="16"/>
      <c r="J310" s="16"/>
    </row>
    <row r="311" spans="6:10" ht="15.75" customHeight="1">
      <c r="F311" s="16"/>
      <c r="G311" s="16"/>
      <c r="H311" s="16"/>
      <c r="I311" s="16"/>
      <c r="J311" s="16"/>
    </row>
    <row r="312" spans="6:10" ht="15.75" customHeight="1">
      <c r="F312" s="16"/>
      <c r="G312" s="16"/>
      <c r="H312" s="16"/>
      <c r="I312" s="16"/>
      <c r="J312" s="16"/>
    </row>
    <row r="313" spans="6:10" ht="12.75">
      <c r="F313" s="16"/>
      <c r="G313" s="16"/>
      <c r="H313" s="16"/>
      <c r="I313" s="16"/>
      <c r="J313" s="16"/>
    </row>
    <row r="314" spans="6:10" ht="12.75">
      <c r="F314" s="16"/>
      <c r="G314" s="16"/>
      <c r="H314" s="16"/>
      <c r="I314" s="16"/>
      <c r="J314" s="16"/>
    </row>
    <row r="315" spans="6:10" ht="12.75">
      <c r="F315" s="16"/>
      <c r="G315" s="16"/>
      <c r="H315" s="16"/>
      <c r="I315" s="16"/>
      <c r="J315" s="16"/>
    </row>
    <row r="316" spans="6:10" ht="12.75">
      <c r="F316" s="16"/>
      <c r="G316" s="16"/>
      <c r="H316" s="16"/>
      <c r="I316" s="16"/>
      <c r="J316" s="16"/>
    </row>
    <row r="317" spans="6:10" ht="12.75">
      <c r="F317" s="16"/>
      <c r="G317" s="16"/>
      <c r="H317" s="16"/>
      <c r="I317" s="16"/>
      <c r="J317" s="16"/>
    </row>
    <row r="318" spans="6:10" ht="12.75">
      <c r="F318" s="16"/>
      <c r="G318" s="16"/>
      <c r="H318" s="16"/>
      <c r="I318" s="16"/>
      <c r="J318" s="16"/>
    </row>
    <row r="319" spans="6:10" ht="12.75">
      <c r="F319" s="16"/>
      <c r="G319" s="16"/>
      <c r="H319" s="16"/>
      <c r="I319" s="16"/>
      <c r="J319" s="16"/>
    </row>
    <row r="320" spans="6:10" ht="12.75">
      <c r="F320" s="16"/>
      <c r="G320" s="16"/>
      <c r="H320" s="16"/>
      <c r="I320" s="16"/>
      <c r="J320" s="16"/>
    </row>
    <row r="321" spans="6:10" ht="12.75">
      <c r="F321" s="16"/>
      <c r="G321" s="16"/>
      <c r="H321" s="16"/>
      <c r="I321" s="16"/>
      <c r="J321" s="16"/>
    </row>
    <row r="322" spans="6:10" ht="12.75">
      <c r="F322" s="16"/>
      <c r="G322" s="16"/>
      <c r="H322" s="16"/>
      <c r="I322" s="16"/>
      <c r="J322" s="16"/>
    </row>
    <row r="323" spans="6:10" ht="12.75">
      <c r="F323" s="16"/>
      <c r="G323" s="16"/>
      <c r="H323" s="16"/>
      <c r="I323" s="16"/>
      <c r="J323" s="16"/>
    </row>
    <row r="324" spans="6:10" ht="12.75">
      <c r="F324" s="16"/>
      <c r="G324" s="16"/>
      <c r="H324" s="16"/>
      <c r="I324" s="16"/>
      <c r="J324" s="16"/>
    </row>
    <row r="325" spans="6:10" ht="12.75">
      <c r="F325" s="16"/>
      <c r="G325" s="16"/>
      <c r="H325" s="16"/>
      <c r="I325" s="16"/>
      <c r="J325" s="16"/>
    </row>
    <row r="326" spans="6:10" ht="12.75">
      <c r="F326" s="16"/>
      <c r="G326" s="16"/>
      <c r="H326" s="16"/>
      <c r="I326" s="16"/>
      <c r="J326" s="16"/>
    </row>
    <row r="327" spans="6:10" ht="12.75">
      <c r="F327" s="16"/>
      <c r="G327" s="16"/>
      <c r="H327" s="16"/>
      <c r="I327" s="16"/>
      <c r="J327" s="16"/>
    </row>
    <row r="328" spans="6:10" ht="12.75">
      <c r="F328" s="16"/>
      <c r="G328" s="16"/>
      <c r="H328" s="16"/>
      <c r="I328" s="16"/>
      <c r="J328" s="16"/>
    </row>
    <row r="329" spans="6:10" ht="12.75">
      <c r="F329" s="16"/>
      <c r="G329" s="16"/>
      <c r="H329" s="16"/>
      <c r="I329" s="16"/>
      <c r="J329" s="16"/>
    </row>
    <row r="330" spans="6:10" ht="12.75">
      <c r="F330" s="16"/>
      <c r="G330" s="16"/>
      <c r="H330" s="16"/>
      <c r="I330" s="16"/>
      <c r="J330" s="16"/>
    </row>
    <row r="331" spans="6:10" ht="12.75">
      <c r="F331" s="16"/>
      <c r="G331" s="16"/>
      <c r="H331" s="16"/>
      <c r="I331" s="16"/>
      <c r="J331" s="16"/>
    </row>
    <row r="332" spans="6:10" ht="12.75">
      <c r="F332" s="16"/>
      <c r="G332" s="16"/>
      <c r="H332" s="16"/>
      <c r="I332" s="16"/>
      <c r="J332" s="16"/>
    </row>
    <row r="333" spans="6:10" ht="12.75">
      <c r="F333" s="16"/>
      <c r="G333" s="16"/>
      <c r="H333" s="16"/>
      <c r="I333" s="16"/>
      <c r="J333" s="16"/>
    </row>
    <row r="334" spans="6:10" ht="12.75">
      <c r="F334" s="16"/>
      <c r="G334" s="16"/>
      <c r="H334" s="16"/>
      <c r="I334" s="16"/>
      <c r="J334" s="16"/>
    </row>
    <row r="335" spans="6:10" ht="12.75">
      <c r="F335" s="16"/>
      <c r="G335" s="16"/>
      <c r="H335" s="16"/>
      <c r="I335" s="16"/>
      <c r="J335" s="16"/>
    </row>
    <row r="336" spans="6:10" ht="12.75">
      <c r="F336" s="16"/>
      <c r="G336" s="16"/>
      <c r="H336" s="16"/>
      <c r="I336" s="16"/>
      <c r="J336" s="16"/>
    </row>
    <row r="337" spans="6:10" ht="12.75">
      <c r="F337" s="16"/>
      <c r="G337" s="16"/>
      <c r="H337" s="16"/>
      <c r="I337" s="16"/>
      <c r="J337" s="16"/>
    </row>
    <row r="338" spans="6:10" ht="12.75">
      <c r="F338" s="16"/>
      <c r="G338" s="16"/>
      <c r="H338" s="16"/>
      <c r="I338" s="16"/>
      <c r="J338" s="16"/>
    </row>
    <row r="339" spans="6:10" ht="12.75">
      <c r="F339" s="16"/>
      <c r="G339" s="16"/>
      <c r="H339" s="16"/>
      <c r="I339" s="16"/>
      <c r="J339" s="16"/>
    </row>
    <row r="340" spans="6:10" ht="12.75">
      <c r="F340" s="16"/>
      <c r="G340" s="16"/>
      <c r="H340" s="16"/>
      <c r="I340" s="16"/>
      <c r="J340" s="16"/>
    </row>
    <row r="341" spans="6:10" ht="12.75">
      <c r="F341" s="16"/>
      <c r="G341" s="16"/>
      <c r="H341" s="16"/>
      <c r="I341" s="16"/>
      <c r="J341" s="16"/>
    </row>
    <row r="342" spans="6:10" ht="12.75">
      <c r="F342" s="16"/>
      <c r="G342" s="16"/>
      <c r="H342" s="16"/>
      <c r="I342" s="16"/>
      <c r="J342" s="16"/>
    </row>
    <row r="343" spans="6:10" ht="12.75">
      <c r="F343" s="16"/>
      <c r="G343" s="16"/>
      <c r="H343" s="16"/>
      <c r="I343" s="16"/>
      <c r="J343" s="16"/>
    </row>
    <row r="344" spans="6:10" ht="12.75">
      <c r="F344" s="16"/>
      <c r="G344" s="16"/>
      <c r="H344" s="16"/>
      <c r="I344" s="16"/>
      <c r="J344" s="16"/>
    </row>
    <row r="345" spans="6:10" ht="12.75">
      <c r="F345" s="16"/>
      <c r="G345" s="16"/>
      <c r="H345" s="16"/>
      <c r="I345" s="16"/>
      <c r="J345" s="16"/>
    </row>
    <row r="346" spans="6:10" ht="12.75">
      <c r="F346" s="16"/>
      <c r="G346" s="16"/>
      <c r="H346" s="16"/>
      <c r="I346" s="16"/>
      <c r="J346" s="16"/>
    </row>
    <row r="347" spans="6:10" ht="12.75">
      <c r="F347" s="16"/>
      <c r="G347" s="16"/>
      <c r="H347" s="16"/>
      <c r="I347" s="16"/>
      <c r="J347" s="16"/>
    </row>
    <row r="348" spans="6:10" ht="12.75">
      <c r="F348" s="16"/>
      <c r="G348" s="16"/>
      <c r="H348" s="16"/>
      <c r="I348" s="16"/>
      <c r="J348" s="16"/>
    </row>
    <row r="349" spans="6:10" ht="12.75">
      <c r="F349" s="16"/>
      <c r="G349" s="16"/>
      <c r="H349" s="16"/>
      <c r="I349" s="16"/>
      <c r="J349" s="16"/>
    </row>
    <row r="350" spans="6:10" ht="12.75">
      <c r="F350" s="16"/>
      <c r="G350" s="16"/>
      <c r="H350" s="16"/>
      <c r="I350" s="16"/>
      <c r="J350" s="16"/>
    </row>
    <row r="351" spans="6:10" ht="12.75">
      <c r="F351" s="16"/>
      <c r="G351" s="16"/>
      <c r="H351" s="16"/>
      <c r="I351" s="16"/>
      <c r="J351" s="16"/>
    </row>
    <row r="352" spans="6:10" ht="12.75">
      <c r="F352" s="16"/>
      <c r="G352" s="16"/>
      <c r="H352" s="16"/>
      <c r="I352" s="16"/>
      <c r="J352" s="16"/>
    </row>
    <row r="353" spans="6:10" ht="12.75">
      <c r="F353" s="16"/>
      <c r="G353" s="16"/>
      <c r="H353" s="16"/>
      <c r="I353" s="16"/>
      <c r="J353" s="16"/>
    </row>
    <row r="354" spans="6:10" ht="12.75">
      <c r="F354" s="16"/>
      <c r="G354" s="16"/>
      <c r="H354" s="16"/>
      <c r="I354" s="16"/>
      <c r="J354" s="16"/>
    </row>
    <row r="355" spans="6:10" ht="12.75">
      <c r="F355" s="16"/>
      <c r="G355" s="16"/>
      <c r="H355" s="16"/>
      <c r="I355" s="16"/>
      <c r="J355" s="16"/>
    </row>
    <row r="356" spans="6:10" ht="12.75">
      <c r="F356" s="16"/>
      <c r="G356" s="16"/>
      <c r="H356" s="16"/>
      <c r="I356" s="16"/>
      <c r="J356" s="16"/>
    </row>
    <row r="357" spans="6:10" ht="12.75">
      <c r="F357" s="16"/>
      <c r="G357" s="16"/>
      <c r="H357" s="16"/>
      <c r="I357" s="16"/>
      <c r="J357" s="16"/>
    </row>
    <row r="358" spans="6:10" ht="12.75">
      <c r="F358" s="16"/>
      <c r="G358" s="16"/>
      <c r="H358" s="16"/>
      <c r="I358" s="16"/>
      <c r="J358" s="16"/>
    </row>
    <row r="359" spans="6:10" ht="12.75">
      <c r="F359" s="16"/>
      <c r="G359" s="16"/>
      <c r="H359" s="16"/>
      <c r="I359" s="16"/>
      <c r="J359" s="16"/>
    </row>
    <row r="360" spans="6:10" ht="12.75">
      <c r="F360" s="16"/>
      <c r="G360" s="16"/>
      <c r="H360" s="16"/>
      <c r="I360" s="16"/>
      <c r="J360" s="16"/>
    </row>
    <row r="361" spans="6:10" ht="12.75">
      <c r="F361" s="16"/>
      <c r="G361" s="16"/>
      <c r="H361" s="16"/>
      <c r="I361" s="16"/>
      <c r="J361" s="16"/>
    </row>
    <row r="362" spans="6:10" ht="12.75">
      <c r="F362" s="16"/>
      <c r="G362" s="16"/>
      <c r="H362" s="16"/>
      <c r="I362" s="16"/>
      <c r="J362" s="16"/>
    </row>
    <row r="363" spans="6:10" ht="12.75">
      <c r="F363" s="16"/>
      <c r="G363" s="16"/>
      <c r="H363" s="16"/>
      <c r="I363" s="16"/>
      <c r="J363" s="16"/>
    </row>
    <row r="364" spans="6:10" ht="12.75">
      <c r="F364" s="16"/>
      <c r="G364" s="16"/>
      <c r="H364" s="16"/>
      <c r="I364" s="16"/>
      <c r="J364" s="16"/>
    </row>
    <row r="365" spans="6:10" ht="12.75">
      <c r="F365" s="16"/>
      <c r="G365" s="16"/>
      <c r="H365" s="16"/>
      <c r="I365" s="16"/>
      <c r="J365" s="16"/>
    </row>
    <row r="374" spans="1:5" s="16" customFormat="1" ht="12.75">
      <c r="A374"/>
      <c r="B374"/>
      <c r="C374"/>
      <c r="D374"/>
      <c r="E374"/>
    </row>
    <row r="385" spans="6:10" ht="12.75">
      <c r="F385" s="16"/>
      <c r="G385" s="16"/>
      <c r="H385" s="16"/>
      <c r="I385" s="16"/>
      <c r="J385" s="16"/>
    </row>
    <row r="386" spans="6:10" ht="12.75">
      <c r="F386" s="16"/>
      <c r="G386" s="16"/>
      <c r="H386" s="16"/>
      <c r="I386" s="16"/>
      <c r="J386" s="16"/>
    </row>
    <row r="387" spans="6:10" ht="12.75">
      <c r="F387" s="16"/>
      <c r="G387" s="16"/>
      <c r="H387" s="16"/>
      <c r="I387" s="16"/>
      <c r="J387" s="16"/>
    </row>
    <row r="388" spans="6:10" ht="12.75">
      <c r="F388" s="16"/>
      <c r="G388" s="16"/>
      <c r="H388" s="16"/>
      <c r="I388" s="16"/>
      <c r="J388" s="16"/>
    </row>
    <row r="389" spans="6:10" ht="12.75">
      <c r="F389" s="16"/>
      <c r="G389" s="16"/>
      <c r="H389" s="16"/>
      <c r="I389" s="16"/>
      <c r="J389" s="16"/>
    </row>
    <row r="390" spans="6:11" ht="15.75">
      <c r="F390" s="16"/>
      <c r="G390" s="16"/>
      <c r="H390" s="16"/>
      <c r="I390" s="16"/>
      <c r="J390" s="16"/>
      <c r="K390" s="310"/>
    </row>
    <row r="391" spans="6:11" ht="15.75">
      <c r="F391" s="16"/>
      <c r="G391" s="16"/>
      <c r="H391" s="16"/>
      <c r="I391" s="16"/>
      <c r="J391" s="16"/>
      <c r="K391" s="310"/>
    </row>
    <row r="392" spans="6:11" ht="15.75">
      <c r="F392" s="16"/>
      <c r="G392" s="16"/>
      <c r="H392" s="16"/>
      <c r="I392" s="16"/>
      <c r="J392" s="16"/>
      <c r="K392" s="310"/>
    </row>
    <row r="399" spans="6:10" ht="12.75">
      <c r="F399" s="16"/>
      <c r="G399" s="16"/>
      <c r="H399" s="16"/>
      <c r="I399" s="16"/>
      <c r="J399" s="16"/>
    </row>
    <row r="400" spans="6:10" ht="12.75">
      <c r="F400" s="16"/>
      <c r="G400" s="16"/>
      <c r="H400" s="16"/>
      <c r="I400" s="16"/>
      <c r="J400" s="16"/>
    </row>
    <row r="401" spans="6:10" ht="12.75">
      <c r="F401" s="16"/>
      <c r="G401" s="16"/>
      <c r="H401" s="16"/>
      <c r="I401" s="16"/>
      <c r="J401" s="16"/>
    </row>
    <row r="402" spans="6:10" ht="12.75">
      <c r="F402" s="16"/>
      <c r="G402" s="16"/>
      <c r="H402" s="16"/>
      <c r="I402" s="16"/>
      <c r="J402" s="16"/>
    </row>
    <row r="403" spans="6:10" ht="12.75">
      <c r="F403" s="16"/>
      <c r="G403" s="16"/>
      <c r="H403" s="16"/>
      <c r="I403" s="16"/>
      <c r="J403" s="16"/>
    </row>
    <row r="404" spans="6:10" ht="12.75">
      <c r="F404" s="16"/>
      <c r="G404" s="16"/>
      <c r="H404" s="16"/>
      <c r="I404" s="16"/>
      <c r="J404" s="16"/>
    </row>
    <row r="405" spans="6:10" ht="12.75">
      <c r="F405" s="16"/>
      <c r="G405" s="16"/>
      <c r="H405" s="16"/>
      <c r="I405" s="16"/>
      <c r="J405" s="16"/>
    </row>
    <row r="406" spans="6:10" ht="12.75">
      <c r="F406" s="16"/>
      <c r="G406" s="16"/>
      <c r="H406" s="16"/>
      <c r="I406" s="16"/>
      <c r="J406" s="16"/>
    </row>
    <row r="407" spans="6:10" ht="12.75">
      <c r="F407" s="16"/>
      <c r="G407" s="16"/>
      <c r="H407" s="16"/>
      <c r="I407" s="16"/>
      <c r="J407" s="16"/>
    </row>
    <row r="408" spans="6:10" ht="12.75">
      <c r="F408" s="16"/>
      <c r="G408" s="16"/>
      <c r="H408" s="16"/>
      <c r="I408" s="16"/>
      <c r="J408" s="16"/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2.75">
      <c r="F416" s="16"/>
      <c r="G416" s="16"/>
      <c r="H416" s="16"/>
      <c r="I416" s="16"/>
      <c r="J416" s="16"/>
    </row>
    <row r="417" spans="6:10" ht="12.75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30" spans="1:10" s="16" customFormat="1" ht="12.75">
      <c r="A430"/>
      <c r="B430"/>
      <c r="C430"/>
      <c r="D430"/>
      <c r="E430"/>
      <c r="F430"/>
      <c r="G430"/>
      <c r="H430"/>
      <c r="I430"/>
      <c r="J430"/>
    </row>
    <row r="431" spans="1:10" s="16" customFormat="1" ht="12.75">
      <c r="A431"/>
      <c r="B431"/>
      <c r="C431"/>
      <c r="D431"/>
      <c r="E431"/>
      <c r="F431"/>
      <c r="G431"/>
      <c r="H431"/>
      <c r="I431"/>
      <c r="J431"/>
    </row>
    <row r="432" spans="1:10" s="16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38">
    <mergeCell ref="A106:E106"/>
    <mergeCell ref="A109:E109"/>
    <mergeCell ref="A108:E108"/>
    <mergeCell ref="D187:E187"/>
    <mergeCell ref="B186:C186"/>
    <mergeCell ref="A103:E103"/>
    <mergeCell ref="A104:E104"/>
    <mergeCell ref="A132:E132"/>
    <mergeCell ref="A1:E1"/>
    <mergeCell ref="A3:E3"/>
    <mergeCell ref="A4:E4"/>
    <mergeCell ref="A5:E5"/>
    <mergeCell ref="A7:E7"/>
    <mergeCell ref="D190:E190"/>
    <mergeCell ref="A159:E159"/>
    <mergeCell ref="A155:E155"/>
    <mergeCell ref="A156:E156"/>
    <mergeCell ref="A30:E30"/>
    <mergeCell ref="A8:E8"/>
    <mergeCell ref="B191:C191"/>
    <mergeCell ref="D191:E191"/>
    <mergeCell ref="B188:C188"/>
    <mergeCell ref="D188:E188"/>
    <mergeCell ref="B189:C189"/>
    <mergeCell ref="A133:E133"/>
    <mergeCell ref="A9:C9"/>
    <mergeCell ref="A55:E55"/>
    <mergeCell ref="A51:E51"/>
    <mergeCell ref="D189:E189"/>
    <mergeCell ref="B190:C190"/>
    <mergeCell ref="B187:C187"/>
    <mergeCell ref="A29:E29"/>
    <mergeCell ref="A31:E31"/>
    <mergeCell ref="A79:E79"/>
    <mergeCell ref="A52:E52"/>
    <mergeCell ref="A160:E160"/>
    <mergeCell ref="A56:E56"/>
    <mergeCell ref="A80:E8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654" t="s">
        <v>1442</v>
      </c>
      <c r="B2" s="1654"/>
      <c r="C2" s="1654"/>
      <c r="D2" s="1654"/>
      <c r="E2" s="1654"/>
      <c r="F2" s="1"/>
      <c r="G2" s="1"/>
    </row>
    <row r="3" spans="1:7" ht="12.75">
      <c r="A3" s="1"/>
      <c r="B3" s="1"/>
      <c r="C3" s="1"/>
      <c r="D3" s="1"/>
      <c r="E3" s="4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3" t="s">
        <v>96</v>
      </c>
      <c r="C5" s="1"/>
      <c r="D5" s="1"/>
      <c r="E5" s="1"/>
      <c r="F5" s="1"/>
      <c r="G5" s="1"/>
    </row>
    <row r="6" spans="1:7" ht="15.75">
      <c r="A6" s="1"/>
      <c r="B6" s="113" t="s">
        <v>97</v>
      </c>
      <c r="C6" s="113"/>
      <c r="D6" s="113"/>
      <c r="E6" s="113"/>
      <c r="F6" s="1"/>
      <c r="G6" s="1"/>
    </row>
    <row r="7" spans="1:7" ht="15.75">
      <c r="A7" s="1"/>
      <c r="B7" s="113"/>
      <c r="C7" s="113"/>
      <c r="D7" s="113"/>
      <c r="E7" s="113"/>
      <c r="F7" s="1"/>
      <c r="G7" s="1"/>
    </row>
    <row r="8" spans="1:7" ht="15.75">
      <c r="A8" s="1"/>
      <c r="B8" s="113"/>
      <c r="C8" s="113"/>
      <c r="D8" s="113" t="s">
        <v>1079</v>
      </c>
      <c r="E8" s="113"/>
      <c r="F8" s="1"/>
      <c r="G8" s="1"/>
    </row>
    <row r="9" spans="1:7" ht="15.75">
      <c r="A9" s="1"/>
      <c r="B9" s="113"/>
      <c r="C9" s="113"/>
      <c r="D9" s="113"/>
      <c r="E9" s="113"/>
      <c r="F9" s="1"/>
      <c r="G9" s="1"/>
    </row>
    <row r="10" spans="1:7" ht="15.75">
      <c r="A10" s="1"/>
      <c r="B10" s="113"/>
      <c r="C10" s="113"/>
      <c r="D10" s="113"/>
      <c r="E10" s="113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0" t="s">
        <v>98</v>
      </c>
      <c r="B12" s="14"/>
      <c r="C12" s="14"/>
      <c r="D12" s="14"/>
    </row>
    <row r="15" spans="1:6" ht="15.75">
      <c r="A15" s="20" t="s">
        <v>99</v>
      </c>
      <c r="B15" s="20"/>
      <c r="C15" s="20"/>
      <c r="D15" s="20"/>
      <c r="E15" s="20"/>
      <c r="F15" s="1"/>
    </row>
    <row r="16" spans="1:6" ht="15.75">
      <c r="A16" s="20" t="s">
        <v>100</v>
      </c>
      <c r="B16" s="20"/>
      <c r="C16" s="20"/>
      <c r="D16" s="20"/>
      <c r="E16" s="20"/>
      <c r="F16" s="1"/>
    </row>
    <row r="17" spans="1:6" ht="12.75">
      <c r="A17" s="419" t="s">
        <v>101</v>
      </c>
      <c r="B17" s="1"/>
      <c r="C17" s="1"/>
      <c r="D17" s="1"/>
      <c r="E17" s="1"/>
      <c r="F17" s="1"/>
    </row>
    <row r="18" spans="1:6" ht="12.75">
      <c r="A18" s="419"/>
      <c r="B18" s="1"/>
      <c r="C18" s="1"/>
      <c r="D18" s="1"/>
      <c r="E18" s="1"/>
      <c r="F18" s="1"/>
    </row>
    <row r="19" spans="1:6" ht="12.75">
      <c r="A19" s="419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20"/>
      <c r="B21" s="421"/>
      <c r="C21" s="422"/>
      <c r="D21" s="423"/>
      <c r="E21" s="424" t="s">
        <v>102</v>
      </c>
      <c r="F21" s="1"/>
    </row>
    <row r="22" spans="1:6" ht="12.75">
      <c r="A22" s="425" t="s">
        <v>103</v>
      </c>
      <c r="B22" s="1747" t="s">
        <v>104</v>
      </c>
      <c r="C22" s="1748"/>
      <c r="D22" s="1749"/>
      <c r="E22" s="425" t="s">
        <v>105</v>
      </c>
      <c r="F22" s="1"/>
    </row>
    <row r="23" spans="1:6" ht="13.5" thickBot="1">
      <c r="A23" s="336"/>
      <c r="B23" s="227"/>
      <c r="C23" s="198"/>
      <c r="D23" s="426"/>
      <c r="E23" s="134" t="s">
        <v>106</v>
      </c>
      <c r="F23" s="1"/>
    </row>
    <row r="24" spans="1:6" ht="12.75">
      <c r="A24" s="420"/>
      <c r="B24" s="36"/>
      <c r="C24" s="36"/>
      <c r="D24" s="36"/>
      <c r="E24" s="424"/>
      <c r="F24" s="1"/>
    </row>
    <row r="25" spans="1:6" ht="12.75">
      <c r="A25" s="427">
        <v>1</v>
      </c>
      <c r="B25" s="229" t="s">
        <v>107</v>
      </c>
      <c r="C25" s="229"/>
      <c r="D25" s="229"/>
      <c r="E25" s="23"/>
      <c r="F25" s="1"/>
    </row>
    <row r="26" spans="1:6" ht="12.75">
      <c r="A26" s="223">
        <v>2</v>
      </c>
      <c r="B26" s="36" t="s">
        <v>108</v>
      </c>
      <c r="C26" s="36"/>
      <c r="D26" s="230"/>
      <c r="E26" s="27"/>
      <c r="F26" s="1"/>
    </row>
    <row r="27" spans="1:6" ht="12.75">
      <c r="A27" s="427"/>
      <c r="B27" s="229" t="s">
        <v>109</v>
      </c>
      <c r="C27" s="229"/>
      <c r="D27" s="228"/>
      <c r="E27" s="23"/>
      <c r="F27" s="1"/>
    </row>
    <row r="28" spans="1:6" ht="12.75">
      <c r="A28" s="223">
        <v>3</v>
      </c>
      <c r="B28" s="36" t="s">
        <v>110</v>
      </c>
      <c r="C28" s="36"/>
      <c r="D28" s="230"/>
      <c r="E28" s="27"/>
      <c r="F28" s="1"/>
    </row>
    <row r="29" spans="1:6" ht="12.75">
      <c r="A29" s="427"/>
      <c r="B29" s="229" t="s">
        <v>111</v>
      </c>
      <c r="C29" s="229"/>
      <c r="D29" s="228"/>
      <c r="E29" s="23"/>
      <c r="F29" s="1"/>
    </row>
    <row r="30" spans="1:6" ht="12.75">
      <c r="A30" s="427">
        <v>4</v>
      </c>
      <c r="B30" s="229" t="s">
        <v>112</v>
      </c>
      <c r="C30" s="229"/>
      <c r="D30" s="228"/>
      <c r="E30" s="23"/>
      <c r="F30" s="1"/>
    </row>
    <row r="31" spans="1:6" ht="12.75">
      <c r="A31" s="223">
        <v>5</v>
      </c>
      <c r="B31" s="36" t="s">
        <v>113</v>
      </c>
      <c r="C31" s="36"/>
      <c r="D31" s="230"/>
      <c r="E31" s="27"/>
      <c r="F31" s="1"/>
    </row>
    <row r="32" spans="1:6" ht="12.75">
      <c r="A32" s="427"/>
      <c r="B32" s="229" t="s">
        <v>114</v>
      </c>
      <c r="C32" s="229"/>
      <c r="D32" s="228"/>
      <c r="E32" s="23"/>
      <c r="F32" s="1"/>
    </row>
    <row r="33" spans="1:6" ht="12.75">
      <c r="A33" s="428">
        <v>6</v>
      </c>
      <c r="B33" s="6" t="s">
        <v>115</v>
      </c>
      <c r="C33" s="4"/>
      <c r="D33" s="199"/>
      <c r="E33" s="25"/>
      <c r="F33" s="1"/>
    </row>
    <row r="34" spans="1:6" ht="13.5" thickBot="1">
      <c r="A34" s="224">
        <v>7</v>
      </c>
      <c r="B34" s="198" t="s">
        <v>116</v>
      </c>
      <c r="C34" s="198"/>
      <c r="D34" s="426"/>
      <c r="E34" s="173"/>
      <c r="F34" s="1"/>
    </row>
    <row r="35" spans="1:6" ht="16.5" thickBot="1">
      <c r="A35" s="1"/>
      <c r="B35" s="125" t="s">
        <v>26</v>
      </c>
      <c r="C35" s="232"/>
      <c r="D35" s="233"/>
      <c r="E35" s="23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750" t="s">
        <v>396</v>
      </c>
      <c r="B37" s="1678"/>
      <c r="C37" s="1678"/>
      <c r="D37" s="1678"/>
      <c r="E37" s="1678"/>
      <c r="F37" s="1"/>
    </row>
    <row r="38" spans="1:6" ht="12.75">
      <c r="A38" s="1750" t="s">
        <v>117</v>
      </c>
      <c r="B38" s="1678"/>
      <c r="C38" s="1678"/>
      <c r="D38" s="1678"/>
      <c r="E38" s="1678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1080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118</v>
      </c>
      <c r="F43" s="1"/>
    </row>
    <row r="44" spans="1:6" ht="12.75">
      <c r="A44" s="1"/>
      <c r="B44" s="1"/>
      <c r="C44" s="1"/>
      <c r="D44" s="1"/>
      <c r="E44" s="1" t="s">
        <v>119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54" t="s">
        <v>1443</v>
      </c>
      <c r="B1" s="1678"/>
      <c r="C1" s="1678"/>
      <c r="D1" s="1678"/>
      <c r="E1" s="1678"/>
      <c r="F1" s="1678"/>
    </row>
    <row r="2" spans="1:13" ht="12.75">
      <c r="A2" s="1741" t="s">
        <v>453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</row>
    <row r="3" spans="1:13" ht="13.5" thickBot="1">
      <c r="A3" s="1"/>
      <c r="B3" s="1751" t="s">
        <v>54</v>
      </c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</row>
    <row r="4" spans="1:13" ht="38.25">
      <c r="A4" s="175" t="s">
        <v>3</v>
      </c>
      <c r="B4" s="792" t="s">
        <v>604</v>
      </c>
      <c r="C4" s="792" t="s">
        <v>409</v>
      </c>
      <c r="D4" s="792" t="s">
        <v>410</v>
      </c>
      <c r="E4" s="792" t="s">
        <v>411</v>
      </c>
      <c r="F4" s="792" t="s">
        <v>412</v>
      </c>
      <c r="G4" s="792" t="s">
        <v>413</v>
      </c>
      <c r="H4" s="792" t="s">
        <v>414</v>
      </c>
      <c r="I4" s="792" t="s">
        <v>605</v>
      </c>
      <c r="J4" s="792" t="s">
        <v>1006</v>
      </c>
      <c r="K4" s="792" t="s">
        <v>1081</v>
      </c>
      <c r="L4" s="645" t="s">
        <v>1082</v>
      </c>
      <c r="M4" s="646" t="s">
        <v>26</v>
      </c>
    </row>
    <row r="5" spans="1:13" ht="17.25" customHeight="1">
      <c r="A5" s="647" t="s">
        <v>415</v>
      </c>
      <c r="B5" s="790">
        <f>'14 16_sz_ melléklet'!C30+'14 16_sz_ melléklet'!C34+'14 16_sz_ melléklet'!C40</f>
        <v>1016000</v>
      </c>
      <c r="C5" s="790">
        <f>B5*1.005</f>
        <v>1021079.9999999999</v>
      </c>
      <c r="D5" s="790">
        <f>C5*1.003</f>
        <v>1024143.2399999998</v>
      </c>
      <c r="E5" s="790">
        <f aca="true" t="shared" si="0" ref="E5:L5">D5*1.003</f>
        <v>1027215.6697199997</v>
      </c>
      <c r="F5" s="790">
        <f t="shared" si="0"/>
        <v>1030297.3167291596</v>
      </c>
      <c r="G5" s="790">
        <f t="shared" si="0"/>
        <v>1033388.208679347</v>
      </c>
      <c r="H5" s="790">
        <f t="shared" si="0"/>
        <v>1036488.3733053849</v>
      </c>
      <c r="I5" s="790">
        <f t="shared" si="0"/>
        <v>1039597.8384253009</v>
      </c>
      <c r="J5" s="790">
        <f t="shared" si="0"/>
        <v>1042716.6319405767</v>
      </c>
      <c r="K5" s="790">
        <f t="shared" si="0"/>
        <v>1045844.7818363983</v>
      </c>
      <c r="L5" s="790">
        <f t="shared" si="0"/>
        <v>1048982.3161819074</v>
      </c>
      <c r="M5" s="795">
        <f aca="true" t="shared" si="1" ref="M5:M12">SUM(B5:L5)</f>
        <v>11365754.376818074</v>
      </c>
    </row>
    <row r="6" spans="1:13" ht="24.75" customHeight="1">
      <c r="A6" s="647" t="s">
        <v>416</v>
      </c>
      <c r="B6" s="790">
        <f>'22 24  sz. melléklet'!F28</f>
        <v>207100</v>
      </c>
      <c r="C6" s="790">
        <f>B6*1.03</f>
        <v>213313</v>
      </c>
      <c r="D6" s="790">
        <f aca="true" t="shared" si="2" ref="D6:L6">C6*1.03</f>
        <v>219712.39</v>
      </c>
      <c r="E6" s="790">
        <f t="shared" si="2"/>
        <v>226303.76170000003</v>
      </c>
      <c r="F6" s="790">
        <f t="shared" si="2"/>
        <v>233092.87455100004</v>
      </c>
      <c r="G6" s="790">
        <f t="shared" si="2"/>
        <v>240085.66078753004</v>
      </c>
      <c r="H6" s="790">
        <f t="shared" si="2"/>
        <v>247288.23061115594</v>
      </c>
      <c r="I6" s="790">
        <f t="shared" si="2"/>
        <v>254706.87752949062</v>
      </c>
      <c r="J6" s="790">
        <f t="shared" si="2"/>
        <v>262348.08385537536</v>
      </c>
      <c r="K6" s="790">
        <f t="shared" si="2"/>
        <v>270218.5263710366</v>
      </c>
      <c r="L6" s="790">
        <f t="shared" si="2"/>
        <v>278325.0821621677</v>
      </c>
      <c r="M6" s="795">
        <f t="shared" si="1"/>
        <v>2652494.4875677563</v>
      </c>
    </row>
    <row r="7" spans="1:13" ht="25.5" customHeight="1">
      <c r="A7" s="647" t="s">
        <v>417</v>
      </c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5">
        <f t="shared" si="1"/>
        <v>0</v>
      </c>
    </row>
    <row r="8" spans="1:13" ht="49.5" customHeight="1">
      <c r="A8" s="647" t="s">
        <v>418</v>
      </c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5">
        <f t="shared" si="1"/>
        <v>0</v>
      </c>
    </row>
    <row r="9" spans="1:13" ht="18.75" customHeight="1">
      <c r="A9" s="647" t="s">
        <v>419</v>
      </c>
      <c r="B9" s="790">
        <f>'14 16_sz_ melléklet'!C72</f>
        <v>2000</v>
      </c>
      <c r="C9" s="790">
        <f>B9*1.003</f>
        <v>2005.9999999999998</v>
      </c>
      <c r="D9" s="790">
        <f aca="true" t="shared" si="3" ref="D9:L9">C9*1.003</f>
        <v>2012.0179999999996</v>
      </c>
      <c r="E9" s="790">
        <f t="shared" si="3"/>
        <v>2018.0540539999993</v>
      </c>
      <c r="F9" s="790">
        <f t="shared" si="3"/>
        <v>2024.108216161999</v>
      </c>
      <c r="G9" s="790">
        <f t="shared" si="3"/>
        <v>2030.180540810485</v>
      </c>
      <c r="H9" s="790">
        <f t="shared" si="3"/>
        <v>2036.271082432916</v>
      </c>
      <c r="I9" s="790">
        <f t="shared" si="3"/>
        <v>2042.3798956802145</v>
      </c>
      <c r="J9" s="790">
        <f t="shared" si="3"/>
        <v>2048.507035367255</v>
      </c>
      <c r="K9" s="790">
        <f t="shared" si="3"/>
        <v>2054.6525564733565</v>
      </c>
      <c r="L9" s="790">
        <f t="shared" si="3"/>
        <v>2060.816514142776</v>
      </c>
      <c r="M9" s="795">
        <f t="shared" si="1"/>
        <v>22332.987895069004</v>
      </c>
    </row>
    <row r="10" spans="1:13" ht="25.5" customHeight="1" thickBot="1">
      <c r="A10" s="647" t="s">
        <v>420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5">
        <f t="shared" si="1"/>
        <v>0</v>
      </c>
    </row>
    <row r="11" spans="1:13" ht="18" customHeight="1" thickBot="1">
      <c r="A11" s="643" t="s">
        <v>421</v>
      </c>
      <c r="B11" s="144">
        <f aca="true" t="shared" si="4" ref="B11:L11">SUM(B5:B10)</f>
        <v>1225100</v>
      </c>
      <c r="C11" s="144">
        <f t="shared" si="4"/>
        <v>1236399</v>
      </c>
      <c r="D11" s="144">
        <f t="shared" si="4"/>
        <v>1245867.6479999998</v>
      </c>
      <c r="E11" s="144">
        <f t="shared" si="4"/>
        <v>1255537.4854739998</v>
      </c>
      <c r="F11" s="144">
        <f t="shared" si="4"/>
        <v>1265414.2994963217</v>
      </c>
      <c r="G11" s="144">
        <f t="shared" si="4"/>
        <v>1275504.0500076876</v>
      </c>
      <c r="H11" s="144">
        <f t="shared" si="4"/>
        <v>1285812.8749989737</v>
      </c>
      <c r="I11" s="144">
        <f t="shared" si="4"/>
        <v>1296347.0958504716</v>
      </c>
      <c r="J11" s="144">
        <f t="shared" si="4"/>
        <v>1307113.2228313193</v>
      </c>
      <c r="K11" s="144">
        <f t="shared" si="4"/>
        <v>1318117.9607639082</v>
      </c>
      <c r="L11" s="144">
        <f t="shared" si="4"/>
        <v>1329368.2148582179</v>
      </c>
      <c r="M11" s="793">
        <f t="shared" si="1"/>
        <v>14040581.852280902</v>
      </c>
    </row>
    <row r="12" spans="1:13" ht="16.5" customHeight="1">
      <c r="A12" s="648" t="s">
        <v>422</v>
      </c>
      <c r="B12" s="633">
        <f>B11/2</f>
        <v>612550</v>
      </c>
      <c r="C12" s="633">
        <f aca="true" t="shared" si="5" ref="C12:L12">C11/2</f>
        <v>618199.5</v>
      </c>
      <c r="D12" s="633">
        <f t="shared" si="5"/>
        <v>622933.8239999999</v>
      </c>
      <c r="E12" s="633">
        <f t="shared" si="5"/>
        <v>627768.7427369999</v>
      </c>
      <c r="F12" s="633">
        <f t="shared" si="5"/>
        <v>632707.1497481609</v>
      </c>
      <c r="G12" s="633">
        <f t="shared" si="5"/>
        <v>637752.0250038438</v>
      </c>
      <c r="H12" s="633">
        <f t="shared" si="5"/>
        <v>642906.4374994868</v>
      </c>
      <c r="I12" s="633">
        <f t="shared" si="5"/>
        <v>648173.5479252358</v>
      </c>
      <c r="J12" s="633">
        <f t="shared" si="5"/>
        <v>653556.6114156597</v>
      </c>
      <c r="K12" s="633">
        <f t="shared" si="5"/>
        <v>659058.9803819541</v>
      </c>
      <c r="L12" s="633">
        <f t="shared" si="5"/>
        <v>664684.1074291089</v>
      </c>
      <c r="M12" s="794">
        <f t="shared" si="1"/>
        <v>7020290.926140451</v>
      </c>
    </row>
    <row r="13" spans="1:13" ht="33.75" customHeight="1">
      <c r="A13" s="649" t="s">
        <v>423</v>
      </c>
      <c r="B13" s="791">
        <v>0</v>
      </c>
      <c r="C13" s="791">
        <f>'42_sz_ melléklet'!L13</f>
        <v>0</v>
      </c>
      <c r="D13" s="791">
        <v>0</v>
      </c>
      <c r="E13" s="791">
        <v>0</v>
      </c>
      <c r="F13" s="791">
        <v>0</v>
      </c>
      <c r="G13" s="791">
        <v>0</v>
      </c>
      <c r="H13" s="791">
        <v>0</v>
      </c>
      <c r="I13" s="791">
        <v>0</v>
      </c>
      <c r="J13" s="791">
        <v>0</v>
      </c>
      <c r="K13" s="791">
        <v>0</v>
      </c>
      <c r="L13" s="791">
        <v>0</v>
      </c>
      <c r="M13" s="738">
        <v>0</v>
      </c>
    </row>
    <row r="14" spans="1:13" ht="25.5" customHeight="1">
      <c r="A14" s="647" t="s">
        <v>424</v>
      </c>
      <c r="B14" s="790">
        <v>0</v>
      </c>
      <c r="C14" s="790">
        <v>0</v>
      </c>
      <c r="D14" s="790">
        <v>0</v>
      </c>
      <c r="E14" s="790">
        <v>0</v>
      </c>
      <c r="F14" s="790">
        <v>0</v>
      </c>
      <c r="G14" s="790">
        <v>0</v>
      </c>
      <c r="H14" s="790">
        <v>0</v>
      </c>
      <c r="I14" s="790">
        <v>0</v>
      </c>
      <c r="J14" s="790">
        <v>0</v>
      </c>
      <c r="K14" s="790">
        <v>0</v>
      </c>
      <c r="L14" s="790">
        <v>0</v>
      </c>
      <c r="M14" s="773">
        <v>0</v>
      </c>
    </row>
    <row r="15" spans="1:13" ht="16.5" customHeight="1">
      <c r="A15" s="647" t="s">
        <v>425</v>
      </c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73"/>
    </row>
    <row r="16" spans="1:13" ht="24.75" customHeight="1">
      <c r="A16" s="647" t="s">
        <v>426</v>
      </c>
      <c r="B16" s="790"/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73"/>
    </row>
    <row r="17" spans="1:13" ht="33" customHeight="1">
      <c r="A17" s="647" t="s">
        <v>427</v>
      </c>
      <c r="B17" s="790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73"/>
    </row>
    <row r="18" spans="1:13" ht="51" customHeight="1">
      <c r="A18" s="647" t="s">
        <v>428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73"/>
    </row>
    <row r="19" spans="1:13" ht="26.25" customHeight="1" thickBot="1">
      <c r="A19" s="650" t="s">
        <v>429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2">
        <f>SUM(B19:L19)</f>
        <v>0</v>
      </c>
    </row>
    <row r="20" spans="1:13" ht="24.75" customHeight="1" thickBot="1">
      <c r="A20" s="644" t="s">
        <v>430</v>
      </c>
      <c r="B20" s="634">
        <f>SUM(B13:B19)</f>
        <v>0</v>
      </c>
      <c r="C20" s="634">
        <f aca="true" t="shared" si="6" ref="C20:L20">SUM(C13:C19)</f>
        <v>0</v>
      </c>
      <c r="D20" s="634">
        <f t="shared" si="6"/>
        <v>0</v>
      </c>
      <c r="E20" s="634">
        <f t="shared" si="6"/>
        <v>0</v>
      </c>
      <c r="F20" s="634">
        <f t="shared" si="6"/>
        <v>0</v>
      </c>
      <c r="G20" s="634">
        <f t="shared" si="6"/>
        <v>0</v>
      </c>
      <c r="H20" s="634">
        <f t="shared" si="6"/>
        <v>0</v>
      </c>
      <c r="I20" s="634">
        <f t="shared" si="6"/>
        <v>0</v>
      </c>
      <c r="J20" s="634">
        <f t="shared" si="6"/>
        <v>0</v>
      </c>
      <c r="K20" s="634">
        <f t="shared" si="6"/>
        <v>0</v>
      </c>
      <c r="L20" s="634">
        <f t="shared" si="6"/>
        <v>0</v>
      </c>
      <c r="M20" s="635">
        <f>SUM(B20:L20)</f>
        <v>0</v>
      </c>
    </row>
    <row r="21" spans="1:13" ht="38.25" customHeight="1" thickBot="1">
      <c r="A21" s="643" t="s">
        <v>431</v>
      </c>
      <c r="B21" s="144">
        <f>B12-B20</f>
        <v>612550</v>
      </c>
      <c r="C21" s="144">
        <f aca="true" t="shared" si="7" ref="C21:M21">C12-C20</f>
        <v>618199.5</v>
      </c>
      <c r="D21" s="144">
        <f t="shared" si="7"/>
        <v>622933.8239999999</v>
      </c>
      <c r="E21" s="144">
        <f t="shared" si="7"/>
        <v>627768.7427369999</v>
      </c>
      <c r="F21" s="144">
        <f t="shared" si="7"/>
        <v>632707.1497481609</v>
      </c>
      <c r="G21" s="144">
        <f t="shared" si="7"/>
        <v>637752.0250038438</v>
      </c>
      <c r="H21" s="144">
        <f t="shared" si="7"/>
        <v>642906.4374994868</v>
      </c>
      <c r="I21" s="144">
        <f t="shared" si="7"/>
        <v>648173.5479252358</v>
      </c>
      <c r="J21" s="144">
        <f t="shared" si="7"/>
        <v>653556.6114156597</v>
      </c>
      <c r="K21" s="144">
        <f t="shared" si="7"/>
        <v>659058.9803819541</v>
      </c>
      <c r="L21" s="144">
        <f t="shared" si="7"/>
        <v>664684.1074291089</v>
      </c>
      <c r="M21" s="793">
        <f t="shared" si="7"/>
        <v>7020290.926140451</v>
      </c>
    </row>
    <row r="22" spans="1:13" ht="12.75">
      <c r="A22" s="1" t="s">
        <v>432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7" customFormat="1" ht="12.75">
      <c r="A42" s="41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4" width="12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0.28125" style="0" customWidth="1"/>
    <col min="9" max="9" width="9.421875" style="0" customWidth="1"/>
    <col min="10" max="10" width="9.57421875" style="0" customWidth="1"/>
    <col min="11" max="11" width="11.421875" style="0" customWidth="1"/>
    <col min="12" max="12" width="12.00390625" style="0" customWidth="1"/>
    <col min="13" max="13" width="12.28125" style="0" customWidth="1"/>
  </cols>
  <sheetData>
    <row r="3" spans="1:13" ht="15">
      <c r="A3" s="1654" t="s">
        <v>1444</v>
      </c>
      <c r="B3" s="1678"/>
      <c r="C3" s="1678"/>
      <c r="D3" s="1678"/>
      <c r="E3" s="1678"/>
      <c r="F3" s="1678"/>
      <c r="G3" s="1"/>
      <c r="H3" s="1"/>
      <c r="I3" s="200"/>
      <c r="J3" s="200"/>
      <c r="K3" s="200"/>
      <c r="L3" s="200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687" t="s">
        <v>122</v>
      </c>
      <c r="B6" s="1675"/>
      <c r="C6" s="1675"/>
      <c r="D6" s="1675"/>
      <c r="E6" s="1675"/>
      <c r="F6" s="1675"/>
      <c r="G6" s="1675"/>
      <c r="H6" s="1675"/>
      <c r="I6" s="1675"/>
      <c r="J6" s="1675"/>
      <c r="K6" s="1675"/>
      <c r="L6" s="1675"/>
      <c r="M6" s="1675"/>
    </row>
    <row r="7" spans="2:13" ht="12.75">
      <c r="B7" s="1"/>
      <c r="C7" s="1"/>
      <c r="D7" s="41"/>
      <c r="E7" s="1"/>
      <c r="F7" s="1"/>
      <c r="G7" s="1"/>
      <c r="H7" s="1"/>
      <c r="I7" s="1"/>
      <c r="J7" s="1"/>
      <c r="K7" s="1"/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 thickBot="1">
      <c r="B9" s="1"/>
      <c r="C9" s="1"/>
      <c r="D9" s="1"/>
      <c r="E9" s="1"/>
      <c r="F9" s="1"/>
      <c r="G9" s="1"/>
      <c r="H9" s="1"/>
      <c r="I9" s="1"/>
      <c r="J9" s="22"/>
      <c r="K9" s="22"/>
      <c r="L9" s="22" t="s">
        <v>4</v>
      </c>
      <c r="M9" s="1"/>
    </row>
    <row r="10" spans="1:13" ht="13.5" thickBot="1">
      <c r="A10" s="1688" t="s">
        <v>311</v>
      </c>
      <c r="B10" s="201" t="s">
        <v>123</v>
      </c>
      <c r="C10" s="1756" t="s">
        <v>266</v>
      </c>
      <c r="D10" s="1757"/>
      <c r="E10" s="1758" t="s">
        <v>267</v>
      </c>
      <c r="F10" s="1757"/>
      <c r="G10" s="1759" t="s">
        <v>268</v>
      </c>
      <c r="H10" s="1757"/>
      <c r="I10" s="1758" t="s">
        <v>269</v>
      </c>
      <c r="J10" s="1756"/>
      <c r="K10" s="1760" t="s">
        <v>1340</v>
      </c>
      <c r="L10" s="1761"/>
      <c r="M10" s="1753" t="s">
        <v>1339</v>
      </c>
    </row>
    <row r="11" spans="1:13" ht="15.75" customHeight="1" thickBot="1">
      <c r="A11" s="1755"/>
      <c r="B11" s="203"/>
      <c r="C11" s="202" t="s">
        <v>124</v>
      </c>
      <c r="D11" s="204" t="s">
        <v>125</v>
      </c>
      <c r="E11" s="204" t="s">
        <v>270</v>
      </c>
      <c r="F11" s="204" t="s">
        <v>271</v>
      </c>
      <c r="G11" s="205" t="s">
        <v>272</v>
      </c>
      <c r="H11" s="205" t="s">
        <v>271</v>
      </c>
      <c r="I11" s="204" t="s">
        <v>273</v>
      </c>
      <c r="J11" s="202" t="s">
        <v>274</v>
      </c>
      <c r="K11" s="1603" t="s">
        <v>1341</v>
      </c>
      <c r="L11" s="1090" t="s">
        <v>1342</v>
      </c>
      <c r="M11" s="1754"/>
    </row>
    <row r="12" spans="1:13" ht="13.5" thickBot="1">
      <c r="A12" s="486" t="s">
        <v>312</v>
      </c>
      <c r="B12" s="449" t="s">
        <v>313</v>
      </c>
      <c r="C12" s="449" t="s">
        <v>314</v>
      </c>
      <c r="D12" s="449" t="s">
        <v>315</v>
      </c>
      <c r="E12" s="449" t="s">
        <v>335</v>
      </c>
      <c r="F12" s="449" t="s">
        <v>360</v>
      </c>
      <c r="G12" s="449" t="s">
        <v>361</v>
      </c>
      <c r="H12" s="449" t="s">
        <v>387</v>
      </c>
      <c r="I12" s="449" t="s">
        <v>388</v>
      </c>
      <c r="J12" s="202" t="s">
        <v>389</v>
      </c>
      <c r="K12" s="202"/>
      <c r="L12" s="202"/>
      <c r="M12" s="204" t="s">
        <v>392</v>
      </c>
    </row>
    <row r="13" spans="1:13" ht="12.75">
      <c r="A13" s="493" t="s">
        <v>316</v>
      </c>
      <c r="B13" s="206" t="s">
        <v>126</v>
      </c>
      <c r="C13" s="160">
        <v>460000</v>
      </c>
      <c r="D13" s="154">
        <v>384800</v>
      </c>
      <c r="E13" s="160">
        <v>0</v>
      </c>
      <c r="F13" s="154"/>
      <c r="G13" s="159">
        <v>0</v>
      </c>
      <c r="H13" s="30">
        <v>0</v>
      </c>
      <c r="I13" s="159">
        <v>0</v>
      </c>
      <c r="J13" s="569">
        <v>0</v>
      </c>
      <c r="K13" s="261">
        <v>750000</v>
      </c>
      <c r="L13" s="261">
        <v>750000</v>
      </c>
      <c r="M13" s="154"/>
    </row>
    <row r="14" spans="1:13" ht="12.75">
      <c r="A14" s="452" t="s">
        <v>317</v>
      </c>
      <c r="B14" s="206" t="s">
        <v>127</v>
      </c>
      <c r="C14" s="160">
        <v>320000</v>
      </c>
      <c r="D14" s="154">
        <v>350000</v>
      </c>
      <c r="E14" s="160">
        <v>0</v>
      </c>
      <c r="F14" s="154"/>
      <c r="G14" s="151">
        <v>0</v>
      </c>
      <c r="H14" s="117">
        <v>0</v>
      </c>
      <c r="I14" s="151">
        <v>0</v>
      </c>
      <c r="J14" s="327">
        <v>0</v>
      </c>
      <c r="K14" s="327">
        <v>500000</v>
      </c>
      <c r="L14" s="327">
        <v>50000</v>
      </c>
      <c r="M14" s="151"/>
    </row>
    <row r="15" spans="1:13" ht="12.75">
      <c r="A15" s="371" t="s">
        <v>318</v>
      </c>
      <c r="B15" s="206" t="s">
        <v>128</v>
      </c>
      <c r="C15" s="160">
        <v>720000</v>
      </c>
      <c r="D15" s="154">
        <v>480000</v>
      </c>
      <c r="E15" s="160">
        <v>0</v>
      </c>
      <c r="F15" s="154">
        <v>0</v>
      </c>
      <c r="G15" s="159">
        <v>0</v>
      </c>
      <c r="H15" s="30">
        <v>0</v>
      </c>
      <c r="I15" s="159">
        <v>0</v>
      </c>
      <c r="J15" s="261">
        <v>0</v>
      </c>
      <c r="K15" s="261">
        <v>500000</v>
      </c>
      <c r="L15" s="261">
        <v>750000</v>
      </c>
      <c r="M15" s="151">
        <v>200000</v>
      </c>
    </row>
    <row r="16" spans="1:13" ht="12.75">
      <c r="A16" s="371" t="s">
        <v>319</v>
      </c>
      <c r="B16" s="206" t="s">
        <v>129</v>
      </c>
      <c r="C16" s="160">
        <v>330000</v>
      </c>
      <c r="D16" s="154">
        <v>580000</v>
      </c>
      <c r="E16" s="160">
        <v>0</v>
      </c>
      <c r="F16" s="154">
        <v>0</v>
      </c>
      <c r="G16" s="151">
        <v>0</v>
      </c>
      <c r="H16" s="117">
        <v>0</v>
      </c>
      <c r="I16" s="151">
        <v>0</v>
      </c>
      <c r="J16" s="327">
        <v>0</v>
      </c>
      <c r="K16" s="327">
        <v>500000</v>
      </c>
      <c r="L16" s="327">
        <v>500000</v>
      </c>
      <c r="M16" s="151">
        <v>100000</v>
      </c>
    </row>
    <row r="17" spans="1:13" ht="12.75">
      <c r="A17" s="371" t="s">
        <v>320</v>
      </c>
      <c r="B17" s="206" t="s">
        <v>130</v>
      </c>
      <c r="C17" s="160">
        <v>320000</v>
      </c>
      <c r="D17" s="154">
        <v>700000</v>
      </c>
      <c r="E17" s="160">
        <v>0</v>
      </c>
      <c r="F17" s="154">
        <v>0</v>
      </c>
      <c r="G17" s="159">
        <v>0</v>
      </c>
      <c r="H17" s="30">
        <v>0</v>
      </c>
      <c r="I17" s="159">
        <v>0</v>
      </c>
      <c r="J17" s="261">
        <v>0</v>
      </c>
      <c r="K17" s="261">
        <v>800000</v>
      </c>
      <c r="L17" s="261">
        <v>500000</v>
      </c>
      <c r="M17" s="151">
        <v>100000</v>
      </c>
    </row>
    <row r="18" spans="1:13" ht="12.75">
      <c r="A18" s="371" t="s">
        <v>321</v>
      </c>
      <c r="B18" s="206" t="s">
        <v>131</v>
      </c>
      <c r="C18" s="160">
        <v>470000</v>
      </c>
      <c r="D18" s="154">
        <v>700000</v>
      </c>
      <c r="E18" s="160">
        <v>20000</v>
      </c>
      <c r="F18" s="154">
        <v>0</v>
      </c>
      <c r="G18" s="151">
        <v>0</v>
      </c>
      <c r="H18" s="117">
        <v>0</v>
      </c>
      <c r="I18" s="151">
        <v>0</v>
      </c>
      <c r="J18" s="327">
        <v>0</v>
      </c>
      <c r="K18" s="327">
        <v>1000000</v>
      </c>
      <c r="L18" s="327">
        <v>700000</v>
      </c>
      <c r="M18" s="151">
        <v>150000</v>
      </c>
    </row>
    <row r="19" spans="1:13" ht="12.75">
      <c r="A19" s="371" t="s">
        <v>322</v>
      </c>
      <c r="B19" s="206" t="s">
        <v>132</v>
      </c>
      <c r="C19" s="160">
        <v>320000</v>
      </c>
      <c r="D19" s="154">
        <v>600000</v>
      </c>
      <c r="E19" s="160">
        <v>30000</v>
      </c>
      <c r="F19" s="154">
        <v>0</v>
      </c>
      <c r="G19" s="159">
        <v>0</v>
      </c>
      <c r="H19" s="30">
        <v>0</v>
      </c>
      <c r="I19" s="159">
        <v>0</v>
      </c>
      <c r="J19" s="261">
        <v>0</v>
      </c>
      <c r="K19" s="261">
        <v>1000000</v>
      </c>
      <c r="L19" s="261">
        <v>1000000</v>
      </c>
      <c r="M19" s="151">
        <v>100000</v>
      </c>
    </row>
    <row r="20" spans="1:13" ht="12.75">
      <c r="A20" s="371" t="s">
        <v>323</v>
      </c>
      <c r="B20" s="206" t="s">
        <v>133</v>
      </c>
      <c r="C20" s="160">
        <v>420000</v>
      </c>
      <c r="D20" s="154">
        <v>700000</v>
      </c>
      <c r="E20" s="160">
        <v>25000</v>
      </c>
      <c r="F20" s="154">
        <v>0</v>
      </c>
      <c r="G20" s="151">
        <v>0</v>
      </c>
      <c r="H20" s="117">
        <v>0</v>
      </c>
      <c r="I20" s="151">
        <v>0</v>
      </c>
      <c r="J20" s="327">
        <v>0</v>
      </c>
      <c r="K20" s="327">
        <v>1000000</v>
      </c>
      <c r="L20" s="327">
        <v>1000000</v>
      </c>
      <c r="M20" s="151">
        <v>200000</v>
      </c>
    </row>
    <row r="21" spans="1:13" ht="12.75">
      <c r="A21" s="371" t="s">
        <v>324</v>
      </c>
      <c r="B21" s="206" t="s">
        <v>134</v>
      </c>
      <c r="C21" s="160">
        <v>720000</v>
      </c>
      <c r="D21" s="154">
        <v>776359</v>
      </c>
      <c r="E21" s="160">
        <v>0</v>
      </c>
      <c r="F21" s="154">
        <v>50000</v>
      </c>
      <c r="G21" s="159">
        <v>0</v>
      </c>
      <c r="H21" s="30">
        <v>0</v>
      </c>
      <c r="I21" s="159">
        <v>0</v>
      </c>
      <c r="J21" s="261">
        <v>0</v>
      </c>
      <c r="K21" s="261">
        <v>2500000</v>
      </c>
      <c r="L21" s="261">
        <v>2500000</v>
      </c>
      <c r="M21" s="151">
        <v>500000</v>
      </c>
    </row>
    <row r="22" spans="1:13" ht="12.75">
      <c r="A22" s="371" t="s">
        <v>325</v>
      </c>
      <c r="B22" s="206" t="s">
        <v>135</v>
      </c>
      <c r="C22" s="160">
        <v>320000</v>
      </c>
      <c r="D22" s="154">
        <v>573641</v>
      </c>
      <c r="E22" s="160">
        <v>25000</v>
      </c>
      <c r="F22" s="154">
        <v>0</v>
      </c>
      <c r="G22" s="151">
        <v>0</v>
      </c>
      <c r="H22" s="570">
        <v>0</v>
      </c>
      <c r="I22" s="151">
        <v>0</v>
      </c>
      <c r="J22" s="571">
        <v>0</v>
      </c>
      <c r="K22" s="571">
        <v>1800000</v>
      </c>
      <c r="L22" s="571">
        <v>1500000</v>
      </c>
      <c r="M22" s="151">
        <v>392908</v>
      </c>
    </row>
    <row r="23" spans="1:13" ht="12.75">
      <c r="A23" s="371" t="s">
        <v>326</v>
      </c>
      <c r="B23" s="206" t="s">
        <v>136</v>
      </c>
      <c r="C23" s="160">
        <f>300209+7934</f>
        <v>308143</v>
      </c>
      <c r="D23" s="154">
        <f>560266+7934</f>
        <v>568200</v>
      </c>
      <c r="E23" s="160">
        <v>0</v>
      </c>
      <c r="F23" s="154">
        <v>0</v>
      </c>
      <c r="G23" s="151">
        <v>0</v>
      </c>
      <c r="H23" s="117">
        <v>0</v>
      </c>
      <c r="I23" s="151">
        <v>0</v>
      </c>
      <c r="J23" s="327">
        <v>0</v>
      </c>
      <c r="K23" s="327">
        <v>1300000</v>
      </c>
      <c r="L23" s="327">
        <v>1500000</v>
      </c>
      <c r="M23" s="151"/>
    </row>
    <row r="24" spans="1:13" ht="13.5" thickBot="1">
      <c r="A24" s="432" t="s">
        <v>327</v>
      </c>
      <c r="B24" s="137" t="s">
        <v>137</v>
      </c>
      <c r="C24" s="160">
        <f>443871+104007</f>
        <v>547878</v>
      </c>
      <c r="D24" s="484">
        <f>481923+104006</f>
        <v>585929</v>
      </c>
      <c r="E24" s="160">
        <v>0</v>
      </c>
      <c r="F24" s="484">
        <v>50000</v>
      </c>
      <c r="G24" s="159">
        <v>0</v>
      </c>
      <c r="H24" s="30"/>
      <c r="I24" s="159">
        <v>0</v>
      </c>
      <c r="J24" s="261">
        <v>0</v>
      </c>
      <c r="K24" s="261">
        <v>373365</v>
      </c>
      <c r="L24" s="261">
        <v>1273365</v>
      </c>
      <c r="M24" s="156"/>
    </row>
    <row r="25" spans="1:13" ht="13.5" thickBot="1">
      <c r="A25" s="395" t="s">
        <v>328</v>
      </c>
      <c r="B25" s="177" t="s">
        <v>26</v>
      </c>
      <c r="C25" s="268">
        <f>SUM(C13:C24)</f>
        <v>5256021</v>
      </c>
      <c r="D25" s="158">
        <f aca="true" t="shared" si="0" ref="D25:I25">SUM(D13:D24)</f>
        <v>6998929</v>
      </c>
      <c r="E25" s="268">
        <f t="shared" si="0"/>
        <v>100000</v>
      </c>
      <c r="F25" s="158">
        <f t="shared" si="0"/>
        <v>100000</v>
      </c>
      <c r="G25" s="268">
        <f t="shared" si="0"/>
        <v>0</v>
      </c>
      <c r="H25" s="158">
        <f t="shared" si="0"/>
        <v>0</v>
      </c>
      <c r="I25" s="268">
        <f t="shared" si="0"/>
        <v>0</v>
      </c>
      <c r="J25" s="263">
        <f>SUM(J13:J24)</f>
        <v>0</v>
      </c>
      <c r="K25" s="263">
        <f>SUM(K13:K24)</f>
        <v>12023365</v>
      </c>
      <c r="L25" s="263">
        <f>SUM(L13:L24)</f>
        <v>12023365</v>
      </c>
      <c r="M25" s="158">
        <f>SUM(M13:M24)</f>
        <v>1742908</v>
      </c>
    </row>
  </sheetData>
  <sheetProtection/>
  <mergeCells count="9">
    <mergeCell ref="A3:F3"/>
    <mergeCell ref="M10:M11"/>
    <mergeCell ref="A10:A11"/>
    <mergeCell ref="C10:D10"/>
    <mergeCell ref="E10:F10"/>
    <mergeCell ref="G10:H10"/>
    <mergeCell ref="I10:J10"/>
    <mergeCell ref="K10:L10"/>
    <mergeCell ref="A6:M6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1" sqref="G1:L1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54" t="s">
        <v>1445</v>
      </c>
      <c r="B1" s="1678"/>
      <c r="C1" s="1678"/>
      <c r="D1" s="1678"/>
      <c r="E1" s="1678"/>
      <c r="F1" s="1678"/>
      <c r="G1" s="1762"/>
      <c r="H1" s="1762"/>
      <c r="I1" s="1762"/>
      <c r="J1" s="1762"/>
      <c r="K1" s="1762"/>
      <c r="L1" s="1762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62" t="s">
        <v>138</v>
      </c>
      <c r="C3" s="1762"/>
      <c r="D3" s="1762"/>
      <c r="E3" s="1762"/>
      <c r="F3" s="1762"/>
      <c r="G3" s="1762"/>
      <c r="H3" s="1762"/>
      <c r="I3" s="1762"/>
      <c r="J3" s="1762"/>
      <c r="K3" s="1762"/>
      <c r="L3" s="1762"/>
    </row>
    <row r="4" spans="2:12" ht="12.75">
      <c r="B4" s="1762" t="s">
        <v>139</v>
      </c>
      <c r="C4" s="1762"/>
      <c r="D4" s="1762"/>
      <c r="E4" s="1762"/>
      <c r="F4" s="1762"/>
      <c r="G4" s="1762"/>
      <c r="H4" s="1762"/>
      <c r="I4" s="1762"/>
      <c r="J4" s="1762"/>
      <c r="K4" s="1762"/>
      <c r="L4" s="1762"/>
    </row>
    <row r="5" spans="2:12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87" t="s">
        <v>140</v>
      </c>
    </row>
    <row r="6" spans="1:12" ht="13.5" thickBot="1">
      <c r="A6" s="1688" t="s">
        <v>311</v>
      </c>
      <c r="B6" s="1763" t="s">
        <v>141</v>
      </c>
      <c r="C6" s="1765" t="s">
        <v>142</v>
      </c>
      <c r="D6" s="1765"/>
      <c r="E6" s="1766" t="s">
        <v>143</v>
      </c>
      <c r="F6" s="1766"/>
      <c r="G6" s="1766"/>
      <c r="H6" s="1766"/>
      <c r="I6" s="1766"/>
      <c r="J6" s="1766"/>
      <c r="K6" s="1766"/>
      <c r="L6" s="1767" t="s">
        <v>144</v>
      </c>
    </row>
    <row r="7" spans="1:12" ht="33.75" customHeight="1" thickBot="1">
      <c r="A7" s="1755"/>
      <c r="B7" s="1764"/>
      <c r="C7" s="319" t="s">
        <v>145</v>
      </c>
      <c r="D7" s="319" t="s">
        <v>146</v>
      </c>
      <c r="E7" s="320" t="s">
        <v>1087</v>
      </c>
      <c r="F7" s="320" t="s">
        <v>1346</v>
      </c>
      <c r="G7" s="320"/>
      <c r="H7" s="320"/>
      <c r="I7" s="320"/>
      <c r="J7" s="320"/>
      <c r="K7" s="320"/>
      <c r="L7" s="1768"/>
    </row>
    <row r="8" spans="1:12" ht="14.25" customHeight="1" thickBot="1">
      <c r="A8" s="486" t="s">
        <v>390</v>
      </c>
      <c r="B8" s="486" t="s">
        <v>391</v>
      </c>
      <c r="C8" s="486" t="s">
        <v>314</v>
      </c>
      <c r="D8" s="486" t="s">
        <v>315</v>
      </c>
      <c r="E8" s="486" t="s">
        <v>335</v>
      </c>
      <c r="F8" s="486" t="s">
        <v>360</v>
      </c>
      <c r="G8" s="486" t="s">
        <v>361</v>
      </c>
      <c r="H8" s="486" t="s">
        <v>392</v>
      </c>
      <c r="I8" s="486" t="s">
        <v>388</v>
      </c>
      <c r="J8" s="486" t="s">
        <v>389</v>
      </c>
      <c r="K8" s="486" t="s">
        <v>392</v>
      </c>
      <c r="L8" s="486" t="s">
        <v>393</v>
      </c>
    </row>
    <row r="9" spans="1:12" ht="43.5" customHeight="1">
      <c r="A9" s="492" t="s">
        <v>316</v>
      </c>
      <c r="B9" s="535" t="s">
        <v>1083</v>
      </c>
      <c r="C9" s="66"/>
      <c r="D9" s="67"/>
      <c r="E9" s="67"/>
      <c r="F9" s="67"/>
      <c r="G9" s="762"/>
      <c r="H9" s="763"/>
      <c r="I9" s="763"/>
      <c r="J9" s="763"/>
      <c r="K9" s="763"/>
      <c r="L9" s="1389">
        <f>SUM(C9:K9)</f>
        <v>0</v>
      </c>
    </row>
    <row r="10" spans="1:12" ht="28.5" customHeight="1">
      <c r="A10" s="372" t="s">
        <v>317</v>
      </c>
      <c r="B10" s="536" t="s">
        <v>1084</v>
      </c>
      <c r="C10" s="69"/>
      <c r="D10" s="69">
        <v>100000</v>
      </c>
      <c r="E10" s="69"/>
      <c r="F10" s="69"/>
      <c r="G10" s="70">
        <v>0</v>
      </c>
      <c r="H10" s="71"/>
      <c r="I10" s="71"/>
      <c r="J10" s="71"/>
      <c r="K10" s="71"/>
      <c r="L10" s="1390">
        <f>SUM(C10:K10)</f>
        <v>100000</v>
      </c>
    </row>
    <row r="11" spans="1:12" ht="24.75" customHeight="1">
      <c r="A11" s="371" t="s">
        <v>318</v>
      </c>
      <c r="B11" s="536" t="s">
        <v>147</v>
      </c>
      <c r="C11" s="72"/>
      <c r="D11" s="69">
        <v>100000</v>
      </c>
      <c r="E11" s="69"/>
      <c r="F11" s="69"/>
      <c r="G11" s="70"/>
      <c r="H11" s="71"/>
      <c r="I11" s="71"/>
      <c r="J11" s="71"/>
      <c r="K11" s="71"/>
      <c r="L11" s="1390">
        <f>SUM(C11:K11)</f>
        <v>100000</v>
      </c>
    </row>
    <row r="12" spans="1:12" ht="12.75">
      <c r="A12" s="371" t="s">
        <v>319</v>
      </c>
      <c r="B12" s="537" t="s">
        <v>214</v>
      </c>
      <c r="C12" s="73"/>
      <c r="D12" s="76"/>
      <c r="E12" s="33"/>
      <c r="F12" s="69"/>
      <c r="G12" s="74"/>
      <c r="H12" s="75"/>
      <c r="I12" s="26"/>
      <c r="J12" s="26"/>
      <c r="K12" s="75"/>
      <c r="L12" s="260">
        <f aca="true" t="shared" si="0" ref="L12:L23">SUM(C12:K12)</f>
        <v>0</v>
      </c>
    </row>
    <row r="13" spans="1:12" ht="12.75">
      <c r="A13" s="371" t="s">
        <v>320</v>
      </c>
      <c r="B13" s="537" t="s">
        <v>215</v>
      </c>
      <c r="C13" s="73">
        <v>0</v>
      </c>
      <c r="D13" s="76">
        <v>0</v>
      </c>
      <c r="E13" s="33"/>
      <c r="F13" s="69"/>
      <c r="G13" s="74"/>
      <c r="H13" s="75"/>
      <c r="I13" s="26"/>
      <c r="J13" s="26"/>
      <c r="K13" s="75"/>
      <c r="L13" s="260">
        <f t="shared" si="0"/>
        <v>0</v>
      </c>
    </row>
    <row r="14" spans="1:12" ht="12.75">
      <c r="A14" s="371" t="s">
        <v>321</v>
      </c>
      <c r="B14" s="537" t="s">
        <v>216</v>
      </c>
      <c r="C14" s="73">
        <v>0</v>
      </c>
      <c r="D14" s="76">
        <v>0</v>
      </c>
      <c r="E14" s="33"/>
      <c r="F14" s="69"/>
      <c r="G14" s="74"/>
      <c r="H14" s="75"/>
      <c r="I14" s="26"/>
      <c r="J14" s="26"/>
      <c r="K14" s="75"/>
      <c r="L14" s="260">
        <f t="shared" si="0"/>
        <v>0</v>
      </c>
    </row>
    <row r="15" spans="1:12" ht="12.75">
      <c r="A15" s="371" t="s">
        <v>322</v>
      </c>
      <c r="B15" s="537" t="s">
        <v>217</v>
      </c>
      <c r="C15" s="73">
        <v>0</v>
      </c>
      <c r="D15" s="76">
        <v>0</v>
      </c>
      <c r="E15" s="33"/>
      <c r="F15" s="69"/>
      <c r="G15" s="74"/>
      <c r="H15" s="75"/>
      <c r="I15" s="26"/>
      <c r="J15" s="26"/>
      <c r="K15" s="75"/>
      <c r="L15" s="260">
        <f t="shared" si="0"/>
        <v>0</v>
      </c>
    </row>
    <row r="16" spans="1:12" ht="12.75">
      <c r="A16" s="371" t="s">
        <v>323</v>
      </c>
      <c r="B16" s="537" t="s">
        <v>218</v>
      </c>
      <c r="C16" s="73">
        <v>0</v>
      </c>
      <c r="D16" s="76">
        <v>0</v>
      </c>
      <c r="E16" s="33"/>
      <c r="F16" s="69"/>
      <c r="G16" s="74"/>
      <c r="H16" s="75"/>
      <c r="I16" s="26"/>
      <c r="J16" s="26"/>
      <c r="K16" s="75"/>
      <c r="L16" s="260">
        <f t="shared" si="0"/>
        <v>0</v>
      </c>
    </row>
    <row r="17" spans="1:12" ht="12.75">
      <c r="A17" s="371" t="s">
        <v>324</v>
      </c>
      <c r="B17" s="537" t="s">
        <v>219</v>
      </c>
      <c r="C17" s="73">
        <v>0</v>
      </c>
      <c r="D17" s="76">
        <v>0</v>
      </c>
      <c r="E17" s="33"/>
      <c r="F17" s="69"/>
      <c r="G17" s="74"/>
      <c r="H17" s="75"/>
      <c r="I17" s="26"/>
      <c r="J17" s="26"/>
      <c r="K17" s="75"/>
      <c r="L17" s="260">
        <f t="shared" si="0"/>
        <v>0</v>
      </c>
    </row>
    <row r="18" spans="1:12" ht="12.75">
      <c r="A18" s="371" t="s">
        <v>325</v>
      </c>
      <c r="B18" s="537" t="s">
        <v>222</v>
      </c>
      <c r="C18" s="73">
        <v>0</v>
      </c>
      <c r="D18" s="76">
        <v>0</v>
      </c>
      <c r="E18" s="33"/>
      <c r="F18" s="69"/>
      <c r="G18" s="74"/>
      <c r="H18" s="75"/>
      <c r="I18" s="26"/>
      <c r="J18" s="26"/>
      <c r="K18" s="75"/>
      <c r="L18" s="260">
        <f t="shared" si="0"/>
        <v>0</v>
      </c>
    </row>
    <row r="19" spans="1:12" ht="12.75">
      <c r="A19" s="371" t="s">
        <v>326</v>
      </c>
      <c r="B19" s="537" t="s">
        <v>223</v>
      </c>
      <c r="C19" s="73">
        <v>0</v>
      </c>
      <c r="D19" s="76">
        <v>0</v>
      </c>
      <c r="E19" s="33"/>
      <c r="F19" s="69"/>
      <c r="G19" s="74"/>
      <c r="H19" s="75"/>
      <c r="I19" s="26"/>
      <c r="J19" s="26"/>
      <c r="K19" s="75"/>
      <c r="L19" s="260">
        <f t="shared" si="0"/>
        <v>0</v>
      </c>
    </row>
    <row r="20" spans="1:12" ht="12.75">
      <c r="A20" s="371" t="s">
        <v>327</v>
      </c>
      <c r="B20" s="537" t="s">
        <v>224</v>
      </c>
      <c r="C20" s="73">
        <v>0</v>
      </c>
      <c r="D20" s="76">
        <v>0</v>
      </c>
      <c r="E20" s="33"/>
      <c r="F20" s="69"/>
      <c r="G20" s="74"/>
      <c r="H20" s="75"/>
      <c r="I20" s="26"/>
      <c r="J20" s="26"/>
      <c r="K20" s="75"/>
      <c r="L20" s="260">
        <f t="shared" si="0"/>
        <v>0</v>
      </c>
    </row>
    <row r="21" spans="1:12" ht="12.75">
      <c r="A21" s="371" t="s">
        <v>328</v>
      </c>
      <c r="B21" s="537" t="s">
        <v>225</v>
      </c>
      <c r="C21" s="73">
        <v>0</v>
      </c>
      <c r="D21" s="76">
        <v>0</v>
      </c>
      <c r="E21" s="33"/>
      <c r="F21" s="69"/>
      <c r="G21" s="74"/>
      <c r="H21" s="75"/>
      <c r="I21" s="26"/>
      <c r="J21" s="26"/>
      <c r="K21" s="75"/>
      <c r="L21" s="260">
        <f t="shared" si="0"/>
        <v>0</v>
      </c>
    </row>
    <row r="22" spans="1:12" ht="12.75">
      <c r="A22" s="371" t="s">
        <v>329</v>
      </c>
      <c r="B22" s="537" t="s">
        <v>999</v>
      </c>
      <c r="C22" s="73">
        <v>0</v>
      </c>
      <c r="D22" s="76">
        <v>0</v>
      </c>
      <c r="E22" s="33"/>
      <c r="F22" s="69"/>
      <c r="G22" s="74"/>
      <c r="H22" s="75"/>
      <c r="I22" s="26"/>
      <c r="J22" s="26"/>
      <c r="K22" s="75"/>
      <c r="L22" s="260">
        <f t="shared" si="0"/>
        <v>0</v>
      </c>
    </row>
    <row r="23" spans="1:12" ht="12.75">
      <c r="A23" s="371" t="s">
        <v>330</v>
      </c>
      <c r="B23" s="537" t="s">
        <v>1007</v>
      </c>
      <c r="C23" s="77">
        <v>0</v>
      </c>
      <c r="D23" s="76">
        <v>0</v>
      </c>
      <c r="E23" s="33"/>
      <c r="F23" s="76"/>
      <c r="G23" s="11"/>
      <c r="H23" s="32"/>
      <c r="I23" s="32"/>
      <c r="J23" s="26"/>
      <c r="K23" s="32"/>
      <c r="L23" s="265">
        <f t="shared" si="0"/>
        <v>0</v>
      </c>
    </row>
    <row r="24" spans="1:12" ht="12.75">
      <c r="A24" s="371" t="s">
        <v>331</v>
      </c>
      <c r="B24" s="537" t="s">
        <v>1008</v>
      </c>
      <c r="C24" s="73"/>
      <c r="D24" s="68"/>
      <c r="E24" s="33"/>
      <c r="F24" s="68"/>
      <c r="G24" s="8"/>
      <c r="H24" s="26"/>
      <c r="I24" s="26"/>
      <c r="J24" s="26"/>
      <c r="K24" s="26"/>
      <c r="L24" s="265">
        <f aca="true" t="shared" si="1" ref="L24:L31">SUM(C24:K24)</f>
        <v>0</v>
      </c>
    </row>
    <row r="25" spans="1:12" ht="12.75">
      <c r="A25" s="371" t="s">
        <v>332</v>
      </c>
      <c r="B25" s="537" t="s">
        <v>1009</v>
      </c>
      <c r="C25" s="73"/>
      <c r="D25" s="68"/>
      <c r="E25" s="33"/>
      <c r="F25" s="68"/>
      <c r="G25" s="8"/>
      <c r="H25" s="26"/>
      <c r="I25" s="26"/>
      <c r="J25" s="26"/>
      <c r="K25" s="26"/>
      <c r="L25" s="265">
        <f t="shared" si="1"/>
        <v>0</v>
      </c>
    </row>
    <row r="26" spans="1:12" ht="12.75">
      <c r="A26" s="371" t="s">
        <v>333</v>
      </c>
      <c r="B26" s="537" t="s">
        <v>1010</v>
      </c>
      <c r="C26" s="73"/>
      <c r="D26" s="68"/>
      <c r="E26" s="33"/>
      <c r="F26" s="68"/>
      <c r="G26" s="8"/>
      <c r="H26" s="26"/>
      <c r="I26" s="26"/>
      <c r="J26" s="26"/>
      <c r="K26" s="26"/>
      <c r="L26" s="265">
        <f t="shared" si="1"/>
        <v>0</v>
      </c>
    </row>
    <row r="27" spans="1:12" ht="12.75">
      <c r="A27" s="371" t="s">
        <v>334</v>
      </c>
      <c r="B27" s="537" t="s">
        <v>1011</v>
      </c>
      <c r="C27" s="73"/>
      <c r="D27" s="68"/>
      <c r="E27" s="33"/>
      <c r="F27" s="68"/>
      <c r="G27" s="8"/>
      <c r="H27" s="26"/>
      <c r="I27" s="26"/>
      <c r="J27" s="26"/>
      <c r="K27" s="26"/>
      <c r="L27" s="265">
        <f t="shared" si="1"/>
        <v>0</v>
      </c>
    </row>
    <row r="28" spans="1:12" ht="12.75">
      <c r="A28" s="371" t="s">
        <v>336</v>
      </c>
      <c r="B28" s="537" t="s">
        <v>1012</v>
      </c>
      <c r="C28" s="73"/>
      <c r="D28" s="68"/>
      <c r="E28" s="33"/>
      <c r="F28" s="68"/>
      <c r="G28" s="8"/>
      <c r="H28" s="26"/>
      <c r="I28" s="26"/>
      <c r="J28" s="26"/>
      <c r="K28" s="26"/>
      <c r="L28" s="265">
        <f t="shared" si="1"/>
        <v>0</v>
      </c>
    </row>
    <row r="29" spans="1:12" ht="12.75">
      <c r="A29" s="371" t="s">
        <v>337</v>
      </c>
      <c r="B29" s="537" t="s">
        <v>1013</v>
      </c>
      <c r="C29" s="73"/>
      <c r="D29" s="68"/>
      <c r="E29" s="33"/>
      <c r="F29" s="68"/>
      <c r="G29" s="8"/>
      <c r="H29" s="26"/>
      <c r="I29" s="26"/>
      <c r="J29" s="26"/>
      <c r="K29" s="26"/>
      <c r="L29" s="265">
        <f t="shared" si="1"/>
        <v>0</v>
      </c>
    </row>
    <row r="30" spans="1:12" ht="12.75">
      <c r="A30" s="371" t="s">
        <v>338</v>
      </c>
      <c r="B30" s="537" t="s">
        <v>1085</v>
      </c>
      <c r="C30" s="73"/>
      <c r="D30" s="68"/>
      <c r="E30" s="33"/>
      <c r="F30" s="68"/>
      <c r="G30" s="8"/>
      <c r="H30" s="26"/>
      <c r="I30" s="26"/>
      <c r="J30" s="26"/>
      <c r="K30" s="26"/>
      <c r="L30" s="260">
        <f t="shared" si="1"/>
        <v>0</v>
      </c>
    </row>
    <row r="31" spans="1:12" ht="13.5" thickBot="1">
      <c r="A31" s="371" t="s">
        <v>339</v>
      </c>
      <c r="B31" s="537" t="s">
        <v>1086</v>
      </c>
      <c r="C31" s="1391"/>
      <c r="D31" s="1391"/>
      <c r="E31" s="1391"/>
      <c r="F31" s="1391"/>
      <c r="G31" s="1392"/>
      <c r="H31" s="1393"/>
      <c r="I31" s="1394"/>
      <c r="J31" s="1393"/>
      <c r="K31" s="1393"/>
      <c r="L31" s="946">
        <f t="shared" si="1"/>
        <v>0</v>
      </c>
    </row>
    <row r="32" spans="2:12" ht="12.75">
      <c r="B32" s="78"/>
      <c r="C32" s="15"/>
      <c r="D32" s="15"/>
      <c r="E32" s="764"/>
      <c r="F32" s="764"/>
      <c r="G32" s="764"/>
      <c r="H32" s="764"/>
      <c r="I32" s="764"/>
      <c r="J32" s="764"/>
      <c r="K32" s="764"/>
      <c r="L32" s="30"/>
    </row>
    <row r="33" spans="2:12" ht="12.75">
      <c r="B33" s="78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ht="12.75">
      <c r="B34" s="78"/>
      <c r="C34" s="15"/>
      <c r="D34" s="15"/>
      <c r="E34" s="15"/>
      <c r="F34" s="15"/>
      <c r="G34" s="15"/>
      <c r="H34" s="15"/>
      <c r="I34" s="15"/>
      <c r="J34" s="15"/>
      <c r="K34" s="15"/>
      <c r="L34" s="30"/>
    </row>
    <row r="35" spans="2:12" ht="12.75">
      <c r="B35" s="78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ht="12.75">
      <c r="B36" s="78"/>
      <c r="C36" s="15"/>
      <c r="D36" s="15"/>
      <c r="E36" s="15"/>
      <c r="F36" s="15"/>
      <c r="G36" s="15"/>
      <c r="H36" s="15"/>
      <c r="I36" s="15"/>
      <c r="J36" s="15"/>
      <c r="K36" s="15"/>
      <c r="L36" s="30"/>
    </row>
    <row r="37" spans="2:12" ht="12.75">
      <c r="B37" s="78"/>
      <c r="C37" s="15"/>
      <c r="D37" s="15"/>
      <c r="E37" s="764"/>
      <c r="F37" s="764"/>
      <c r="G37" s="764"/>
      <c r="H37" s="764"/>
      <c r="I37" s="764"/>
      <c r="J37" s="764"/>
      <c r="K37" s="764"/>
      <c r="L37" s="30"/>
    </row>
    <row r="38" spans="2:12" ht="12.75">
      <c r="B38" s="78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ht="12.75">
      <c r="B39" s="78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ht="12.75">
      <c r="B40" s="78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2.75">
      <c r="B41" s="78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ht="12.75">
      <c r="B42" s="78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ht="13.5" customHeight="1">
      <c r="B43" s="78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ht="12.75">
      <c r="B44" s="78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ht="12.75">
      <c r="B45" s="78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ht="12.75">
      <c r="B46" s="78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ht="12.75">
      <c r="B47" s="78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ht="12.75">
      <c r="B48" s="78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ht="12.75">
      <c r="B49" s="78"/>
      <c r="C49" s="15"/>
      <c r="D49" s="15"/>
      <c r="E49" s="15"/>
      <c r="F49" s="15"/>
      <c r="G49" s="15"/>
      <c r="H49" s="15"/>
      <c r="I49" s="15"/>
      <c r="J49" s="15"/>
      <c r="K49" s="15"/>
      <c r="L49" s="30"/>
    </row>
    <row r="50" spans="2:12" ht="12.75">
      <c r="B50" s="78"/>
      <c r="C50" s="15"/>
      <c r="D50" s="15"/>
      <c r="E50" s="15"/>
      <c r="F50" s="15"/>
      <c r="G50" s="15"/>
      <c r="H50" s="15"/>
      <c r="I50" s="15"/>
      <c r="J50" s="15"/>
      <c r="K50" s="15"/>
      <c r="L50" s="30"/>
    </row>
    <row r="51" spans="2:12" ht="12.75">
      <c r="B51" s="78"/>
      <c r="C51" s="15"/>
      <c r="D51" s="15"/>
      <c r="E51" s="15"/>
      <c r="F51" s="15"/>
      <c r="G51" s="15"/>
      <c r="H51" s="15"/>
      <c r="I51" s="15"/>
      <c r="J51" s="15"/>
      <c r="K51" s="15"/>
      <c r="L51" s="30"/>
    </row>
    <row r="52" spans="2:12" ht="12.75">
      <c r="B52" s="16" t="s">
        <v>148</v>
      </c>
      <c r="C52" s="79">
        <f aca="true" t="shared" si="2" ref="C52:L52">SUM(C12:C31)</f>
        <v>0</v>
      </c>
      <c r="D52" s="79">
        <f t="shared" si="2"/>
        <v>0</v>
      </c>
      <c r="E52" s="79">
        <f t="shared" si="2"/>
        <v>0</v>
      </c>
      <c r="F52" s="79">
        <f t="shared" si="2"/>
        <v>0</v>
      </c>
      <c r="G52" s="79">
        <f t="shared" si="2"/>
        <v>0</v>
      </c>
      <c r="H52" s="79">
        <f t="shared" si="2"/>
        <v>0</v>
      </c>
      <c r="I52" s="79">
        <f t="shared" si="2"/>
        <v>0</v>
      </c>
      <c r="J52" s="79">
        <f t="shared" si="2"/>
        <v>0</v>
      </c>
      <c r="K52" s="79">
        <f t="shared" si="2"/>
        <v>0</v>
      </c>
      <c r="L52" s="79">
        <f t="shared" si="2"/>
        <v>0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38"/>
    </row>
    <row r="2" spans="1:6" ht="12.75">
      <c r="A2" s="384" t="s">
        <v>1446</v>
      </c>
      <c r="B2" s="166"/>
      <c r="C2" s="166"/>
      <c r="D2" s="166"/>
      <c r="E2" s="166"/>
      <c r="F2" s="166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710" t="s">
        <v>149</v>
      </c>
      <c r="C5" s="1710"/>
      <c r="D5" s="1710"/>
    </row>
    <row r="6" spans="2:4" ht="15.75">
      <c r="B6" s="1674" t="s">
        <v>1091</v>
      </c>
      <c r="C6" s="1674"/>
      <c r="D6" s="1674"/>
    </row>
    <row r="7" spans="2:4" ht="15.75">
      <c r="B7" s="1674" t="s">
        <v>150</v>
      </c>
      <c r="C7" s="1674"/>
      <c r="D7" s="1674"/>
    </row>
    <row r="8" spans="2:4" ht="15.75">
      <c r="B8" s="42"/>
      <c r="C8" s="42"/>
      <c r="D8" s="42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3" t="s">
        <v>4</v>
      </c>
    </row>
    <row r="13" spans="1:4" ht="26.25" thickBot="1">
      <c r="A13" s="512" t="s">
        <v>311</v>
      </c>
      <c r="B13" s="489" t="s">
        <v>3</v>
      </c>
      <c r="C13" s="545" t="s">
        <v>151</v>
      </c>
      <c r="D13" s="546" t="s">
        <v>152</v>
      </c>
    </row>
    <row r="14" spans="1:4" ht="13.5" thickBot="1">
      <c r="A14" s="486" t="s">
        <v>312</v>
      </c>
      <c r="B14" s="531" t="s">
        <v>313</v>
      </c>
      <c r="C14" s="532" t="s">
        <v>314</v>
      </c>
      <c r="D14" s="533" t="s">
        <v>315</v>
      </c>
    </row>
    <row r="15" spans="1:4" ht="15.75">
      <c r="A15" s="493" t="s">
        <v>316</v>
      </c>
      <c r="B15" s="65" t="s">
        <v>153</v>
      </c>
      <c r="C15" s="239">
        <f>'11 12 sz_melléklet'!C41</f>
        <v>8200</v>
      </c>
      <c r="D15" s="547" t="s">
        <v>154</v>
      </c>
    </row>
    <row r="16" spans="1:4" ht="15.75">
      <c r="A16" s="452" t="s">
        <v>317</v>
      </c>
      <c r="B16" s="47" t="s">
        <v>155</v>
      </c>
      <c r="C16" s="240">
        <v>0</v>
      </c>
      <c r="D16" s="548" t="s">
        <v>154</v>
      </c>
    </row>
    <row r="17" spans="1:4" ht="15.75">
      <c r="A17" s="415" t="s">
        <v>318</v>
      </c>
      <c r="B17" s="47" t="s">
        <v>1016</v>
      </c>
      <c r="C17" s="240">
        <f>'11 12 sz_melléklet'!C42</f>
        <v>2400</v>
      </c>
      <c r="D17" s="548" t="s">
        <v>154</v>
      </c>
    </row>
    <row r="18" spans="1:4" ht="15.75">
      <c r="A18" s="415" t="s">
        <v>319</v>
      </c>
      <c r="B18" s="1452" t="s">
        <v>1014</v>
      </c>
      <c r="C18" s="240">
        <f>'11 12 sz_melléklet'!C43</f>
        <v>3000</v>
      </c>
      <c r="D18" s="548" t="s">
        <v>154</v>
      </c>
    </row>
    <row r="19" spans="1:4" ht="16.5" thickBot="1">
      <c r="A19" s="416" t="s">
        <v>320</v>
      </c>
      <c r="B19" s="1452" t="s">
        <v>1015</v>
      </c>
      <c r="C19" s="240">
        <f>'11 12 sz_melléklet'!C44</f>
        <v>21123</v>
      </c>
      <c r="D19" s="548" t="s">
        <v>154</v>
      </c>
    </row>
    <row r="20" spans="1:4" ht="16.5" thickBot="1">
      <c r="A20" s="395" t="s">
        <v>321</v>
      </c>
      <c r="B20" s="551" t="s">
        <v>45</v>
      </c>
      <c r="C20" s="549">
        <f>SUM(C15:C19)</f>
        <v>34723</v>
      </c>
      <c r="D20" s="550"/>
    </row>
    <row r="26" spans="1:6" ht="12.75">
      <c r="A26" s="384" t="s">
        <v>1447</v>
      </c>
      <c r="B26" s="166"/>
      <c r="C26" s="166"/>
      <c r="D26" s="166"/>
      <c r="E26" s="166"/>
      <c r="F26" s="166"/>
    </row>
    <row r="27" spans="2:3" ht="14.25">
      <c r="B27" s="80"/>
      <c r="C27" s="81"/>
    </row>
    <row r="28" spans="2:3" ht="14.25">
      <c r="B28" s="80"/>
      <c r="C28" s="85"/>
    </row>
    <row r="29" spans="2:3" ht="15.75">
      <c r="B29" s="1771" t="s">
        <v>149</v>
      </c>
      <c r="C29" s="1771"/>
    </row>
    <row r="30" spans="2:3" ht="15.75">
      <c r="B30" s="1769" t="s">
        <v>1088</v>
      </c>
      <c r="C30" s="1769"/>
    </row>
    <row r="31" spans="2:3" ht="12.75">
      <c r="B31" s="1770"/>
      <c r="C31" s="1770"/>
    </row>
    <row r="32" spans="2:3" ht="13.5" thickBot="1">
      <c r="B32" s="80"/>
      <c r="C32" s="83" t="s">
        <v>4</v>
      </c>
    </row>
    <row r="33" spans="1:4" ht="26.25" thickBot="1">
      <c r="A33" s="512" t="s">
        <v>311</v>
      </c>
      <c r="B33" s="538" t="s">
        <v>169</v>
      </c>
      <c r="C33" s="539" t="s">
        <v>170</v>
      </c>
      <c r="D33" s="15"/>
    </row>
    <row r="34" spans="1:4" ht="13.5" thickBot="1">
      <c r="A34" s="486" t="s">
        <v>312</v>
      </c>
      <c r="B34" s="531" t="s">
        <v>313</v>
      </c>
      <c r="C34" s="540" t="s">
        <v>314</v>
      </c>
      <c r="D34" s="37"/>
    </row>
    <row r="35" spans="1:3" ht="12.75">
      <c r="A35" s="493" t="s">
        <v>316</v>
      </c>
      <c r="B35" s="86" t="s">
        <v>1089</v>
      </c>
      <c r="C35" s="1518">
        <v>1664446</v>
      </c>
    </row>
    <row r="36" spans="1:3" ht="12.75">
      <c r="A36" s="452" t="s">
        <v>317</v>
      </c>
      <c r="B36" s="86" t="s">
        <v>171</v>
      </c>
      <c r="C36" s="541">
        <f>'1_sz_ melléklet'!E30</f>
        <v>19122294</v>
      </c>
    </row>
    <row r="37" spans="1:3" ht="12.75">
      <c r="A37" s="415" t="s">
        <v>318</v>
      </c>
      <c r="B37" s="86" t="s">
        <v>172</v>
      </c>
      <c r="C37" s="542">
        <f>'1_sz_ melléklet'!I30</f>
        <v>19122293.740000002</v>
      </c>
    </row>
    <row r="38" spans="1:3" ht="13.5" thickBot="1">
      <c r="A38" s="433" t="s">
        <v>319</v>
      </c>
      <c r="B38" s="543" t="s">
        <v>1090</v>
      </c>
      <c r="C38" s="544">
        <f>C35+C36-C37</f>
        <v>1664446.259999998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654" t="s">
        <v>1406</v>
      </c>
      <c r="B1" s="1654"/>
      <c r="C1" s="1654"/>
      <c r="D1" s="1654"/>
      <c r="E1" s="1654"/>
    </row>
    <row r="2" spans="1:5" ht="12.75">
      <c r="A2" s="384"/>
      <c r="B2" s="384"/>
      <c r="C2" s="384"/>
      <c r="D2" s="384"/>
      <c r="E2" s="384"/>
    </row>
    <row r="3" spans="2:5" ht="15.75">
      <c r="B3" s="1674" t="s">
        <v>1064</v>
      </c>
      <c r="C3" s="1674"/>
      <c r="D3" s="1674"/>
      <c r="E3" s="1674"/>
    </row>
    <row r="4" spans="2:5" ht="15.75">
      <c r="B4" s="21"/>
      <c r="C4" s="21"/>
      <c r="D4" s="21"/>
      <c r="E4" s="21"/>
    </row>
    <row r="5" spans="2:5" ht="13.5" thickBot="1">
      <c r="B5" s="1"/>
      <c r="C5" s="1"/>
      <c r="D5" s="1"/>
      <c r="E5" s="22" t="s">
        <v>8</v>
      </c>
    </row>
    <row r="6" spans="1:6" ht="35.25" customHeight="1" thickBot="1">
      <c r="A6" s="399" t="s">
        <v>311</v>
      </c>
      <c r="B6" s="610" t="s">
        <v>13</v>
      </c>
      <c r="C6" s="1040" t="s">
        <v>462</v>
      </c>
      <c r="D6" s="1041" t="s">
        <v>463</v>
      </c>
      <c r="E6" s="387" t="s">
        <v>9</v>
      </c>
      <c r="F6" s="388" t="s">
        <v>434</v>
      </c>
    </row>
    <row r="7" spans="1:6" ht="11.25" customHeight="1">
      <c r="A7" s="611" t="s">
        <v>312</v>
      </c>
      <c r="B7" s="612" t="s">
        <v>313</v>
      </c>
      <c r="C7" s="621" t="s">
        <v>314</v>
      </c>
      <c r="D7" s="622" t="s">
        <v>315</v>
      </c>
      <c r="E7" s="796" t="s">
        <v>335</v>
      </c>
      <c r="F7" s="797" t="s">
        <v>360</v>
      </c>
    </row>
    <row r="8" spans="1:6" ht="12.75">
      <c r="A8" s="372" t="s">
        <v>316</v>
      </c>
      <c r="B8" s="379" t="s">
        <v>256</v>
      </c>
      <c r="C8" s="327"/>
      <c r="D8" s="151"/>
      <c r="E8" s="327"/>
      <c r="F8" s="136"/>
    </row>
    <row r="9" spans="1:9" ht="12.75">
      <c r="A9" s="371" t="s">
        <v>317</v>
      </c>
      <c r="B9" s="199" t="s">
        <v>681</v>
      </c>
      <c r="C9" s="327">
        <f>156599+1456+3888+3870+177</f>
        <v>165990</v>
      </c>
      <c r="D9" s="151">
        <f>275149+2122+10140+4137+756-2</f>
        <v>292302</v>
      </c>
      <c r="E9" s="1592">
        <f>180137+800+1971+1681+474+9900+1203+40-429</f>
        <v>195777</v>
      </c>
      <c r="F9" s="151">
        <f>SUM(C9:E9)</f>
        <v>654069</v>
      </c>
      <c r="I9" s="15"/>
    </row>
    <row r="10" spans="1:9" ht="12.75">
      <c r="A10" s="371" t="s">
        <v>318</v>
      </c>
      <c r="B10" s="228" t="s">
        <v>683</v>
      </c>
      <c r="C10" s="327">
        <f>47418+393+1050+1046+48</f>
        <v>49955</v>
      </c>
      <c r="D10" s="151">
        <f>79469+573+2016+810+102</f>
        <v>82970</v>
      </c>
      <c r="E10" s="1592">
        <f>48781+216+532+454+132+2675+11+325-68</f>
        <v>53058</v>
      </c>
      <c r="F10" s="151">
        <f>SUM(C10:E10)</f>
        <v>185983</v>
      </c>
      <c r="I10" s="15"/>
    </row>
    <row r="11" spans="1:6" ht="12.75">
      <c r="A11" s="371" t="s">
        <v>319</v>
      </c>
      <c r="B11" s="228" t="s">
        <v>682</v>
      </c>
      <c r="C11" s="327">
        <f>317636+15760-522-600</f>
        <v>332274</v>
      </c>
      <c r="D11" s="151">
        <v>11797</v>
      </c>
      <c r="E11" s="327">
        <f>116608-450+9144+2579</f>
        <v>127881</v>
      </c>
      <c r="F11" s="151">
        <f>SUM(C11:E11)</f>
        <v>471952</v>
      </c>
    </row>
    <row r="12" spans="1:9" ht="12.75">
      <c r="A12" s="371" t="s">
        <v>320</v>
      </c>
      <c r="B12" s="228" t="s">
        <v>684</v>
      </c>
      <c r="C12" s="327"/>
      <c r="D12" s="151"/>
      <c r="E12" s="327"/>
      <c r="F12" s="151">
        <f>SUM(C12:E12)</f>
        <v>0</v>
      </c>
      <c r="I12" s="15"/>
    </row>
    <row r="13" spans="1:6" ht="12.75">
      <c r="A13" s="371" t="s">
        <v>321</v>
      </c>
      <c r="B13" s="228" t="s">
        <v>685</v>
      </c>
      <c r="C13" s="327"/>
      <c r="D13" s="151"/>
      <c r="E13" s="327"/>
      <c r="F13" s="151">
        <f>SUM(C13:E13)</f>
        <v>0</v>
      </c>
    </row>
    <row r="14" spans="1:6" ht="12.75">
      <c r="A14" s="371" t="s">
        <v>322</v>
      </c>
      <c r="B14" s="228" t="s">
        <v>686</v>
      </c>
      <c r="C14" s="327">
        <f>C15+C16+C17+C18+C19+C20+C21</f>
        <v>0</v>
      </c>
      <c r="D14" s="327">
        <f>D15+D16+D17+D18+D19+D20+D21</f>
        <v>0</v>
      </c>
      <c r="E14" s="327">
        <f>E15+E16+E17+E18+E19+E20+E21</f>
        <v>13938</v>
      </c>
      <c r="F14" s="151">
        <f>F15+F16+F17+F18+F19+F20+F21</f>
        <v>13938</v>
      </c>
    </row>
    <row r="15" spans="1:6" ht="12.75">
      <c r="A15" s="371" t="s">
        <v>323</v>
      </c>
      <c r="B15" s="228" t="s">
        <v>690</v>
      </c>
      <c r="C15" s="327">
        <v>0</v>
      </c>
      <c r="D15" s="151">
        <v>0</v>
      </c>
      <c r="E15" s="327">
        <f>'6 7_sz_melléklet'!C13</f>
        <v>13938</v>
      </c>
      <c r="F15" s="151">
        <f>E15+D15+C15</f>
        <v>13938</v>
      </c>
    </row>
    <row r="16" spans="1:6" s="17" customFormat="1" ht="12.75">
      <c r="A16" s="371" t="s">
        <v>324</v>
      </c>
      <c r="B16" s="228" t="s">
        <v>691</v>
      </c>
      <c r="C16" s="327"/>
      <c r="D16" s="151"/>
      <c r="E16" s="327"/>
      <c r="F16" s="151">
        <f aca="true" t="shared" si="0" ref="F16:F22">E16+D16+C16</f>
        <v>0</v>
      </c>
    </row>
    <row r="17" spans="1:6" ht="12.75">
      <c r="A17" s="371" t="s">
        <v>325</v>
      </c>
      <c r="B17" s="228" t="s">
        <v>692</v>
      </c>
      <c r="C17" s="327"/>
      <c r="D17" s="151"/>
      <c r="E17" s="327"/>
      <c r="F17" s="151">
        <f t="shared" si="0"/>
        <v>0</v>
      </c>
    </row>
    <row r="18" spans="1:6" ht="12.75">
      <c r="A18" s="371" t="s">
        <v>326</v>
      </c>
      <c r="B18" s="380" t="s">
        <v>688</v>
      </c>
      <c r="C18" s="262"/>
      <c r="D18" s="155"/>
      <c r="E18" s="327"/>
      <c r="F18" s="151">
        <f t="shared" si="0"/>
        <v>0</v>
      </c>
    </row>
    <row r="19" spans="1:6" ht="12.75">
      <c r="A19" s="371" t="s">
        <v>327</v>
      </c>
      <c r="B19" s="834" t="s">
        <v>689</v>
      </c>
      <c r="C19" s="330"/>
      <c r="D19" s="152"/>
      <c r="E19" s="327"/>
      <c r="F19" s="151">
        <f t="shared" si="0"/>
        <v>0</v>
      </c>
    </row>
    <row r="20" spans="1:6" ht="12.75">
      <c r="A20" s="371" t="s">
        <v>328</v>
      </c>
      <c r="B20" s="835" t="s">
        <v>687</v>
      </c>
      <c r="C20" s="330"/>
      <c r="D20" s="152"/>
      <c r="E20" s="327"/>
      <c r="F20" s="151">
        <f t="shared" si="0"/>
        <v>0</v>
      </c>
    </row>
    <row r="21" spans="1:6" ht="12.75">
      <c r="A21" s="371" t="s">
        <v>329</v>
      </c>
      <c r="B21" s="136" t="s">
        <v>957</v>
      </c>
      <c r="C21" s="330"/>
      <c r="D21" s="152"/>
      <c r="E21" s="327"/>
      <c r="F21" s="151">
        <f t="shared" si="0"/>
        <v>0</v>
      </c>
    </row>
    <row r="22" spans="1:6" ht="13.5" customHeight="1" thickBot="1">
      <c r="A22" s="371" t="s">
        <v>330</v>
      </c>
      <c r="B22" s="230" t="s">
        <v>694</v>
      </c>
      <c r="C22" s="328"/>
      <c r="D22" s="156"/>
      <c r="E22" s="327"/>
      <c r="F22" s="325">
        <f t="shared" si="0"/>
        <v>0</v>
      </c>
    </row>
    <row r="23" spans="1:6" ht="13.5" thickBot="1">
      <c r="A23" s="615" t="s">
        <v>331</v>
      </c>
      <c r="B23" s="616" t="s">
        <v>6</v>
      </c>
      <c r="C23" s="624">
        <f>C9+C10+C11+C12+C14+C22</f>
        <v>548219</v>
      </c>
      <c r="D23" s="624">
        <f>D9+D10+D11+D12+D14+D22</f>
        <v>387069</v>
      </c>
      <c r="E23" s="624">
        <f>E9+E10+E11+E12+E14+E22</f>
        <v>390654</v>
      </c>
      <c r="F23" s="625">
        <f>F9+F10+F11+F12+F14+F22</f>
        <v>1325942</v>
      </c>
    </row>
    <row r="24" spans="1:6" ht="13.5" thickTop="1">
      <c r="A24" s="604"/>
      <c r="B24" s="379"/>
      <c r="C24" s="261"/>
      <c r="D24" s="261"/>
      <c r="E24" s="261"/>
      <c r="F24" s="159"/>
    </row>
    <row r="25" spans="1:6" s="17" customFormat="1" ht="12.75">
      <c r="A25" s="372" t="s">
        <v>332</v>
      </c>
      <c r="B25" s="381" t="s">
        <v>257</v>
      </c>
      <c r="C25" s="329"/>
      <c r="D25" s="154"/>
      <c r="E25" s="329"/>
      <c r="F25" s="206"/>
    </row>
    <row r="26" spans="1:6" ht="12.75">
      <c r="A26" s="371" t="s">
        <v>333</v>
      </c>
      <c r="B26" s="228" t="s">
        <v>695</v>
      </c>
      <c r="C26" s="327">
        <f>'33_sz_ melléklet'!C40</f>
        <v>5339</v>
      </c>
      <c r="D26" s="327">
        <f>'33_sz_ melléklet'!C54</f>
        <v>1636</v>
      </c>
      <c r="E26" s="327">
        <f>'33_sz_ melléklet'!C14</f>
        <v>2515</v>
      </c>
      <c r="F26" s="151">
        <f>SUM(C26:E26)</f>
        <v>9490</v>
      </c>
    </row>
    <row r="27" spans="1:6" ht="12.75">
      <c r="A27" s="371" t="s">
        <v>334</v>
      </c>
      <c r="B27" s="228" t="s">
        <v>696</v>
      </c>
      <c r="C27" s="327"/>
      <c r="D27" s="151"/>
      <c r="E27" s="327"/>
      <c r="F27" s="136"/>
    </row>
    <row r="28" spans="1:6" ht="12.75">
      <c r="A28" s="371" t="s">
        <v>336</v>
      </c>
      <c r="B28" s="228" t="s">
        <v>697</v>
      </c>
      <c r="C28" s="262">
        <f>C29+C30+C31</f>
        <v>0</v>
      </c>
      <c r="D28" s="262">
        <f>D29+D30+D31</f>
        <v>0</v>
      </c>
      <c r="E28" s="262">
        <f>E29+E30+E31</f>
        <v>0</v>
      </c>
      <c r="F28" s="155">
        <f>F29+F30+F31</f>
        <v>0</v>
      </c>
    </row>
    <row r="29" spans="1:6" ht="12.75">
      <c r="A29" s="371" t="s">
        <v>337</v>
      </c>
      <c r="B29" s="380" t="s">
        <v>698</v>
      </c>
      <c r="C29" s="327"/>
      <c r="D29" s="151"/>
      <c r="E29" s="327"/>
      <c r="F29" s="136"/>
    </row>
    <row r="30" spans="1:6" s="17" customFormat="1" ht="12.75">
      <c r="A30" s="371" t="s">
        <v>338</v>
      </c>
      <c r="B30" s="380" t="s">
        <v>699</v>
      </c>
      <c r="C30" s="327"/>
      <c r="D30" s="151"/>
      <c r="E30" s="327"/>
      <c r="F30" s="136"/>
    </row>
    <row r="31" spans="1:6" s="17" customFormat="1" ht="12.75">
      <c r="A31" s="371" t="s">
        <v>339</v>
      </c>
      <c r="B31" s="380" t="s">
        <v>700</v>
      </c>
      <c r="C31" s="327"/>
      <c r="D31" s="151"/>
      <c r="E31" s="327"/>
      <c r="F31" s="437"/>
    </row>
    <row r="32" spans="1:6" s="17" customFormat="1" ht="12.75">
      <c r="A32" s="371" t="s">
        <v>340</v>
      </c>
      <c r="B32" s="380" t="s">
        <v>701</v>
      </c>
      <c r="C32" s="327"/>
      <c r="D32" s="151"/>
      <c r="E32" s="327"/>
      <c r="F32" s="437"/>
    </row>
    <row r="33" spans="1:6" s="17" customFormat="1" ht="12.75">
      <c r="A33" s="371" t="s">
        <v>341</v>
      </c>
      <c r="B33" s="834" t="s">
        <v>702</v>
      </c>
      <c r="C33" s="327"/>
      <c r="D33" s="151"/>
      <c r="E33" s="327"/>
      <c r="F33" s="437"/>
    </row>
    <row r="34" spans="1:6" s="17" customFormat="1" ht="12.75">
      <c r="A34" s="371" t="s">
        <v>342</v>
      </c>
      <c r="B34" s="309" t="s">
        <v>703</v>
      </c>
      <c r="C34" s="327"/>
      <c r="D34" s="151"/>
      <c r="E34" s="327"/>
      <c r="F34" s="437"/>
    </row>
    <row r="35" spans="1:6" ht="12.75">
      <c r="A35" s="371" t="s">
        <v>343</v>
      </c>
      <c r="B35" s="1091" t="s">
        <v>704</v>
      </c>
      <c r="C35" s="327"/>
      <c r="D35" s="151"/>
      <c r="E35" s="327"/>
      <c r="F35" s="437"/>
    </row>
    <row r="36" spans="1:6" ht="13.5" customHeight="1">
      <c r="A36" s="371" t="s">
        <v>344</v>
      </c>
      <c r="B36" s="228"/>
      <c r="C36" s="327"/>
      <c r="D36" s="151"/>
      <c r="E36" s="327"/>
      <c r="F36" s="136"/>
    </row>
    <row r="37" spans="1:6" ht="13.5" thickBot="1">
      <c r="A37" s="371" t="s">
        <v>345</v>
      </c>
      <c r="B37" s="230"/>
      <c r="C37" s="330"/>
      <c r="D37" s="330"/>
      <c r="E37" s="330"/>
      <c r="F37" s="152"/>
    </row>
    <row r="38" spans="1:6" ht="27.75" customHeight="1" thickBot="1">
      <c r="A38" s="615" t="s">
        <v>958</v>
      </c>
      <c r="B38" s="616" t="s">
        <v>7</v>
      </c>
      <c r="C38" s="624">
        <f>C26+C27+C28+C36+C37</f>
        <v>5339</v>
      </c>
      <c r="D38" s="624">
        <f>D26+D27+D28+D36+D37</f>
        <v>1636</v>
      </c>
      <c r="E38" s="624">
        <f>E26+E27+E28+E36+E37</f>
        <v>2515</v>
      </c>
      <c r="F38" s="625">
        <f>F26+F27+F28+F36+F37</f>
        <v>9490</v>
      </c>
    </row>
    <row r="39" spans="1:6" s="16" customFormat="1" ht="27" thickBot="1" thickTop="1">
      <c r="A39" s="615" t="s">
        <v>347</v>
      </c>
      <c r="B39" s="620" t="s">
        <v>503</v>
      </c>
      <c r="C39" s="627">
        <f>C23+C38</f>
        <v>553558</v>
      </c>
      <c r="D39" s="627">
        <f>D23+D38</f>
        <v>388705</v>
      </c>
      <c r="E39" s="627">
        <f>E23+E38</f>
        <v>393169</v>
      </c>
      <c r="F39" s="628">
        <f>F23+F38</f>
        <v>1335432</v>
      </c>
    </row>
    <row r="40" spans="1:6" s="16" customFormat="1" ht="13.5" thickTop="1">
      <c r="A40" s="604"/>
      <c r="B40" s="848"/>
      <c r="C40" s="267"/>
      <c r="D40" s="267"/>
      <c r="E40" s="267"/>
      <c r="F40" s="272"/>
    </row>
    <row r="41" spans="1:6" s="16" customFormat="1" ht="12.75">
      <c r="A41" s="372" t="s">
        <v>348</v>
      </c>
      <c r="B41" s="485" t="s">
        <v>504</v>
      </c>
      <c r="C41" s="626"/>
      <c r="D41" s="154"/>
      <c r="E41" s="329"/>
      <c r="F41" s="206"/>
    </row>
    <row r="42" spans="1:6" s="16" customFormat="1" ht="12.75">
      <c r="A42" s="371" t="s">
        <v>349</v>
      </c>
      <c r="B42" s="229" t="s">
        <v>726</v>
      </c>
      <c r="C42" s="332"/>
      <c r="D42" s="151"/>
      <c r="E42" s="327"/>
      <c r="F42" s="136"/>
    </row>
    <row r="43" spans="1:6" s="16" customFormat="1" ht="12.75">
      <c r="A43" s="371" t="s">
        <v>350</v>
      </c>
      <c r="B43" s="697" t="s">
        <v>724</v>
      </c>
      <c r="C43" s="841"/>
      <c r="D43" s="156"/>
      <c r="E43" s="328"/>
      <c r="F43" s="324"/>
    </row>
    <row r="44" spans="1:6" s="16" customFormat="1" ht="12.75">
      <c r="A44" s="371" t="s">
        <v>351</v>
      </c>
      <c r="B44" s="697" t="s">
        <v>723</v>
      </c>
      <c r="C44" s="841"/>
      <c r="D44" s="156"/>
      <c r="E44" s="328"/>
      <c r="F44" s="324"/>
    </row>
    <row r="45" spans="1:6" s="16" customFormat="1" ht="12.75">
      <c r="A45" s="371" t="s">
        <v>352</v>
      </c>
      <c r="B45" s="697" t="s">
        <v>725</v>
      </c>
      <c r="C45" s="841"/>
      <c r="D45" s="156"/>
      <c r="E45" s="328"/>
      <c r="F45" s="324"/>
    </row>
    <row r="46" spans="1:6" s="16" customFormat="1" ht="12.75">
      <c r="A46" s="371" t="s">
        <v>353</v>
      </c>
      <c r="B46" s="836" t="s">
        <v>727</v>
      </c>
      <c r="C46" s="841"/>
      <c r="D46" s="156"/>
      <c r="E46" s="328"/>
      <c r="F46" s="324"/>
    </row>
    <row r="47" spans="1:6" s="16" customFormat="1" ht="12.75">
      <c r="A47" s="371" t="s">
        <v>354</v>
      </c>
      <c r="B47" s="837" t="s">
        <v>730</v>
      </c>
      <c r="C47" s="841"/>
      <c r="D47" s="156"/>
      <c r="E47" s="328"/>
      <c r="F47" s="324"/>
    </row>
    <row r="48" spans="1:6" s="16" customFormat="1" ht="12.75">
      <c r="A48" s="371" t="s">
        <v>355</v>
      </c>
      <c r="B48" s="838" t="s">
        <v>729</v>
      </c>
      <c r="C48" s="841"/>
      <c r="D48" s="156"/>
      <c r="E48" s="328"/>
      <c r="F48" s="324"/>
    </row>
    <row r="49" spans="1:6" ht="15.75" customHeight="1" thickBot="1">
      <c r="A49" s="371" t="s">
        <v>356</v>
      </c>
      <c r="B49" s="382" t="s">
        <v>728</v>
      </c>
      <c r="C49" s="841"/>
      <c r="D49" s="156"/>
      <c r="E49" s="328"/>
      <c r="F49" s="324"/>
    </row>
    <row r="50" spans="1:6" ht="13.5" thickBot="1">
      <c r="A50" s="395" t="s">
        <v>357</v>
      </c>
      <c r="B50" s="315" t="s">
        <v>731</v>
      </c>
      <c r="C50" s="842"/>
      <c r="D50" s="266"/>
      <c r="E50" s="153"/>
      <c r="F50" s="662"/>
    </row>
    <row r="51" spans="1:6" ht="12.75">
      <c r="A51" s="604"/>
      <c r="B51" s="44"/>
      <c r="C51" s="854"/>
      <c r="D51" s="856"/>
      <c r="E51" s="816"/>
      <c r="F51" s="693"/>
    </row>
    <row r="52" spans="1:6" ht="12.75" customHeight="1" thickBot="1">
      <c r="A52" s="631" t="s">
        <v>358</v>
      </c>
      <c r="B52" s="846" t="s">
        <v>506</v>
      </c>
      <c r="C52" s="853">
        <f>C39+C50</f>
        <v>553558</v>
      </c>
      <c r="D52" s="855">
        <f>D39+D50</f>
        <v>388705</v>
      </c>
      <c r="E52" s="853">
        <f>E39+E50</f>
        <v>393169</v>
      </c>
      <c r="F52" s="853">
        <f>F39+F50</f>
        <v>1335432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84" t="s">
        <v>1448</v>
      </c>
      <c r="B1" s="166"/>
      <c r="C1" s="166"/>
      <c r="D1" s="166"/>
      <c r="E1" s="166"/>
      <c r="F1" s="166"/>
    </row>
    <row r="2" spans="2:3" ht="12" customHeight="1">
      <c r="B2" s="80"/>
      <c r="C2" s="81"/>
    </row>
    <row r="3" spans="2:6" ht="15.75">
      <c r="B3" s="1771" t="s">
        <v>149</v>
      </c>
      <c r="C3" s="1771"/>
      <c r="D3" s="46"/>
      <c r="E3" s="46"/>
      <c r="F3" s="46"/>
    </row>
    <row r="4" spans="2:6" ht="15.75">
      <c r="B4" s="1769" t="s">
        <v>1092</v>
      </c>
      <c r="C4" s="1769"/>
      <c r="D4" s="12"/>
      <c r="E4" s="12"/>
      <c r="F4" s="12"/>
    </row>
    <row r="5" spans="2:3" ht="12.75">
      <c r="B5" s="82"/>
      <c r="C5" s="83"/>
    </row>
    <row r="6" spans="2:3" ht="13.5" thickBot="1">
      <c r="B6" s="82"/>
      <c r="C6" s="84" t="s">
        <v>4</v>
      </c>
    </row>
    <row r="7" spans="1:3" ht="12.75" customHeight="1">
      <c r="A7" s="1688" t="s">
        <v>311</v>
      </c>
      <c r="B7" s="1775" t="s">
        <v>156</v>
      </c>
      <c r="C7" s="1777" t="s">
        <v>157</v>
      </c>
    </row>
    <row r="8" spans="1:3" ht="13.5" customHeight="1" thickBot="1">
      <c r="A8" s="1755"/>
      <c r="B8" s="1776"/>
      <c r="C8" s="1778"/>
    </row>
    <row r="9" spans="1:3" ht="13.5" thickBot="1">
      <c r="A9" s="486" t="s">
        <v>390</v>
      </c>
      <c r="B9" s="531" t="s">
        <v>313</v>
      </c>
      <c r="C9" s="540" t="s">
        <v>314</v>
      </c>
    </row>
    <row r="10" spans="1:3" ht="15.75">
      <c r="A10" s="492" t="s">
        <v>316</v>
      </c>
      <c r="B10" s="559" t="s">
        <v>158</v>
      </c>
      <c r="C10" s="241"/>
    </row>
    <row r="11" spans="1:3" ht="15.75">
      <c r="A11" s="372" t="s">
        <v>317</v>
      </c>
      <c r="B11" s="559" t="s">
        <v>289</v>
      </c>
      <c r="C11" s="241"/>
    </row>
    <row r="12" spans="1:3" ht="15.75">
      <c r="A12" s="371" t="s">
        <v>318</v>
      </c>
      <c r="B12" s="559" t="s">
        <v>290</v>
      </c>
      <c r="C12" s="241"/>
    </row>
    <row r="13" spans="1:3" ht="15.75">
      <c r="A13" s="371" t="s">
        <v>319</v>
      </c>
      <c r="B13" s="559" t="s">
        <v>291</v>
      </c>
      <c r="C13" s="241"/>
    </row>
    <row r="14" spans="1:3" ht="15.75">
      <c r="A14" s="371" t="s">
        <v>320</v>
      </c>
      <c r="B14" s="560" t="s">
        <v>159</v>
      </c>
      <c r="C14" s="242"/>
    </row>
    <row r="15" spans="1:3" ht="15.75">
      <c r="A15" s="371" t="s">
        <v>321</v>
      </c>
      <c r="B15" s="561" t="s">
        <v>1171</v>
      </c>
      <c r="C15" s="243">
        <v>530</v>
      </c>
    </row>
    <row r="16" spans="1:3" ht="15.75">
      <c r="A16" s="371" t="s">
        <v>322</v>
      </c>
      <c r="B16" s="561" t="s">
        <v>1172</v>
      </c>
      <c r="C16" s="243">
        <v>2810</v>
      </c>
    </row>
    <row r="17" spans="1:3" ht="15.75">
      <c r="A17" s="371" t="s">
        <v>323</v>
      </c>
      <c r="B17" s="560" t="s">
        <v>292</v>
      </c>
      <c r="C17" s="243"/>
    </row>
    <row r="18" spans="1:3" ht="15.75">
      <c r="A18" s="371" t="s">
        <v>324</v>
      </c>
      <c r="B18" s="562" t="s">
        <v>293</v>
      </c>
      <c r="C18" s="243">
        <v>518</v>
      </c>
    </row>
    <row r="19" spans="1:3" ht="15.75">
      <c r="A19" s="371" t="s">
        <v>325</v>
      </c>
      <c r="B19" s="562" t="s">
        <v>294</v>
      </c>
      <c r="C19" s="243">
        <v>810</v>
      </c>
    </row>
    <row r="20" spans="1:3" ht="15.75">
      <c r="A20" s="371" t="s">
        <v>326</v>
      </c>
      <c r="B20" s="562" t="s">
        <v>829</v>
      </c>
      <c r="C20" s="243">
        <v>1926</v>
      </c>
    </row>
    <row r="21" spans="1:3" ht="15.75">
      <c r="A21" s="371" t="s">
        <v>327</v>
      </c>
      <c r="B21" s="562" t="s">
        <v>295</v>
      </c>
      <c r="C21" s="243">
        <v>3955</v>
      </c>
    </row>
    <row r="22" spans="1:3" ht="15.75">
      <c r="A22" s="371" t="s">
        <v>328</v>
      </c>
      <c r="B22" s="562" t="s">
        <v>160</v>
      </c>
      <c r="C22" s="243"/>
    </row>
    <row r="23" spans="1:3" ht="17.25" customHeight="1">
      <c r="A23" s="371" t="s">
        <v>329</v>
      </c>
      <c r="B23" s="563" t="s">
        <v>161</v>
      </c>
      <c r="C23" s="243"/>
    </row>
    <row r="24" spans="1:3" ht="16.5" customHeight="1">
      <c r="A24" s="371" t="s">
        <v>330</v>
      </c>
      <c r="B24" s="563" t="s">
        <v>162</v>
      </c>
      <c r="C24" s="243"/>
    </row>
    <row r="25" spans="1:3" ht="26.25">
      <c r="A25" s="371" t="s">
        <v>331</v>
      </c>
      <c r="B25" s="563" t="s">
        <v>163</v>
      </c>
      <c r="C25" s="243"/>
    </row>
    <row r="26" spans="1:3" ht="15.75">
      <c r="A26" s="371" t="s">
        <v>332</v>
      </c>
      <c r="B26" s="563" t="s">
        <v>164</v>
      </c>
      <c r="C26" s="243"/>
    </row>
    <row r="27" spans="1:3" ht="16.5" thickBot="1">
      <c r="A27" s="371" t="s">
        <v>333</v>
      </c>
      <c r="B27" s="564" t="s">
        <v>165</v>
      </c>
      <c r="C27" s="244">
        <f>SUM(C10:C26)</f>
        <v>10549</v>
      </c>
    </row>
    <row r="28" spans="2:3" ht="12.75">
      <c r="B28" s="80"/>
      <c r="C28" s="80"/>
    </row>
    <row r="29" spans="2:3" ht="12.75" customHeight="1">
      <c r="B29" s="1774" t="s">
        <v>166</v>
      </c>
      <c r="C29" s="1774"/>
    </row>
    <row r="30" spans="2:3" ht="12.75" customHeight="1">
      <c r="B30" s="1774" t="s">
        <v>1173</v>
      </c>
      <c r="C30" s="1774"/>
    </row>
    <row r="31" spans="2:3" ht="13.5" customHeight="1">
      <c r="B31" s="1774" t="s">
        <v>1174</v>
      </c>
      <c r="C31" s="1774"/>
    </row>
    <row r="32" spans="2:3" ht="24" customHeight="1">
      <c r="B32" s="1772" t="s">
        <v>1175</v>
      </c>
      <c r="C32" s="1773"/>
    </row>
    <row r="33" spans="2:3" ht="12.75">
      <c r="B33" s="80"/>
      <c r="C33" s="80"/>
    </row>
    <row r="34" spans="2:3" ht="12.75">
      <c r="B34" s="80" t="s">
        <v>167</v>
      </c>
      <c r="C34" s="80"/>
    </row>
    <row r="35" spans="2:3" ht="12.75">
      <c r="B35" s="80" t="s">
        <v>168</v>
      </c>
      <c r="C35" s="80"/>
    </row>
    <row r="36" spans="2:3" ht="12.75">
      <c r="B36" s="80"/>
      <c r="C36" s="80"/>
    </row>
    <row r="37" spans="2:3" ht="12.75">
      <c r="B37" s="80"/>
      <c r="C37" s="80"/>
    </row>
    <row r="38" spans="2:3" ht="12.75">
      <c r="B38" s="80"/>
      <c r="C38" s="80"/>
    </row>
  </sheetData>
  <sheetProtection/>
  <mergeCells count="9">
    <mergeCell ref="B32:C32"/>
    <mergeCell ref="A7:A8"/>
    <mergeCell ref="B31:C31"/>
    <mergeCell ref="B3:C3"/>
    <mergeCell ref="B4:C4"/>
    <mergeCell ref="B7:B8"/>
    <mergeCell ref="C7:C8"/>
    <mergeCell ref="B29:C29"/>
    <mergeCell ref="B30:C3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54" t="s">
        <v>1449</v>
      </c>
      <c r="C1" s="1678"/>
      <c r="D1" s="1678"/>
      <c r="E1" s="1678"/>
      <c r="F1" s="1678"/>
      <c r="G1" s="1678"/>
    </row>
    <row r="2" spans="1:7" ht="15.75">
      <c r="A2" s="1687" t="s">
        <v>173</v>
      </c>
      <c r="B2" s="1675"/>
      <c r="C2" s="1675"/>
      <c r="D2" s="1675"/>
      <c r="E2" s="1675"/>
      <c r="F2" s="1675"/>
      <c r="G2" s="1675"/>
    </row>
    <row r="3" spans="1:7" ht="12.75">
      <c r="A3" s="1677" t="s">
        <v>174</v>
      </c>
      <c r="B3" s="1678"/>
      <c r="C3" s="1678"/>
      <c r="D3" s="1678"/>
      <c r="E3" s="1678"/>
      <c r="F3" s="1678"/>
      <c r="G3" s="1678"/>
    </row>
    <row r="4" spans="1:7" ht="12.75">
      <c r="A4" s="1741" t="s">
        <v>1093</v>
      </c>
      <c r="B4" s="1675"/>
      <c r="C4" s="1675"/>
      <c r="D4" s="1675"/>
      <c r="E4" s="1675"/>
      <c r="F4" s="1675"/>
      <c r="G4" s="1675"/>
    </row>
    <row r="5" spans="2:7" ht="13.5" thickBot="1">
      <c r="B5" s="1"/>
      <c r="C5" s="1"/>
      <c r="D5" s="1"/>
      <c r="E5" s="1"/>
      <c r="F5" s="1"/>
      <c r="G5" s="22" t="s">
        <v>4</v>
      </c>
    </row>
    <row r="6" spans="1:7" ht="13.5" thickBot="1">
      <c r="A6" s="1717" t="s">
        <v>311</v>
      </c>
      <c r="B6" s="1781" t="s">
        <v>175</v>
      </c>
      <c r="C6" s="1783" t="s">
        <v>176</v>
      </c>
      <c r="D6" s="553" t="s">
        <v>177</v>
      </c>
      <c r="E6" s="554" t="s">
        <v>88</v>
      </c>
      <c r="F6" s="553" t="s">
        <v>178</v>
      </c>
      <c r="G6" s="555" t="s">
        <v>179</v>
      </c>
    </row>
    <row r="7" spans="1:7" ht="13.5" thickBot="1">
      <c r="A7" s="1718"/>
      <c r="B7" s="1782"/>
      <c r="C7" s="1782"/>
      <c r="D7" s="223" t="s">
        <v>180</v>
      </c>
      <c r="E7" s="164" t="s">
        <v>181</v>
      </c>
      <c r="F7" s="223" t="s">
        <v>182</v>
      </c>
      <c r="G7" s="556" t="s">
        <v>183</v>
      </c>
    </row>
    <row r="8" spans="1:7" ht="13.5" thickBot="1">
      <c r="A8" s="1718"/>
      <c r="B8" s="1782"/>
      <c r="C8" s="1782"/>
      <c r="D8" s="223" t="s">
        <v>184</v>
      </c>
      <c r="E8" s="164" t="s">
        <v>185</v>
      </c>
      <c r="F8" s="223" t="s">
        <v>185</v>
      </c>
      <c r="G8" s="556" t="s">
        <v>186</v>
      </c>
    </row>
    <row r="9" spans="1:7" ht="13.5" thickBot="1">
      <c r="A9" s="449" t="s">
        <v>390</v>
      </c>
      <c r="B9" s="531" t="s">
        <v>313</v>
      </c>
      <c r="C9" s="540" t="s">
        <v>314</v>
      </c>
      <c r="D9" s="552" t="s">
        <v>315</v>
      </c>
      <c r="E9" s="400" t="s">
        <v>335</v>
      </c>
      <c r="F9" s="552" t="s">
        <v>360</v>
      </c>
      <c r="G9" s="401" t="s">
        <v>361</v>
      </c>
    </row>
    <row r="10" spans="1:7" ht="12.75">
      <c r="A10" s="429" t="s">
        <v>316</v>
      </c>
      <c r="B10" s="34" t="s">
        <v>187</v>
      </c>
      <c r="C10" s="23"/>
      <c r="D10" s="802"/>
      <c r="E10" s="29"/>
      <c r="F10" s="24"/>
      <c r="G10" s="258"/>
    </row>
    <row r="11" spans="1:7" ht="12.75">
      <c r="A11" s="452" t="s">
        <v>317</v>
      </c>
      <c r="B11" s="6" t="s">
        <v>187</v>
      </c>
      <c r="C11" s="226"/>
      <c r="D11" s="803"/>
      <c r="E11" s="31"/>
      <c r="F11" s="8"/>
      <c r="G11" s="260"/>
    </row>
    <row r="12" spans="1:7" ht="12.75">
      <c r="A12" s="415" t="s">
        <v>318</v>
      </c>
      <c r="B12" s="6" t="s">
        <v>187</v>
      </c>
      <c r="C12" s="23"/>
      <c r="D12" s="802"/>
      <c r="E12" s="29"/>
      <c r="F12" s="24"/>
      <c r="G12" s="258"/>
    </row>
    <row r="13" spans="1:7" ht="12.75">
      <c r="A13" s="415" t="s">
        <v>319</v>
      </c>
      <c r="B13" s="6" t="s">
        <v>187</v>
      </c>
      <c r="C13" s="226"/>
      <c r="D13" s="803"/>
      <c r="E13" s="31"/>
      <c r="F13" s="11"/>
      <c r="G13" s="265"/>
    </row>
    <row r="14" spans="1:7" ht="12.75">
      <c r="A14" s="415" t="s">
        <v>320</v>
      </c>
      <c r="B14" s="6" t="s">
        <v>187</v>
      </c>
      <c r="C14" s="226"/>
      <c r="D14" s="803"/>
      <c r="E14" s="31"/>
      <c r="F14" s="8"/>
      <c r="G14" s="260"/>
    </row>
    <row r="15" spans="1:7" ht="12.75">
      <c r="A15" s="415" t="s">
        <v>321</v>
      </c>
      <c r="B15" s="6" t="s">
        <v>187</v>
      </c>
      <c r="C15" s="25"/>
      <c r="D15" s="803"/>
      <c r="E15" s="4"/>
      <c r="F15" s="25"/>
      <c r="G15" s="534"/>
    </row>
    <row r="16" spans="1:7" ht="12.75">
      <c r="A16" s="415" t="s">
        <v>322</v>
      </c>
      <c r="B16" s="6" t="s">
        <v>187</v>
      </c>
      <c r="C16" s="226"/>
      <c r="D16" s="803"/>
      <c r="E16" s="31"/>
      <c r="F16" s="8"/>
      <c r="G16" s="260"/>
    </row>
    <row r="17" spans="1:7" ht="12.75">
      <c r="A17" s="415" t="s">
        <v>323</v>
      </c>
      <c r="B17" s="6" t="s">
        <v>187</v>
      </c>
      <c r="C17" s="226"/>
      <c r="D17" s="803"/>
      <c r="E17" s="31"/>
      <c r="F17" s="8"/>
      <c r="G17" s="260"/>
    </row>
    <row r="18" spans="1:7" ht="13.5" thickBot="1">
      <c r="A18" s="416" t="s">
        <v>324</v>
      </c>
      <c r="B18" s="10" t="s">
        <v>461</v>
      </c>
      <c r="C18" s="226"/>
      <c r="D18" s="803"/>
      <c r="E18" s="31"/>
      <c r="F18" s="8"/>
      <c r="G18" s="260"/>
    </row>
    <row r="19" spans="1:7" ht="13.5" thickBot="1">
      <c r="A19" s="395" t="s">
        <v>325</v>
      </c>
      <c r="B19" s="664" t="s">
        <v>26</v>
      </c>
      <c r="C19" s="552" t="s">
        <v>188</v>
      </c>
      <c r="D19" s="114">
        <f>SUM(D10:D18)</f>
        <v>0</v>
      </c>
      <c r="E19" s="268">
        <f>SUM(E10:E18)</f>
        <v>0</v>
      </c>
      <c r="F19" s="114">
        <f>SUM(F10:F18)</f>
        <v>0</v>
      </c>
      <c r="G19" s="255">
        <f>SUM(G10:G18)</f>
        <v>0</v>
      </c>
    </row>
    <row r="20" spans="2:7" ht="12.75">
      <c r="B20" s="36"/>
      <c r="C20" s="164"/>
      <c r="D20" s="30"/>
      <c r="E20" s="30"/>
      <c r="F20" s="30"/>
      <c r="G20" s="30"/>
    </row>
    <row r="21" spans="2:7" ht="12.75">
      <c r="B21" s="1654" t="s">
        <v>1450</v>
      </c>
      <c r="C21" s="1678"/>
      <c r="D21" s="1678"/>
      <c r="E21" s="1678"/>
      <c r="F21" s="1678"/>
      <c r="G21" s="1678"/>
    </row>
    <row r="22" spans="1:7" ht="15.75">
      <c r="A22" s="1674" t="s">
        <v>189</v>
      </c>
      <c r="B22" s="1675"/>
      <c r="C22" s="1675"/>
      <c r="D22" s="1675"/>
      <c r="E22" s="1675"/>
      <c r="F22" s="1675"/>
      <c r="G22" s="1675"/>
    </row>
    <row r="23" spans="1:7" ht="12.75">
      <c r="A23" s="1677" t="s">
        <v>190</v>
      </c>
      <c r="B23" s="1675"/>
      <c r="C23" s="1675"/>
      <c r="D23" s="1675"/>
      <c r="E23" s="1675"/>
      <c r="F23" s="1675"/>
      <c r="G23" s="1675"/>
    </row>
    <row r="24" spans="1:7" ht="12.75">
      <c r="A24" s="1677" t="s">
        <v>1094</v>
      </c>
      <c r="B24" s="1678"/>
      <c r="C24" s="1678"/>
      <c r="D24" s="1678"/>
      <c r="E24" s="1678"/>
      <c r="F24" s="1678"/>
      <c r="G24" s="1678"/>
    </row>
    <row r="25" spans="2:7" ht="13.5" thickBot="1">
      <c r="B25" s="1"/>
      <c r="C25" s="41"/>
      <c r="D25" s="41"/>
      <c r="E25" s="41"/>
      <c r="F25" s="1"/>
      <c r="G25" s="22" t="s">
        <v>4</v>
      </c>
    </row>
    <row r="26" spans="1:7" ht="13.5" thickBot="1">
      <c r="A26" s="1717" t="s">
        <v>311</v>
      </c>
      <c r="B26" s="1779" t="s">
        <v>191</v>
      </c>
      <c r="C26" s="1779"/>
      <c r="D26" s="553" t="s">
        <v>192</v>
      </c>
      <c r="E26" s="554" t="s">
        <v>193</v>
      </c>
      <c r="F26" s="553" t="s">
        <v>194</v>
      </c>
      <c r="G26" s="555" t="s">
        <v>195</v>
      </c>
    </row>
    <row r="27" spans="1:7" ht="13.5" thickBot="1">
      <c r="A27" s="1718"/>
      <c r="B27" s="1780"/>
      <c r="C27" s="1780"/>
      <c r="D27" s="223" t="s">
        <v>180</v>
      </c>
      <c r="E27" s="164" t="s">
        <v>196</v>
      </c>
      <c r="F27" s="223" t="s">
        <v>197</v>
      </c>
      <c r="G27" s="556" t="s">
        <v>198</v>
      </c>
    </row>
    <row r="28" spans="1:7" ht="13.5" thickBot="1">
      <c r="A28" s="1718"/>
      <c r="B28" s="1780"/>
      <c r="C28" s="1780"/>
      <c r="D28" s="224" t="s">
        <v>199</v>
      </c>
      <c r="E28" s="225" t="s">
        <v>200</v>
      </c>
      <c r="F28" s="224" t="s">
        <v>185</v>
      </c>
      <c r="G28" s="557" t="s">
        <v>201</v>
      </c>
    </row>
    <row r="29" spans="1:7" ht="13.5" thickBot="1">
      <c r="A29" s="449" t="s">
        <v>390</v>
      </c>
      <c r="B29" s="1784" t="s">
        <v>313</v>
      </c>
      <c r="C29" s="1785"/>
      <c r="D29" s="552" t="s">
        <v>314</v>
      </c>
      <c r="E29" s="400" t="s">
        <v>315</v>
      </c>
      <c r="F29" s="552" t="s">
        <v>335</v>
      </c>
      <c r="G29" s="401" t="s">
        <v>360</v>
      </c>
    </row>
    <row r="30" spans="1:7" ht="12.75">
      <c r="A30" s="429" t="s">
        <v>316</v>
      </c>
      <c r="B30" s="34" t="s">
        <v>444</v>
      </c>
      <c r="C30" s="228"/>
      <c r="D30" s="802">
        <v>337</v>
      </c>
      <c r="E30" s="29"/>
      <c r="F30" s="24"/>
      <c r="G30" s="258"/>
    </row>
    <row r="31" spans="1:7" ht="12.75">
      <c r="A31" s="452" t="s">
        <v>317</v>
      </c>
      <c r="B31" s="34" t="s">
        <v>445</v>
      </c>
      <c r="C31" s="228"/>
      <c r="D31" s="802">
        <v>354</v>
      </c>
      <c r="E31" s="29"/>
      <c r="F31" s="24"/>
      <c r="G31" s="258"/>
    </row>
    <row r="32" spans="1:7" ht="12.75">
      <c r="A32" s="415" t="s">
        <v>318</v>
      </c>
      <c r="B32" s="34" t="s">
        <v>446</v>
      </c>
      <c r="C32" s="228"/>
      <c r="D32" s="802">
        <v>21568</v>
      </c>
      <c r="E32" s="29"/>
      <c r="F32" s="24"/>
      <c r="G32" s="258"/>
    </row>
    <row r="33" spans="1:7" ht="12.75">
      <c r="A33" s="415" t="s">
        <v>319</v>
      </c>
      <c r="B33" s="739" t="s">
        <v>447</v>
      </c>
      <c r="C33" s="740"/>
      <c r="D33" s="1512">
        <v>6152</v>
      </c>
      <c r="E33" s="687"/>
      <c r="F33" s="115"/>
      <c r="G33" s="434"/>
    </row>
    <row r="34" spans="1:7" ht="12.75">
      <c r="A34" s="415" t="s">
        <v>320</v>
      </c>
      <c r="B34" s="1645" t="s">
        <v>489</v>
      </c>
      <c r="C34" s="1091"/>
      <c r="D34" s="1430">
        <v>57200</v>
      </c>
      <c r="E34" s="117"/>
      <c r="F34" s="116"/>
      <c r="G34" s="145"/>
    </row>
    <row r="35" spans="1:7" ht="12.75">
      <c r="A35" s="415" t="s">
        <v>321</v>
      </c>
      <c r="B35" s="186" t="s">
        <v>1398</v>
      </c>
      <c r="C35" s="1091"/>
      <c r="D35" s="1430">
        <v>282</v>
      </c>
      <c r="E35" s="117"/>
      <c r="F35" s="116"/>
      <c r="G35" s="145"/>
    </row>
    <row r="36" spans="1:7" ht="12.75">
      <c r="A36" s="415" t="s">
        <v>322</v>
      </c>
      <c r="B36" s="186" t="s">
        <v>1399</v>
      </c>
      <c r="C36" s="835"/>
      <c r="D36" s="1646">
        <v>1200</v>
      </c>
      <c r="E36" s="160"/>
      <c r="F36" s="292"/>
      <c r="G36" s="146"/>
    </row>
    <row r="37" spans="1:7" ht="13.5" thickBot="1">
      <c r="A37" s="415" t="s">
        <v>323</v>
      </c>
      <c r="B37" s="1516" t="s">
        <v>1400</v>
      </c>
      <c r="C37" s="230"/>
      <c r="D37" s="1513">
        <v>278878</v>
      </c>
      <c r="E37" s="30"/>
      <c r="F37" s="28"/>
      <c r="G37" s="150"/>
    </row>
    <row r="38" spans="1:7" ht="13.5" thickBot="1">
      <c r="A38" s="395" t="s">
        <v>324</v>
      </c>
      <c r="B38" s="417" t="s">
        <v>26</v>
      </c>
      <c r="C38" s="558"/>
      <c r="D38" s="1514">
        <f>SUM(D30:D37)</f>
        <v>365971</v>
      </c>
      <c r="E38" s="742"/>
      <c r="F38" s="741"/>
      <c r="G38" s="743"/>
    </row>
  </sheetData>
  <sheetProtection/>
  <mergeCells count="14">
    <mergeCell ref="B29:C29"/>
    <mergeCell ref="B1:G1"/>
    <mergeCell ref="B21:G21"/>
    <mergeCell ref="A22:G22"/>
    <mergeCell ref="A23:G23"/>
    <mergeCell ref="A24:G24"/>
    <mergeCell ref="A3:G3"/>
    <mergeCell ref="B26:C28"/>
    <mergeCell ref="B6:B8"/>
    <mergeCell ref="C6:C8"/>
    <mergeCell ref="A2:G2"/>
    <mergeCell ref="A4:G4"/>
    <mergeCell ref="A6:A8"/>
    <mergeCell ref="A26:A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9.421875" style="0" customWidth="1"/>
    <col min="4" max="4" width="9.57421875" style="0" customWidth="1"/>
    <col min="5" max="5" width="9.140625" style="0" customWidth="1"/>
    <col min="9" max="9" width="8.28125" style="0" customWidth="1"/>
    <col min="11" max="11" width="9.57421875" style="0" customWidth="1"/>
  </cols>
  <sheetData>
    <row r="2" spans="1:13" ht="12.75">
      <c r="A2" s="1654" t="s">
        <v>1451</v>
      </c>
      <c r="B2" s="1678"/>
      <c r="C2" s="1678"/>
      <c r="D2" s="1678"/>
      <c r="E2" s="1678"/>
      <c r="F2" s="1678"/>
      <c r="G2" s="1"/>
      <c r="H2" s="1"/>
      <c r="I2" s="1"/>
      <c r="J2" s="1"/>
      <c r="K2" s="87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89" t="s">
        <v>149</v>
      </c>
      <c r="C4" s="1789"/>
      <c r="D4" s="1789"/>
      <c r="E4" s="1789"/>
      <c r="F4" s="1789"/>
      <c r="G4" s="1789"/>
      <c r="H4" s="1789"/>
      <c r="I4" s="1789"/>
      <c r="J4" s="1789"/>
      <c r="K4" s="1789"/>
      <c r="L4" s="1789"/>
      <c r="M4" s="1789"/>
    </row>
    <row r="5" spans="2:13" ht="18.75">
      <c r="B5" s="1790" t="s">
        <v>202</v>
      </c>
      <c r="C5" s="1790"/>
      <c r="D5" s="1790"/>
      <c r="E5" s="1790"/>
      <c r="F5" s="1790"/>
      <c r="G5" s="1790"/>
      <c r="H5" s="1790"/>
      <c r="I5" s="1790"/>
      <c r="J5" s="1790"/>
      <c r="K5" s="1790"/>
      <c r="L5" s="1790"/>
      <c r="M5" s="1790"/>
    </row>
    <row r="6" spans="2:6" ht="18">
      <c r="B6" s="88"/>
      <c r="C6" s="88"/>
      <c r="D6" s="88"/>
      <c r="E6" s="88"/>
      <c r="F6" s="88"/>
    </row>
    <row r="7" spans="2:6" ht="18">
      <c r="B7" s="88"/>
      <c r="C7" s="88"/>
      <c r="D7" s="88"/>
      <c r="E7" s="88"/>
      <c r="F7" s="88"/>
    </row>
    <row r="8" spans="8:12" ht="13.5" thickBot="1">
      <c r="H8" s="1791"/>
      <c r="I8" s="1791"/>
      <c r="J8" s="1791"/>
      <c r="K8" s="1791"/>
      <c r="L8" s="45" t="s">
        <v>54</v>
      </c>
    </row>
    <row r="9" spans="1:14" ht="15" thickBot="1">
      <c r="A9" s="1688" t="s">
        <v>311</v>
      </c>
      <c r="B9" s="1792" t="s">
        <v>203</v>
      </c>
      <c r="C9" s="1794" t="s">
        <v>176</v>
      </c>
      <c r="D9" s="1796" t="s">
        <v>1095</v>
      </c>
      <c r="E9" s="1786" t="s">
        <v>204</v>
      </c>
      <c r="F9" s="1787"/>
      <c r="G9" s="1787"/>
      <c r="H9" s="1787"/>
      <c r="I9" s="1787"/>
      <c r="J9" s="1787"/>
      <c r="K9" s="1787"/>
      <c r="L9" s="1787"/>
      <c r="M9" s="1787"/>
      <c r="N9" s="1788"/>
    </row>
    <row r="10" spans="1:14" ht="32.25" customHeight="1" thickBot="1">
      <c r="A10" s="1755"/>
      <c r="B10" s="1793"/>
      <c r="C10" s="1795"/>
      <c r="D10" s="1797"/>
      <c r="E10" s="1476" t="s">
        <v>214</v>
      </c>
      <c r="F10" s="1477" t="s">
        <v>215</v>
      </c>
      <c r="G10" s="1477" t="s">
        <v>216</v>
      </c>
      <c r="H10" s="1477" t="s">
        <v>217</v>
      </c>
      <c r="I10" s="1477" t="s">
        <v>218</v>
      </c>
      <c r="J10" s="1477" t="s">
        <v>219</v>
      </c>
      <c r="K10" s="1477" t="s">
        <v>222</v>
      </c>
      <c r="L10" s="1477" t="s">
        <v>223</v>
      </c>
      <c r="M10" s="1478" t="s">
        <v>224</v>
      </c>
      <c r="N10" s="1475" t="s">
        <v>225</v>
      </c>
    </row>
    <row r="11" spans="1:14" ht="18" customHeight="1" thickBot="1">
      <c r="A11" s="486" t="s">
        <v>312</v>
      </c>
      <c r="B11" s="449" t="s">
        <v>391</v>
      </c>
      <c r="C11" s="1000" t="s">
        <v>314</v>
      </c>
      <c r="D11" s="449" t="s">
        <v>315</v>
      </c>
      <c r="E11" s="1043" t="s">
        <v>335</v>
      </c>
      <c r="F11" s="1043" t="s">
        <v>360</v>
      </c>
      <c r="G11" s="1043" t="s">
        <v>361</v>
      </c>
      <c r="H11" s="1043" t="s">
        <v>387</v>
      </c>
      <c r="I11" s="1043" t="s">
        <v>388</v>
      </c>
      <c r="J11" s="1043" t="s">
        <v>389</v>
      </c>
      <c r="K11" s="1043" t="s">
        <v>392</v>
      </c>
      <c r="L11" s="1043" t="s">
        <v>393</v>
      </c>
      <c r="M11" s="1043" t="s">
        <v>394</v>
      </c>
      <c r="N11" s="1043" t="s">
        <v>395</v>
      </c>
    </row>
    <row r="12" spans="1:14" ht="31.5" customHeight="1">
      <c r="A12" s="493" t="s">
        <v>316</v>
      </c>
      <c r="B12" s="178" t="s">
        <v>205</v>
      </c>
      <c r="C12" s="1486"/>
      <c r="D12" s="1490">
        <f>'  46 47_sz_ melléklet'!D10</f>
        <v>0</v>
      </c>
      <c r="E12" s="1395">
        <f aca="true" t="shared" si="0" ref="E12:E17">D12</f>
        <v>0</v>
      </c>
      <c r="F12" s="1044"/>
      <c r="G12" s="1044"/>
      <c r="H12" s="1044"/>
      <c r="I12" s="1044"/>
      <c r="J12" s="1044"/>
      <c r="K12" s="1044"/>
      <c r="L12" s="1045"/>
      <c r="M12" s="1046"/>
      <c r="N12" s="1047"/>
    </row>
    <row r="13" spans="1:14" ht="31.5" customHeight="1">
      <c r="A13" s="415" t="s">
        <v>317</v>
      </c>
      <c r="B13" s="89" t="s">
        <v>205</v>
      </c>
      <c r="C13" s="1487"/>
      <c r="D13" s="1491">
        <f>'  46 47_sz_ melléklet'!D12</f>
        <v>0</v>
      </c>
      <c r="E13" s="1395">
        <f t="shared" si="0"/>
        <v>0</v>
      </c>
      <c r="F13" s="1048"/>
      <c r="G13" s="1049"/>
      <c r="H13" s="1048"/>
      <c r="I13" s="1050"/>
      <c r="J13" s="94"/>
      <c r="K13" s="1051"/>
      <c r="L13" s="1052"/>
      <c r="M13" s="1053"/>
      <c r="N13" s="1047"/>
    </row>
    <row r="14" spans="1:14" ht="26.25" customHeight="1">
      <c r="A14" s="415" t="s">
        <v>318</v>
      </c>
      <c r="B14" s="89" t="s">
        <v>205</v>
      </c>
      <c r="C14" s="1487"/>
      <c r="D14" s="1491">
        <f>'  46 47_sz_ melléklet'!D11</f>
        <v>0</v>
      </c>
      <c r="E14" s="1395">
        <f t="shared" si="0"/>
        <v>0</v>
      </c>
      <c r="F14" s="1048"/>
      <c r="G14" s="1049"/>
      <c r="H14" s="1048"/>
      <c r="I14" s="1050"/>
      <c r="J14" s="94"/>
      <c r="K14" s="1054"/>
      <c r="L14" s="1050"/>
      <c r="M14" s="221"/>
      <c r="N14" s="1055"/>
    </row>
    <row r="15" spans="1:14" ht="24.75" customHeight="1">
      <c r="A15" s="415" t="s">
        <v>319</v>
      </c>
      <c r="B15" s="91" t="s">
        <v>205</v>
      </c>
      <c r="C15" s="1487"/>
      <c r="D15" s="1491">
        <f>'  46 47_sz_ melléklet'!D14</f>
        <v>0</v>
      </c>
      <c r="E15" s="1395">
        <f t="shared" si="0"/>
        <v>0</v>
      </c>
      <c r="F15" s="1048"/>
      <c r="G15" s="1049"/>
      <c r="H15" s="1048"/>
      <c r="I15" s="1048"/>
      <c r="J15" s="1048"/>
      <c r="K15" s="1048"/>
      <c r="L15" s="1049"/>
      <c r="M15" s="1053"/>
      <c r="N15" s="1056"/>
    </row>
    <row r="16" spans="1:14" ht="18.75" customHeight="1">
      <c r="A16" s="415" t="s">
        <v>320</v>
      </c>
      <c r="B16" s="89" t="s">
        <v>205</v>
      </c>
      <c r="C16" s="1487"/>
      <c r="D16" s="1491">
        <f>'  46 47_sz_ melléklet'!D13</f>
        <v>0</v>
      </c>
      <c r="E16" s="1395">
        <f t="shared" si="0"/>
        <v>0</v>
      </c>
      <c r="F16" s="1048"/>
      <c r="G16" s="1048"/>
      <c r="H16" s="1048"/>
      <c r="I16" s="1048"/>
      <c r="J16" s="1049"/>
      <c r="K16" s="1054"/>
      <c r="L16" s="1050"/>
      <c r="M16" s="221"/>
      <c r="N16" s="1055"/>
    </row>
    <row r="17" spans="1:14" ht="19.5" customHeight="1" thickBot="1">
      <c r="A17" s="433" t="s">
        <v>321</v>
      </c>
      <c r="B17" s="1479" t="s">
        <v>206</v>
      </c>
      <c r="C17" s="1488"/>
      <c r="D17" s="1492">
        <f>'  46 47_sz_ melléklet'!D18</f>
        <v>0</v>
      </c>
      <c r="E17" s="1480">
        <f t="shared" si="0"/>
        <v>0</v>
      </c>
      <c r="F17" s="1481"/>
      <c r="G17" s="1482"/>
      <c r="H17" s="1481"/>
      <c r="I17" s="1481"/>
      <c r="J17" s="1482"/>
      <c r="K17" s="1483"/>
      <c r="L17" s="1482"/>
      <c r="M17" s="1484"/>
      <c r="N17" s="1485"/>
    </row>
    <row r="18" spans="1:14" ht="24.75" customHeight="1" thickBot="1">
      <c r="A18" s="395" t="s">
        <v>322</v>
      </c>
      <c r="B18" s="804" t="s">
        <v>45</v>
      </c>
      <c r="C18" s="1489" t="s">
        <v>207</v>
      </c>
      <c r="D18" s="1493">
        <f>SUM(D12:D17)</f>
        <v>0</v>
      </c>
      <c r="E18" s="1396">
        <f>SUM(E12:E17)</f>
        <v>0</v>
      </c>
      <c r="F18" s="805">
        <f aca="true" t="shared" si="1" ref="F18:K18">SUM(F12:F17)</f>
        <v>0</v>
      </c>
      <c r="G18" s="805">
        <f t="shared" si="1"/>
        <v>0</v>
      </c>
      <c r="H18" s="805">
        <f t="shared" si="1"/>
        <v>0</v>
      </c>
      <c r="I18" s="805">
        <f t="shared" si="1"/>
        <v>0</v>
      </c>
      <c r="J18" s="805">
        <f t="shared" si="1"/>
        <v>0</v>
      </c>
      <c r="K18" s="806">
        <f t="shared" si="1"/>
        <v>0</v>
      </c>
      <c r="L18" s="807">
        <f>SUM(L12:L17)</f>
        <v>0</v>
      </c>
      <c r="M18" s="807">
        <f>SUM(M12:M17)</f>
        <v>0</v>
      </c>
      <c r="N18" s="808">
        <f>SUM(N12:N17)</f>
        <v>0</v>
      </c>
    </row>
    <row r="19" spans="2:13" ht="14.25">
      <c r="B19" s="44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ht="14.25">
      <c r="B20" s="44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2:13" ht="14.25">
      <c r="B21" s="44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2:13" ht="14.25">
      <c r="B22" s="44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2:13" ht="14.25">
      <c r="B23" s="44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2:13" ht="14.25">
      <c r="B24" s="44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2:13" ht="14.25">
      <c r="B25" s="44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2:13" ht="14.25">
      <c r="B26" s="44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3" ht="14.25">
      <c r="B27" s="44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3.8515625" style="0" customWidth="1"/>
    <col min="4" max="4" width="15.28125" style="0" customWidth="1"/>
    <col min="5" max="5" width="15.421875" style="0" customWidth="1"/>
  </cols>
  <sheetData>
    <row r="1" spans="1:6" ht="12.75">
      <c r="A1" s="384" t="s">
        <v>1452</v>
      </c>
      <c r="B1" s="166"/>
      <c r="C1" s="166"/>
      <c r="D1" s="166"/>
      <c r="E1" s="166"/>
      <c r="F1" s="166"/>
    </row>
    <row r="2" spans="2:4" ht="15">
      <c r="B2" s="1"/>
      <c r="C2" s="1"/>
      <c r="D2" s="200"/>
    </row>
    <row r="3" spans="2:4" ht="15.75">
      <c r="B3" s="1710" t="s">
        <v>149</v>
      </c>
      <c r="C3" s="1710"/>
      <c r="D3" s="1710"/>
    </row>
    <row r="4" spans="2:4" ht="15.75">
      <c r="B4" s="1674" t="s">
        <v>208</v>
      </c>
      <c r="C4" s="1674"/>
      <c r="D4" s="1674"/>
    </row>
    <row r="5" spans="2:4" ht="15.75">
      <c r="B5" s="1674" t="s">
        <v>604</v>
      </c>
      <c r="C5" s="1674"/>
      <c r="D5" s="1674"/>
    </row>
    <row r="6" spans="2:5" ht="13.5" thickBot="1">
      <c r="B6" s="1"/>
      <c r="C6" s="1"/>
      <c r="D6" s="63"/>
      <c r="E6" s="63" t="s">
        <v>8</v>
      </c>
    </row>
    <row r="7" spans="1:5" ht="16.5" customHeight="1" thickBot="1">
      <c r="A7" s="1688" t="s">
        <v>311</v>
      </c>
      <c r="B7" s="1807" t="s">
        <v>209</v>
      </c>
      <c r="C7" s="1803" t="s">
        <v>210</v>
      </c>
      <c r="D7" s="1804"/>
      <c r="E7" s="1805"/>
    </row>
    <row r="8" spans="1:5" ht="13.5" thickBot="1">
      <c r="A8" s="1806"/>
      <c r="B8" s="1808"/>
      <c r="C8" s="1636" t="s">
        <v>448</v>
      </c>
      <c r="D8" s="679" t="s">
        <v>449</v>
      </c>
      <c r="E8" s="179" t="s">
        <v>240</v>
      </c>
    </row>
    <row r="9" spans="1:5" ht="13.5" thickBot="1">
      <c r="A9" s="449" t="s">
        <v>390</v>
      </c>
      <c r="B9" s="582" t="s">
        <v>313</v>
      </c>
      <c r="C9" s="1647" t="s">
        <v>314</v>
      </c>
      <c r="D9" s="400" t="s">
        <v>315</v>
      </c>
      <c r="E9" s="204" t="s">
        <v>335</v>
      </c>
    </row>
    <row r="10" spans="1:5" ht="12.75">
      <c r="A10" s="800" t="s">
        <v>316</v>
      </c>
      <c r="B10" s="1648" t="s">
        <v>158</v>
      </c>
      <c r="C10" s="241"/>
      <c r="D10" s="1649"/>
      <c r="E10" s="206"/>
    </row>
    <row r="11" spans="1:5" ht="12.75">
      <c r="A11" s="670" t="s">
        <v>317</v>
      </c>
      <c r="B11" s="1648" t="s">
        <v>289</v>
      </c>
      <c r="C11" s="241"/>
      <c r="D11" s="1649"/>
      <c r="E11" s="136"/>
    </row>
    <row r="12" spans="1:5" ht="12.75">
      <c r="A12" s="668" t="s">
        <v>318</v>
      </c>
      <c r="B12" s="1648" t="s">
        <v>290</v>
      </c>
      <c r="C12" s="241"/>
      <c r="D12" s="1649">
        <v>2258</v>
      </c>
      <c r="E12" s="136"/>
    </row>
    <row r="13" spans="1:5" ht="12.75">
      <c r="A13" s="668" t="s">
        <v>319</v>
      </c>
      <c r="B13" s="1648" t="s">
        <v>291</v>
      </c>
      <c r="C13" s="241"/>
      <c r="D13" s="1649"/>
      <c r="E13" s="136"/>
    </row>
    <row r="14" spans="1:5" ht="12.75">
      <c r="A14" s="668" t="s">
        <v>320</v>
      </c>
      <c r="B14" s="1650" t="s">
        <v>159</v>
      </c>
      <c r="C14" s="242"/>
      <c r="D14" s="1649"/>
      <c r="E14" s="136"/>
    </row>
    <row r="15" spans="1:5" ht="25.5">
      <c r="A15" s="668" t="s">
        <v>321</v>
      </c>
      <c r="B15" s="563" t="s">
        <v>1178</v>
      </c>
      <c r="C15" s="242">
        <v>530</v>
      </c>
      <c r="D15" s="1649">
        <v>558</v>
      </c>
      <c r="E15" s="136"/>
    </row>
    <row r="16" spans="1:5" ht="12.75">
      <c r="A16" s="668" t="s">
        <v>322</v>
      </c>
      <c r="B16" s="563" t="s">
        <v>1179</v>
      </c>
      <c r="C16" s="242">
        <v>2810</v>
      </c>
      <c r="D16" s="1649">
        <v>1800</v>
      </c>
      <c r="E16" s="136"/>
    </row>
    <row r="17" spans="1:5" ht="12.75">
      <c r="A17" s="668" t="s">
        <v>323</v>
      </c>
      <c r="B17" s="1650" t="s">
        <v>292</v>
      </c>
      <c r="C17" s="242"/>
      <c r="D17" s="1649"/>
      <c r="E17" s="136"/>
    </row>
    <row r="18" spans="1:5" ht="12.75">
      <c r="A18" s="668" t="s">
        <v>324</v>
      </c>
      <c r="B18" s="563" t="s">
        <v>293</v>
      </c>
      <c r="C18" s="242">
        <v>518</v>
      </c>
      <c r="D18" s="1649">
        <v>528</v>
      </c>
      <c r="E18" s="136"/>
    </row>
    <row r="19" spans="1:5" ht="12.75">
      <c r="A19" s="668" t="s">
        <v>325</v>
      </c>
      <c r="B19" s="563" t="s">
        <v>1176</v>
      </c>
      <c r="C19" s="242">
        <v>810</v>
      </c>
      <c r="D19" s="1649">
        <v>810</v>
      </c>
      <c r="E19" s="136"/>
    </row>
    <row r="20" spans="1:5" ht="12.75">
      <c r="A20" s="668" t="s">
        <v>326</v>
      </c>
      <c r="B20" s="563" t="s">
        <v>1177</v>
      </c>
      <c r="C20" s="242">
        <v>1926</v>
      </c>
      <c r="D20" s="1649">
        <v>250</v>
      </c>
      <c r="E20" s="136"/>
    </row>
    <row r="21" spans="1:5" ht="25.5">
      <c r="A21" s="668" t="s">
        <v>327</v>
      </c>
      <c r="B21" s="563" t="s">
        <v>295</v>
      </c>
      <c r="C21" s="242">
        <v>3955</v>
      </c>
      <c r="D21" s="1651">
        <v>5150</v>
      </c>
      <c r="E21" s="136"/>
    </row>
    <row r="22" spans="1:5" ht="25.5">
      <c r="A22" s="668"/>
      <c r="B22" s="563" t="s">
        <v>1401</v>
      </c>
      <c r="C22" s="242"/>
      <c r="D22" s="1651">
        <v>1800</v>
      </c>
      <c r="E22" s="136"/>
    </row>
    <row r="23" spans="1:5" ht="12.75">
      <c r="A23" s="668" t="s">
        <v>328</v>
      </c>
      <c r="B23" s="563" t="s">
        <v>160</v>
      </c>
      <c r="C23" s="242"/>
      <c r="D23" s="1649"/>
      <c r="E23" s="136"/>
    </row>
    <row r="24" spans="1:5" ht="25.5">
      <c r="A24" s="668" t="s">
        <v>329</v>
      </c>
      <c r="B24" s="563" t="s">
        <v>161</v>
      </c>
      <c r="C24" s="242"/>
      <c r="D24" s="1649"/>
      <c r="E24" s="136"/>
    </row>
    <row r="25" spans="1:5" ht="30.75" customHeight="1">
      <c r="A25" s="668" t="s">
        <v>330</v>
      </c>
      <c r="B25" s="563" t="s">
        <v>162</v>
      </c>
      <c r="C25" s="242"/>
      <c r="D25" s="1649"/>
      <c r="E25" s="136"/>
    </row>
    <row r="26" spans="1:5" ht="29.25" customHeight="1">
      <c r="A26" s="668" t="s">
        <v>331</v>
      </c>
      <c r="B26" s="563" t="s">
        <v>163</v>
      </c>
      <c r="C26" s="242"/>
      <c r="D26" s="1649"/>
      <c r="E26" s="136"/>
    </row>
    <row r="27" spans="1:5" ht="26.25" thickBot="1">
      <c r="A27" s="668" t="s">
        <v>332</v>
      </c>
      <c r="B27" s="563" t="s">
        <v>164</v>
      </c>
      <c r="C27" s="242"/>
      <c r="D27" s="1649"/>
      <c r="E27" s="136"/>
    </row>
    <row r="28" spans="1:5" ht="13.5" thickBot="1">
      <c r="A28" s="668" t="s">
        <v>333</v>
      </c>
      <c r="B28" s="1652" t="s">
        <v>26</v>
      </c>
      <c r="C28" s="1653">
        <f>SUM(C10:C27)</f>
        <v>10549</v>
      </c>
      <c r="D28" s="1653">
        <f>SUM(D10:D27)</f>
        <v>13154</v>
      </c>
      <c r="E28" s="1653">
        <f>SUM(E10:E27)</f>
        <v>0</v>
      </c>
    </row>
    <row r="29" spans="2:4" ht="12.75">
      <c r="B29" s="44"/>
      <c r="C29" s="36"/>
      <c r="D29" s="1"/>
    </row>
    <row r="30" spans="1:6" ht="12.75">
      <c r="A30" s="384" t="s">
        <v>1453</v>
      </c>
      <c r="B30" s="166"/>
      <c r="C30" s="166"/>
      <c r="D30" s="166"/>
      <c r="E30" s="166"/>
      <c r="F30" s="166"/>
    </row>
    <row r="31" spans="2:4" ht="12.75">
      <c r="B31" s="1"/>
      <c r="C31" s="1"/>
      <c r="D31" s="1"/>
    </row>
    <row r="32" spans="2:4" ht="15.75">
      <c r="B32" s="1710" t="s">
        <v>149</v>
      </c>
      <c r="C32" s="1710"/>
      <c r="D32" s="1710"/>
    </row>
    <row r="33" spans="2:4" ht="15.75">
      <c r="B33" s="1674" t="s">
        <v>211</v>
      </c>
      <c r="C33" s="1674"/>
      <c r="D33" s="1674"/>
    </row>
    <row r="34" spans="2:4" ht="15.75">
      <c r="B34" s="1674" t="s">
        <v>604</v>
      </c>
      <c r="C34" s="1674"/>
      <c r="D34" s="1674"/>
    </row>
    <row r="35" spans="2:4" ht="12.75">
      <c r="B35" s="1"/>
      <c r="C35" s="1"/>
      <c r="D35" s="1"/>
    </row>
    <row r="36" spans="2:4" ht="13.5" thickBot="1">
      <c r="B36" s="1"/>
      <c r="C36" s="1"/>
      <c r="D36" s="63" t="s">
        <v>212</v>
      </c>
    </row>
    <row r="37" spans="1:5" ht="16.5" thickBot="1">
      <c r="A37" s="1688" t="s">
        <v>311</v>
      </c>
      <c r="B37" s="1798" t="s">
        <v>3</v>
      </c>
      <c r="C37" s="1800" t="s">
        <v>210</v>
      </c>
      <c r="D37" s="1801"/>
      <c r="E37" s="1802"/>
    </row>
    <row r="38" spans="1:5" ht="16.5" thickBot="1">
      <c r="A38" s="1666"/>
      <c r="B38" s="1799"/>
      <c r="C38" s="1619">
        <v>42370</v>
      </c>
      <c r="D38" s="1619">
        <v>42735</v>
      </c>
      <c r="E38" s="1620" t="s">
        <v>1360</v>
      </c>
    </row>
    <row r="39" spans="1:5" ht="12.75">
      <c r="A39" s="1621" t="s">
        <v>390</v>
      </c>
      <c r="B39" s="1622" t="s">
        <v>313</v>
      </c>
      <c r="C39" s="1623" t="s">
        <v>314</v>
      </c>
      <c r="D39" s="1624" t="s">
        <v>315</v>
      </c>
      <c r="E39" s="1625" t="s">
        <v>335</v>
      </c>
    </row>
    <row r="40" spans="1:5" ht="12.75">
      <c r="A40" s="1626" t="s">
        <v>316</v>
      </c>
      <c r="B40" s="1627" t="s">
        <v>1361</v>
      </c>
      <c r="C40" s="1628">
        <v>0</v>
      </c>
      <c r="D40" s="1628">
        <v>0</v>
      </c>
      <c r="E40" s="1629">
        <v>0</v>
      </c>
    </row>
    <row r="41" spans="1:5" ht="12.75">
      <c r="A41" s="1626" t="s">
        <v>317</v>
      </c>
      <c r="B41" s="1627" t="s">
        <v>1362</v>
      </c>
      <c r="C41" s="1628">
        <v>0</v>
      </c>
      <c r="D41" s="1628">
        <v>0</v>
      </c>
      <c r="E41" s="1629">
        <v>0</v>
      </c>
    </row>
    <row r="42" spans="1:5" ht="12.75">
      <c r="A42" s="1626" t="s">
        <v>318</v>
      </c>
      <c r="B42" s="1627" t="s">
        <v>1363</v>
      </c>
      <c r="C42" s="1628"/>
      <c r="D42" s="1628"/>
      <c r="E42" s="1058">
        <f>D42-C42</f>
        <v>0</v>
      </c>
    </row>
    <row r="43" spans="1:5" ht="13.5" thickBot="1">
      <c r="A43" s="1630" t="s">
        <v>319</v>
      </c>
      <c r="B43" s="1631" t="s">
        <v>1364</v>
      </c>
      <c r="C43" s="1632"/>
      <c r="D43" s="1632"/>
      <c r="E43" s="1633">
        <f>D43-C43</f>
        <v>0</v>
      </c>
    </row>
    <row r="44" spans="1:5" ht="13.5" thickBot="1">
      <c r="A44" s="674" t="s">
        <v>320</v>
      </c>
      <c r="B44" s="1154" t="s">
        <v>1365</v>
      </c>
      <c r="C44" s="1634">
        <f>SUM(C40:C43)</f>
        <v>0</v>
      </c>
      <c r="D44" s="1634">
        <f>SUM(D40:D43)</f>
        <v>0</v>
      </c>
      <c r="E44" s="1635">
        <f>SUM(E40:E43)</f>
        <v>0</v>
      </c>
    </row>
  </sheetData>
  <sheetProtection/>
  <mergeCells count="12">
    <mergeCell ref="B3:D3"/>
    <mergeCell ref="B4:D4"/>
    <mergeCell ref="B5:D5"/>
    <mergeCell ref="B7:B8"/>
    <mergeCell ref="B32:D32"/>
    <mergeCell ref="B33:D33"/>
    <mergeCell ref="A37:A38"/>
    <mergeCell ref="B37:B38"/>
    <mergeCell ref="C37:E37"/>
    <mergeCell ref="C7:E7"/>
    <mergeCell ref="A7:A8"/>
    <mergeCell ref="B34:D34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2:24" ht="12.75">
      <c r="B1" s="1654" t="s">
        <v>1454</v>
      </c>
      <c r="C1" s="1678"/>
      <c r="D1" s="1678"/>
      <c r="E1" s="1678"/>
      <c r="F1" s="1678"/>
      <c r="G1" s="1654"/>
      <c r="H1" s="1678"/>
      <c r="I1" s="1678"/>
      <c r="J1" s="1678"/>
      <c r="K1" s="1678"/>
      <c r="L1" s="1678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2:24" ht="12.75">
      <c r="B2" s="384"/>
      <c r="C2" s="166"/>
      <c r="D2" s="166"/>
      <c r="E2" s="166"/>
      <c r="F2" s="166"/>
      <c r="G2" s="384"/>
      <c r="H2" s="166"/>
      <c r="I2" s="166"/>
      <c r="J2" s="166"/>
      <c r="K2" s="166"/>
      <c r="L2" s="166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2:13" ht="15.75">
      <c r="B3" s="1710" t="s">
        <v>213</v>
      </c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</row>
    <row r="4" spans="2:13" ht="12" customHeight="1" thickBot="1">
      <c r="B4" s="1"/>
      <c r="C4" s="1751"/>
      <c r="D4" s="1751"/>
      <c r="E4" s="1751"/>
      <c r="F4" s="1751"/>
      <c r="G4" s="1751"/>
      <c r="H4" s="1751"/>
      <c r="I4" s="1751"/>
      <c r="J4" s="1751"/>
      <c r="K4" s="1751"/>
      <c r="L4" s="1751"/>
      <c r="M4" s="1751"/>
    </row>
    <row r="5" spans="1:13" ht="26.25" customHeight="1" thickBot="1">
      <c r="A5" s="512" t="s">
        <v>311</v>
      </c>
      <c r="B5" s="576" t="s">
        <v>3</v>
      </c>
      <c r="C5" s="572" t="s">
        <v>214</v>
      </c>
      <c r="D5" s="572" t="s">
        <v>215</v>
      </c>
      <c r="E5" s="572" t="s">
        <v>216</v>
      </c>
      <c r="F5" s="572" t="s">
        <v>217</v>
      </c>
      <c r="G5" s="572" t="s">
        <v>218</v>
      </c>
      <c r="H5" s="572" t="s">
        <v>219</v>
      </c>
      <c r="I5" s="572" t="s">
        <v>222</v>
      </c>
      <c r="J5" s="572" t="s">
        <v>223</v>
      </c>
      <c r="K5" s="999" t="s">
        <v>224</v>
      </c>
      <c r="L5" s="1016" t="s">
        <v>225</v>
      </c>
      <c r="M5" s="1016" t="s">
        <v>999</v>
      </c>
    </row>
    <row r="6" spans="1:13" ht="12.75" customHeight="1" thickBot="1">
      <c r="A6" s="486" t="s">
        <v>312</v>
      </c>
      <c r="B6" s="449" t="s">
        <v>391</v>
      </c>
      <c r="C6" s="449" t="s">
        <v>315</v>
      </c>
      <c r="D6" s="449" t="s">
        <v>335</v>
      </c>
      <c r="E6" s="449" t="s">
        <v>360</v>
      </c>
      <c r="F6" s="473" t="s">
        <v>361</v>
      </c>
      <c r="G6" s="473" t="s">
        <v>387</v>
      </c>
      <c r="H6" s="473" t="s">
        <v>388</v>
      </c>
      <c r="I6" s="473" t="s">
        <v>389</v>
      </c>
      <c r="J6" s="533" t="s">
        <v>392</v>
      </c>
      <c r="K6" s="1450" t="s">
        <v>393</v>
      </c>
      <c r="L6" s="533" t="s">
        <v>394</v>
      </c>
      <c r="M6" s="533" t="s">
        <v>395</v>
      </c>
    </row>
    <row r="7" spans="1:13" ht="39.75" customHeight="1">
      <c r="A7" s="492" t="s">
        <v>316</v>
      </c>
      <c r="B7" s="577" t="s">
        <v>1017</v>
      </c>
      <c r="C7" s="96">
        <v>1000</v>
      </c>
      <c r="D7" s="96">
        <v>1000</v>
      </c>
      <c r="E7" s="96">
        <v>351826</v>
      </c>
      <c r="F7" s="573"/>
      <c r="G7" s="573"/>
      <c r="H7" s="573"/>
      <c r="I7" s="574"/>
      <c r="J7" s="575"/>
      <c r="K7" s="234"/>
      <c r="L7" s="607"/>
      <c r="M7" s="607"/>
    </row>
    <row r="8" spans="1:13" ht="33.75" customHeight="1">
      <c r="A8" s="371" t="s">
        <v>317</v>
      </c>
      <c r="B8" s="577" t="s">
        <v>1096</v>
      </c>
      <c r="C8" s="96">
        <v>11500</v>
      </c>
      <c r="D8" s="96">
        <v>11500</v>
      </c>
      <c r="E8" s="96">
        <v>11500</v>
      </c>
      <c r="F8" s="96">
        <v>11500</v>
      </c>
      <c r="G8" s="96">
        <v>11500</v>
      </c>
      <c r="H8" s="96">
        <v>11500</v>
      </c>
      <c r="I8" s="234">
        <v>11500</v>
      </c>
      <c r="J8" s="237">
        <v>11500</v>
      </c>
      <c r="K8" s="234">
        <v>3375</v>
      </c>
      <c r="L8" s="1017">
        <v>0</v>
      </c>
      <c r="M8" s="1017">
        <v>0</v>
      </c>
    </row>
    <row r="9" spans="1:13" ht="37.5" customHeight="1">
      <c r="A9" s="371" t="s">
        <v>318</v>
      </c>
      <c r="B9" s="578" t="s">
        <v>220</v>
      </c>
      <c r="C9" s="97">
        <v>1437</v>
      </c>
      <c r="D9" s="97"/>
      <c r="E9" s="97"/>
      <c r="F9" s="97"/>
      <c r="G9" s="97"/>
      <c r="H9" s="97"/>
      <c r="I9" s="235"/>
      <c r="J9" s="130"/>
      <c r="K9" s="235"/>
      <c r="L9" s="1002"/>
      <c r="M9" s="1002"/>
    </row>
    <row r="10" spans="1:13" ht="39.75" customHeight="1">
      <c r="A10" s="371" t="s">
        <v>319</v>
      </c>
      <c r="B10" s="577" t="s">
        <v>569</v>
      </c>
      <c r="C10" s="97">
        <v>1000</v>
      </c>
      <c r="D10" s="97">
        <v>1000</v>
      </c>
      <c r="E10" s="97">
        <v>51200</v>
      </c>
      <c r="F10" s="97"/>
      <c r="G10" s="97"/>
      <c r="H10" s="97"/>
      <c r="I10" s="235"/>
      <c r="J10" s="130"/>
      <c r="K10" s="235"/>
      <c r="L10" s="1002"/>
      <c r="M10" s="1002"/>
    </row>
    <row r="11" spans="1:13" ht="30.75" customHeight="1">
      <c r="A11" s="371" t="s">
        <v>320</v>
      </c>
      <c r="B11" s="579" t="s">
        <v>530</v>
      </c>
      <c r="C11" s="349">
        <v>9338</v>
      </c>
      <c r="D11" s="349">
        <v>9338</v>
      </c>
      <c r="E11" s="349"/>
      <c r="F11" s="349"/>
      <c r="G11" s="349"/>
      <c r="H11" s="349"/>
      <c r="I11" s="350"/>
      <c r="J11" s="130"/>
      <c r="K11" s="1001"/>
      <c r="L11" s="1002"/>
      <c r="M11" s="1002"/>
    </row>
    <row r="12" spans="1:13" ht="30.75" customHeight="1" thickBot="1">
      <c r="A12" s="383" t="s">
        <v>321</v>
      </c>
      <c r="B12" s="580" t="s">
        <v>309</v>
      </c>
      <c r="C12" s="346">
        <v>763</v>
      </c>
      <c r="D12" s="346"/>
      <c r="E12" s="346"/>
      <c r="F12" s="346"/>
      <c r="G12" s="346"/>
      <c r="H12" s="346"/>
      <c r="I12" s="347"/>
      <c r="J12" s="222"/>
      <c r="K12" s="348"/>
      <c r="L12" s="1003"/>
      <c r="M12" s="1003"/>
    </row>
    <row r="13" spans="1:13" ht="13.5" thickBot="1">
      <c r="A13" s="395" t="s">
        <v>322</v>
      </c>
      <c r="B13" s="581" t="s">
        <v>221</v>
      </c>
      <c r="C13" s="236">
        <f aca="true" t="shared" si="0" ref="C13:M13">SUM(C7:C12)</f>
        <v>25038</v>
      </c>
      <c r="D13" s="236">
        <f t="shared" si="0"/>
        <v>22838</v>
      </c>
      <c r="E13" s="236">
        <f t="shared" si="0"/>
        <v>414526</v>
      </c>
      <c r="F13" s="236">
        <f t="shared" si="0"/>
        <v>11500</v>
      </c>
      <c r="G13" s="236">
        <f t="shared" si="0"/>
        <v>11500</v>
      </c>
      <c r="H13" s="236">
        <f t="shared" si="0"/>
        <v>11500</v>
      </c>
      <c r="I13" s="236">
        <f t="shared" si="0"/>
        <v>11500</v>
      </c>
      <c r="J13" s="236">
        <f t="shared" si="0"/>
        <v>11500</v>
      </c>
      <c r="K13" s="236">
        <f t="shared" si="0"/>
        <v>3375</v>
      </c>
      <c r="L13" s="931">
        <f t="shared" si="0"/>
        <v>0</v>
      </c>
      <c r="M13" s="1018">
        <f t="shared" si="0"/>
        <v>0</v>
      </c>
    </row>
    <row r="14" spans="2:20" ht="20.25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"/>
      <c r="P14" s="1"/>
      <c r="Q14" s="1"/>
      <c r="R14" s="1"/>
      <c r="T14" s="1"/>
    </row>
    <row r="15" spans="2:20" ht="24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O15" s="99"/>
      <c r="P15" s="99"/>
      <c r="Q15" s="99"/>
      <c r="R15" s="99"/>
      <c r="T15" s="1"/>
    </row>
    <row r="16" spans="15:20" ht="12.75">
      <c r="O16" s="99"/>
      <c r="P16" s="99"/>
      <c r="Q16" s="99"/>
      <c r="R16" s="99"/>
      <c r="T16" s="1"/>
    </row>
    <row r="17" spans="13:20" ht="28.5" customHeight="1">
      <c r="M17" s="100"/>
      <c r="N17" s="100"/>
      <c r="T17" s="1"/>
    </row>
    <row r="18" spans="15:20" ht="26.25" customHeight="1">
      <c r="O18" s="100"/>
      <c r="P18" s="100"/>
      <c r="Q18" s="100"/>
      <c r="R18" s="100"/>
      <c r="T18" s="1"/>
    </row>
    <row r="19" ht="39.75" customHeight="1">
      <c r="T19" s="1"/>
    </row>
    <row r="20" ht="26.25" customHeight="1">
      <c r="T20" s="1"/>
    </row>
    <row r="21" ht="26.25" customHeight="1">
      <c r="T21" s="1"/>
    </row>
    <row r="22" ht="26.25" customHeight="1">
      <c r="T22" s="1"/>
    </row>
    <row r="23" spans="2:20" ht="20.2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15"/>
      <c r="T23" s="1"/>
    </row>
    <row r="24" spans="13:20" ht="27.75" customHeight="1">
      <c r="M24" s="101"/>
      <c r="N24" s="101"/>
      <c r="T24" s="1"/>
    </row>
    <row r="25" ht="12.75">
      <c r="T25" s="1"/>
    </row>
    <row r="26" ht="12.75">
      <c r="T26" s="1"/>
    </row>
    <row r="27" ht="12.75">
      <c r="T27" s="1"/>
    </row>
    <row r="28" ht="12.75">
      <c r="T28" s="102"/>
    </row>
    <row r="30" ht="32.25" customHeight="1">
      <c r="T30" s="100"/>
    </row>
    <row r="32" spans="13:14" ht="12.75">
      <c r="M32" s="98"/>
      <c r="N32" s="98"/>
    </row>
    <row r="35" ht="39.75" customHeight="1"/>
    <row r="37" ht="25.5" customHeight="1"/>
  </sheetData>
  <sheetProtection/>
  <mergeCells count="4">
    <mergeCell ref="B3:M3"/>
    <mergeCell ref="C4:M4"/>
    <mergeCell ref="B1:F1"/>
    <mergeCell ref="G1:L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11">
      <selection activeCell="J224" sqref="J224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54" t="s">
        <v>1455</v>
      </c>
      <c r="B1" s="1654"/>
      <c r="C1" s="1654"/>
      <c r="D1" s="1654"/>
      <c r="E1" s="1654"/>
    </row>
    <row r="2" spans="1:5" ht="12.75">
      <c r="A2" s="384"/>
      <c r="B2" s="384"/>
      <c r="C2" s="384"/>
      <c r="D2" s="384"/>
      <c r="E2" s="384"/>
    </row>
    <row r="3" spans="1:6" ht="14.25">
      <c r="A3" s="1809" t="s">
        <v>1097</v>
      </c>
      <c r="B3" s="1810"/>
      <c r="C3" s="1810"/>
      <c r="D3" s="1810"/>
      <c r="E3" s="1810"/>
      <c r="F3" s="1810"/>
    </row>
    <row r="4" spans="2:5" ht="15.75">
      <c r="B4" s="21"/>
      <c r="C4" s="21"/>
      <c r="D4" s="21"/>
      <c r="E4" s="21"/>
    </row>
    <row r="5" spans="2:5" ht="15.75">
      <c r="B5" s="21" t="s">
        <v>537</v>
      </c>
      <c r="C5" s="21"/>
      <c r="D5" s="21"/>
      <c r="E5" s="21"/>
    </row>
    <row r="6" spans="2:5" ht="13.5" thickBot="1">
      <c r="B6" s="1"/>
      <c r="C6" s="1"/>
      <c r="D6" s="1"/>
      <c r="E6" s="22" t="s">
        <v>8</v>
      </c>
    </row>
    <row r="7" spans="1:6" ht="60.75" thickBot="1">
      <c r="A7" s="399" t="s">
        <v>311</v>
      </c>
      <c r="B7" s="610" t="s">
        <v>13</v>
      </c>
      <c r="C7" s="387" t="s">
        <v>538</v>
      </c>
      <c r="D7" s="388" t="s">
        <v>539</v>
      </c>
      <c r="E7" s="387" t="s">
        <v>536</v>
      </c>
      <c r="F7" s="388" t="s">
        <v>535</v>
      </c>
    </row>
    <row r="8" spans="1:6" ht="12.75">
      <c r="A8" s="611" t="s">
        <v>312</v>
      </c>
      <c r="B8" s="612" t="s">
        <v>313</v>
      </c>
      <c r="C8" s="621" t="s">
        <v>314</v>
      </c>
      <c r="D8" s="622" t="s">
        <v>315</v>
      </c>
      <c r="E8" s="796" t="s">
        <v>335</v>
      </c>
      <c r="F8" s="797" t="s">
        <v>360</v>
      </c>
    </row>
    <row r="9" spans="1:6" ht="12.75">
      <c r="A9" s="372" t="s">
        <v>316</v>
      </c>
      <c r="B9" s="379" t="s">
        <v>256</v>
      </c>
      <c r="C9" s="327"/>
      <c r="D9" s="151"/>
      <c r="E9" s="327"/>
      <c r="F9" s="136"/>
    </row>
    <row r="10" spans="1:6" ht="12.75">
      <c r="A10" s="371" t="s">
        <v>317</v>
      </c>
      <c r="B10" s="199" t="s">
        <v>681</v>
      </c>
      <c r="C10" s="327">
        <f>23476+2790+800+1681+1971+474-6048</f>
        <v>25144</v>
      </c>
      <c r="D10" s="151">
        <f>153871+17191-429</f>
        <v>170633</v>
      </c>
      <c r="E10" s="327">
        <v>0</v>
      </c>
      <c r="F10" s="151">
        <f>SUM(C10:E10)</f>
        <v>195777</v>
      </c>
    </row>
    <row r="11" spans="1:6" ht="12.75">
      <c r="A11" s="371" t="s">
        <v>318</v>
      </c>
      <c r="B11" s="228" t="s">
        <v>683</v>
      </c>
      <c r="C11" s="327">
        <f>6326+797+216+454+532+132-1631</f>
        <v>6826</v>
      </c>
      <c r="D11" s="151">
        <f>41658+4642-68</f>
        <v>46232</v>
      </c>
      <c r="E11" s="327">
        <v>0</v>
      </c>
      <c r="F11" s="151">
        <f>SUM(C11:E11)</f>
        <v>53058</v>
      </c>
    </row>
    <row r="12" spans="1:6" ht="12.75">
      <c r="A12" s="371" t="s">
        <v>319</v>
      </c>
      <c r="B12" s="228" t="s">
        <v>682</v>
      </c>
      <c r="C12" s="327">
        <f>1148+843+424</f>
        <v>2415</v>
      </c>
      <c r="D12" s="151">
        <f>114617-450+8720+2579</f>
        <v>125466</v>
      </c>
      <c r="E12" s="327">
        <v>0</v>
      </c>
      <c r="F12" s="151">
        <f>SUM(C12:E12)</f>
        <v>127881</v>
      </c>
    </row>
    <row r="13" spans="1:6" ht="12.75">
      <c r="A13" s="371" t="s">
        <v>320</v>
      </c>
      <c r="B13" s="228" t="s">
        <v>684</v>
      </c>
      <c r="C13" s="327"/>
      <c r="D13" s="151"/>
      <c r="E13" s="327"/>
      <c r="F13" s="151">
        <f>SUM(C13:E13)</f>
        <v>0</v>
      </c>
    </row>
    <row r="14" spans="1:6" ht="12.75">
      <c r="A14" s="371" t="s">
        <v>321</v>
      </c>
      <c r="B14" s="228" t="s">
        <v>685</v>
      </c>
      <c r="C14" s="327"/>
      <c r="D14" s="151"/>
      <c r="E14" s="327"/>
      <c r="F14" s="151">
        <f>SUM(C14:E14)</f>
        <v>0</v>
      </c>
    </row>
    <row r="15" spans="1:6" ht="12.75">
      <c r="A15" s="371" t="s">
        <v>322</v>
      </c>
      <c r="B15" s="228" t="s">
        <v>686</v>
      </c>
      <c r="C15" s="327">
        <f>C16+C17+C18+C19+C20+C21+C22</f>
        <v>1317</v>
      </c>
      <c r="D15" s="327">
        <f>D16+D17+D18+D19+D20+D21+D22</f>
        <v>12621</v>
      </c>
      <c r="E15" s="327">
        <f>E16+E17+E18+E19+E20+E21+E22</f>
        <v>0</v>
      </c>
      <c r="F15" s="151">
        <f>F16+F17+F18+F19+F20+F21+F22</f>
        <v>13938</v>
      </c>
    </row>
    <row r="16" spans="1:6" ht="12.75">
      <c r="A16" s="371" t="s">
        <v>323</v>
      </c>
      <c r="B16" s="228" t="s">
        <v>690</v>
      </c>
      <c r="C16" s="327">
        <v>0</v>
      </c>
      <c r="D16" s="151">
        <v>0</v>
      </c>
      <c r="E16" s="327">
        <v>0</v>
      </c>
      <c r="F16" s="151">
        <f>E16+D16+C16</f>
        <v>0</v>
      </c>
    </row>
    <row r="17" spans="1:6" ht="12.75">
      <c r="A17" s="371" t="s">
        <v>324</v>
      </c>
      <c r="B17" s="228" t="s">
        <v>691</v>
      </c>
      <c r="C17" s="327"/>
      <c r="D17" s="151"/>
      <c r="E17" s="327"/>
      <c r="F17" s="151">
        <f aca="true" t="shared" si="0" ref="F17:F23">E17+D17+C17</f>
        <v>0</v>
      </c>
    </row>
    <row r="18" spans="1:6" ht="12.75">
      <c r="A18" s="371" t="s">
        <v>325</v>
      </c>
      <c r="B18" s="228" t="s">
        <v>692</v>
      </c>
      <c r="C18" s="327">
        <v>1317</v>
      </c>
      <c r="D18" s="151">
        <v>12621</v>
      </c>
      <c r="E18" s="327"/>
      <c r="F18" s="151">
        <f t="shared" si="0"/>
        <v>13938</v>
      </c>
    </row>
    <row r="19" spans="1:6" ht="12.75">
      <c r="A19" s="371" t="s">
        <v>326</v>
      </c>
      <c r="B19" s="380" t="s">
        <v>688</v>
      </c>
      <c r="C19" s="262"/>
      <c r="D19" s="155"/>
      <c r="E19" s="327"/>
      <c r="F19" s="151">
        <f t="shared" si="0"/>
        <v>0</v>
      </c>
    </row>
    <row r="20" spans="1:6" ht="12.75">
      <c r="A20" s="371" t="s">
        <v>327</v>
      </c>
      <c r="B20" s="834" t="s">
        <v>689</v>
      </c>
      <c r="C20" s="330"/>
      <c r="D20" s="152"/>
      <c r="E20" s="327"/>
      <c r="F20" s="151">
        <f t="shared" si="0"/>
        <v>0</v>
      </c>
    </row>
    <row r="21" spans="1:6" ht="12.75">
      <c r="A21" s="371" t="s">
        <v>328</v>
      </c>
      <c r="B21" s="835" t="s">
        <v>687</v>
      </c>
      <c r="C21" s="330"/>
      <c r="D21" s="152"/>
      <c r="E21" s="327"/>
      <c r="F21" s="151">
        <f t="shared" si="0"/>
        <v>0</v>
      </c>
    </row>
    <row r="22" spans="1:6" ht="12.75">
      <c r="A22" s="371" t="s">
        <v>329</v>
      </c>
      <c r="B22" s="309" t="s">
        <v>957</v>
      </c>
      <c r="C22" s="330"/>
      <c r="D22" s="152"/>
      <c r="E22" s="327"/>
      <c r="F22" s="156"/>
    </row>
    <row r="23" spans="1:6" ht="13.5" thickBot="1">
      <c r="A23" s="371" t="s">
        <v>330</v>
      </c>
      <c r="B23" s="230" t="s">
        <v>694</v>
      </c>
      <c r="C23" s="328"/>
      <c r="D23" s="156"/>
      <c r="E23" s="327"/>
      <c r="F23" s="325">
        <f t="shared" si="0"/>
        <v>0</v>
      </c>
    </row>
    <row r="24" spans="1:6" ht="13.5" thickBot="1">
      <c r="A24" s="615" t="s">
        <v>331</v>
      </c>
      <c r="B24" s="616" t="s">
        <v>6</v>
      </c>
      <c r="C24" s="624">
        <f>C10+C11+C12+C13+C15+C23</f>
        <v>35702</v>
      </c>
      <c r="D24" s="624">
        <f>D10+D11+D12+D13+D15+D23</f>
        <v>354952</v>
      </c>
      <c r="E24" s="624">
        <f>E10+E11+E12+E13+E15+E23</f>
        <v>0</v>
      </c>
      <c r="F24" s="625">
        <f>F10+F11+F12+F13+F15+F23</f>
        <v>390654</v>
      </c>
    </row>
    <row r="25" spans="1:6" ht="6" customHeight="1" thickTop="1">
      <c r="A25" s="604"/>
      <c r="B25" s="379"/>
      <c r="C25" s="261"/>
      <c r="D25" s="261"/>
      <c r="E25" s="261"/>
      <c r="F25" s="159"/>
    </row>
    <row r="26" spans="1:6" ht="12.75">
      <c r="A26" s="372" t="s">
        <v>332</v>
      </c>
      <c r="B26" s="381" t="s">
        <v>257</v>
      </c>
      <c r="C26" s="329"/>
      <c r="D26" s="154"/>
      <c r="E26" s="329"/>
      <c r="F26" s="206"/>
    </row>
    <row r="27" spans="1:6" ht="12.75">
      <c r="A27" s="372" t="s">
        <v>333</v>
      </c>
      <c r="B27" s="228" t="s">
        <v>695</v>
      </c>
      <c r="C27" s="327"/>
      <c r="D27" s="151">
        <f>'33_sz_ melléklet'!C14</f>
        <v>2515</v>
      </c>
      <c r="E27" s="327"/>
      <c r="F27" s="151">
        <f>SUM(C27:E27)</f>
        <v>2515</v>
      </c>
    </row>
    <row r="28" spans="1:6" ht="12.75">
      <c r="A28" s="372" t="s">
        <v>334</v>
      </c>
      <c r="B28" s="228" t="s">
        <v>696</v>
      </c>
      <c r="C28" s="327"/>
      <c r="D28" s="151"/>
      <c r="E28" s="327"/>
      <c r="F28" s="136"/>
    </row>
    <row r="29" spans="1:6" ht="12.75">
      <c r="A29" s="372" t="s">
        <v>336</v>
      </c>
      <c r="B29" s="228" t="s">
        <v>697</v>
      </c>
      <c r="C29" s="262">
        <f>C30+C31+C32</f>
        <v>0</v>
      </c>
      <c r="D29" s="262">
        <f>D30+D31+D32</f>
        <v>0</v>
      </c>
      <c r="E29" s="262">
        <f>E30+E31+E32</f>
        <v>0</v>
      </c>
      <c r="F29" s="155">
        <f>F30+F31+F32</f>
        <v>0</v>
      </c>
    </row>
    <row r="30" spans="1:6" ht="12.75">
      <c r="A30" s="372" t="s">
        <v>337</v>
      </c>
      <c r="B30" s="380" t="s">
        <v>698</v>
      </c>
      <c r="C30" s="327"/>
      <c r="D30" s="151"/>
      <c r="E30" s="327"/>
      <c r="F30" s="136"/>
    </row>
    <row r="31" spans="1:6" ht="12.75">
      <c r="A31" s="372" t="s">
        <v>338</v>
      </c>
      <c r="B31" s="380" t="s">
        <v>699</v>
      </c>
      <c r="C31" s="327"/>
      <c r="D31" s="151"/>
      <c r="E31" s="327"/>
      <c r="F31" s="136"/>
    </row>
    <row r="32" spans="1:6" ht="12.75">
      <c r="A32" s="372" t="s">
        <v>339</v>
      </c>
      <c r="B32" s="380" t="s">
        <v>700</v>
      </c>
      <c r="C32" s="327"/>
      <c r="D32" s="151"/>
      <c r="E32" s="327"/>
      <c r="F32" s="437"/>
    </row>
    <row r="33" spans="1:6" ht="12.75">
      <c r="A33" s="372" t="s">
        <v>340</v>
      </c>
      <c r="B33" s="380" t="s">
        <v>701</v>
      </c>
      <c r="C33" s="327"/>
      <c r="D33" s="151"/>
      <c r="E33" s="327"/>
      <c r="F33" s="437"/>
    </row>
    <row r="34" spans="1:6" ht="12.75">
      <c r="A34" s="372" t="s">
        <v>341</v>
      </c>
      <c r="B34" s="834" t="s">
        <v>702</v>
      </c>
      <c r="C34" s="327"/>
      <c r="D34" s="151"/>
      <c r="E34" s="327"/>
      <c r="F34" s="437"/>
    </row>
    <row r="35" spans="1:6" ht="12.75">
      <c r="A35" s="372" t="s">
        <v>342</v>
      </c>
      <c r="B35" s="309" t="s">
        <v>703</v>
      </c>
      <c r="C35" s="327"/>
      <c r="D35" s="151"/>
      <c r="E35" s="327"/>
      <c r="F35" s="437"/>
    </row>
    <row r="36" spans="1:6" ht="12.75">
      <c r="A36" s="372" t="s">
        <v>343</v>
      </c>
      <c r="B36" s="1091" t="s">
        <v>704</v>
      </c>
      <c r="C36" s="327"/>
      <c r="D36" s="151"/>
      <c r="E36" s="327"/>
      <c r="F36" s="437"/>
    </row>
    <row r="37" spans="1:6" ht="6.75" customHeight="1">
      <c r="A37" s="372" t="s">
        <v>344</v>
      </c>
      <c r="B37" s="228"/>
      <c r="C37" s="327"/>
      <c r="D37" s="151"/>
      <c r="E37" s="327"/>
      <c r="F37" s="136"/>
    </row>
    <row r="38" spans="1:6" ht="13.5" thickBot="1">
      <c r="A38" s="372" t="s">
        <v>345</v>
      </c>
      <c r="B38" s="230"/>
      <c r="C38" s="330"/>
      <c r="D38" s="330"/>
      <c r="E38" s="330"/>
      <c r="F38" s="152"/>
    </row>
    <row r="39" spans="1:6" ht="13.5" thickBot="1">
      <c r="A39" s="615" t="s">
        <v>346</v>
      </c>
      <c r="B39" s="616" t="s">
        <v>7</v>
      </c>
      <c r="C39" s="624">
        <f>C27+C28+C29+C37+C38</f>
        <v>0</v>
      </c>
      <c r="D39" s="624">
        <f>D27+D28+D29+D37+D38</f>
        <v>2515</v>
      </c>
      <c r="E39" s="624">
        <f>E27+E28+E29+E37+E38</f>
        <v>0</v>
      </c>
      <c r="F39" s="625">
        <f>F27+F28+F29+F37+F38</f>
        <v>2515</v>
      </c>
    </row>
    <row r="40" spans="1:6" ht="27" thickBot="1" thickTop="1">
      <c r="A40" s="615" t="s">
        <v>347</v>
      </c>
      <c r="B40" s="620" t="s">
        <v>503</v>
      </c>
      <c r="C40" s="627">
        <f>C24+C39</f>
        <v>35702</v>
      </c>
      <c r="D40" s="627">
        <f>D24+D39</f>
        <v>357467</v>
      </c>
      <c r="E40" s="627">
        <f>E24+E39</f>
        <v>0</v>
      </c>
      <c r="F40" s="628">
        <f>F24+F39</f>
        <v>393169</v>
      </c>
    </row>
    <row r="41" spans="1:6" ht="6.75" customHeight="1" thickTop="1">
      <c r="A41" s="604"/>
      <c r="B41" s="848"/>
      <c r="C41" s="267"/>
      <c r="D41" s="267"/>
      <c r="E41" s="267"/>
      <c r="F41" s="272"/>
    </row>
    <row r="42" spans="1:6" ht="18.75" customHeight="1">
      <c r="A42" s="372" t="s">
        <v>348</v>
      </c>
      <c r="B42" s="485" t="s">
        <v>504</v>
      </c>
      <c r="C42" s="626"/>
      <c r="D42" s="154"/>
      <c r="E42" s="329"/>
      <c r="F42" s="206"/>
    </row>
    <row r="43" spans="1:6" ht="12.75">
      <c r="A43" s="371" t="s">
        <v>349</v>
      </c>
      <c r="B43" s="229" t="s">
        <v>726</v>
      </c>
      <c r="C43" s="332"/>
      <c r="D43" s="151"/>
      <c r="E43" s="327"/>
      <c r="F43" s="136"/>
    </row>
    <row r="44" spans="1:6" ht="12.75">
      <c r="A44" s="371" t="s">
        <v>350</v>
      </c>
      <c r="B44" s="697" t="s">
        <v>724</v>
      </c>
      <c r="C44" s="841"/>
      <c r="D44" s="156"/>
      <c r="E44" s="328"/>
      <c r="F44" s="324"/>
    </row>
    <row r="45" spans="1:6" ht="12.75">
      <c r="A45" s="371" t="s">
        <v>351</v>
      </c>
      <c r="B45" s="697" t="s">
        <v>723</v>
      </c>
      <c r="C45" s="841"/>
      <c r="D45" s="156"/>
      <c r="E45" s="328"/>
      <c r="F45" s="324"/>
    </row>
    <row r="46" spans="1:6" ht="12.75">
      <c r="A46" s="371" t="s">
        <v>352</v>
      </c>
      <c r="B46" s="697" t="s">
        <v>725</v>
      </c>
      <c r="C46" s="841"/>
      <c r="D46" s="156"/>
      <c r="E46" s="328"/>
      <c r="F46" s="324"/>
    </row>
    <row r="47" spans="1:6" ht="12.75">
      <c r="A47" s="371" t="s">
        <v>353</v>
      </c>
      <c r="B47" s="836" t="s">
        <v>727</v>
      </c>
      <c r="C47" s="841"/>
      <c r="D47" s="156"/>
      <c r="E47" s="328"/>
      <c r="F47" s="324"/>
    </row>
    <row r="48" spans="1:6" ht="12.75">
      <c r="A48" s="371" t="s">
        <v>354</v>
      </c>
      <c r="B48" s="837" t="s">
        <v>730</v>
      </c>
      <c r="C48" s="841"/>
      <c r="D48" s="156"/>
      <c r="E48" s="328"/>
      <c r="F48" s="324"/>
    </row>
    <row r="49" spans="1:6" ht="12.75">
      <c r="A49" s="371" t="s">
        <v>355</v>
      </c>
      <c r="B49" s="838" t="s">
        <v>729</v>
      </c>
      <c r="C49" s="841"/>
      <c r="D49" s="156"/>
      <c r="E49" s="328"/>
      <c r="F49" s="324"/>
    </row>
    <row r="50" spans="1:6" ht="13.5" thickBot="1">
      <c r="A50" s="371" t="s">
        <v>356</v>
      </c>
      <c r="B50" s="382" t="s">
        <v>728</v>
      </c>
      <c r="C50" s="841"/>
      <c r="D50" s="156"/>
      <c r="E50" s="328"/>
      <c r="F50" s="324"/>
    </row>
    <row r="51" spans="1:6" ht="13.5" thickBot="1">
      <c r="A51" s="395" t="s">
        <v>357</v>
      </c>
      <c r="B51" s="315" t="s">
        <v>505</v>
      </c>
      <c r="C51" s="842"/>
      <c r="D51" s="266"/>
      <c r="E51" s="153"/>
      <c r="F51" s="662"/>
    </row>
    <row r="52" spans="1:6" ht="12.75">
      <c r="A52" s="604"/>
      <c r="B52" s="44"/>
      <c r="C52" s="854"/>
      <c r="D52" s="856"/>
      <c r="E52" s="816"/>
      <c r="F52" s="693"/>
    </row>
    <row r="53" spans="1:6" ht="13.5" thickBot="1">
      <c r="A53" s="456" t="s">
        <v>358</v>
      </c>
      <c r="B53" s="1379" t="s">
        <v>506</v>
      </c>
      <c r="C53" s="994">
        <f>C40+C51</f>
        <v>35702</v>
      </c>
      <c r="D53" s="995">
        <f>D40+D51</f>
        <v>357467</v>
      </c>
      <c r="E53" s="994">
        <f>E40+E51</f>
        <v>0</v>
      </c>
      <c r="F53" s="994">
        <f>F40+F51</f>
        <v>393169</v>
      </c>
    </row>
    <row r="54" spans="1:6" ht="12.75">
      <c r="A54" s="393"/>
      <c r="B54" s="827"/>
      <c r="C54" s="695"/>
      <c r="D54" s="695"/>
      <c r="E54" s="695"/>
      <c r="F54" s="695"/>
    </row>
    <row r="55" spans="1:6" ht="12.75">
      <c r="A55" s="1675">
        <v>2</v>
      </c>
      <c r="B55" s="1675"/>
      <c r="C55" s="1675"/>
      <c r="D55" s="1675"/>
      <c r="E55" s="1675"/>
      <c r="F55" s="1675"/>
    </row>
    <row r="56" spans="1:5" ht="12.75">
      <c r="A56" s="1654" t="s">
        <v>1455</v>
      </c>
      <c r="B56" s="1654"/>
      <c r="C56" s="1654"/>
      <c r="D56" s="1654"/>
      <c r="E56" s="1654"/>
    </row>
    <row r="57" spans="1:5" ht="12.75">
      <c r="A57" s="384"/>
      <c r="B57" s="384"/>
      <c r="C57" s="384"/>
      <c r="D57" s="384"/>
      <c r="E57" s="384"/>
    </row>
    <row r="58" spans="1:6" ht="14.25">
      <c r="A58" s="1809" t="s">
        <v>1097</v>
      </c>
      <c r="B58" s="1810"/>
      <c r="C58" s="1810"/>
      <c r="D58" s="1810"/>
      <c r="E58" s="1810"/>
      <c r="F58" s="1810"/>
    </row>
    <row r="59" spans="2:5" ht="15.75">
      <c r="B59" s="21"/>
      <c r="C59" s="21"/>
      <c r="D59" s="21"/>
      <c r="E59" s="21"/>
    </row>
    <row r="60" spans="2:5" ht="15.75">
      <c r="B60" s="21" t="s">
        <v>73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399" t="s">
        <v>311</v>
      </c>
      <c r="B62" s="610" t="s">
        <v>13</v>
      </c>
      <c r="C62" s="387" t="s">
        <v>540</v>
      </c>
      <c r="D62" s="388" t="s">
        <v>541</v>
      </c>
      <c r="E62" s="387" t="s">
        <v>536</v>
      </c>
      <c r="F62" s="388" t="s">
        <v>535</v>
      </c>
    </row>
    <row r="63" spans="1:6" ht="12.75">
      <c r="A63" s="611" t="s">
        <v>312</v>
      </c>
      <c r="B63" s="612" t="s">
        <v>313</v>
      </c>
      <c r="C63" s="621" t="s">
        <v>314</v>
      </c>
      <c r="D63" s="622" t="s">
        <v>315</v>
      </c>
      <c r="E63" s="796" t="s">
        <v>335</v>
      </c>
      <c r="F63" s="797" t="s">
        <v>360</v>
      </c>
    </row>
    <row r="64" spans="1:6" ht="12.75">
      <c r="A64" s="372" t="s">
        <v>316</v>
      </c>
      <c r="B64" s="379" t="s">
        <v>256</v>
      </c>
      <c r="C64" s="327"/>
      <c r="D64" s="151"/>
      <c r="E64" s="327"/>
      <c r="F64" s="136"/>
    </row>
    <row r="65" spans="1:6" ht="12.75">
      <c r="A65" s="371" t="s">
        <v>317</v>
      </c>
      <c r="B65" s="199" t="s">
        <v>681</v>
      </c>
      <c r="C65" s="327">
        <f>3_sz_melléklet!C9</f>
        <v>165990</v>
      </c>
      <c r="D65" s="151"/>
      <c r="E65" s="327"/>
      <c r="F65" s="151">
        <f>SUM(C65:E65)</f>
        <v>165990</v>
      </c>
    </row>
    <row r="66" spans="1:6" ht="12.75">
      <c r="A66" s="371" t="s">
        <v>318</v>
      </c>
      <c r="B66" s="228" t="s">
        <v>683</v>
      </c>
      <c r="C66" s="327">
        <f>3_sz_melléklet!C10</f>
        <v>49955</v>
      </c>
      <c r="D66" s="151"/>
      <c r="E66" s="327"/>
      <c r="F66" s="151">
        <f>SUM(C66:E66)</f>
        <v>49955</v>
      </c>
    </row>
    <row r="67" spans="1:6" ht="12.75">
      <c r="A67" s="371" t="s">
        <v>319</v>
      </c>
      <c r="B67" s="228" t="s">
        <v>682</v>
      </c>
      <c r="C67" s="327">
        <f>3_sz_melléklet!C11</f>
        <v>332274</v>
      </c>
      <c r="D67" s="151"/>
      <c r="E67" s="327"/>
      <c r="F67" s="151">
        <f>SUM(C67:E67)</f>
        <v>332274</v>
      </c>
    </row>
    <row r="68" spans="1:6" ht="12.75">
      <c r="A68" s="371" t="s">
        <v>320</v>
      </c>
      <c r="B68" s="228" t="s">
        <v>684</v>
      </c>
      <c r="C68" s="327"/>
      <c r="D68" s="151"/>
      <c r="E68" s="327"/>
      <c r="F68" s="151">
        <f>SUM(C68:E68)</f>
        <v>0</v>
      </c>
    </row>
    <row r="69" spans="1:6" ht="12.75">
      <c r="A69" s="371" t="s">
        <v>321</v>
      </c>
      <c r="B69" s="228" t="s">
        <v>685</v>
      </c>
      <c r="C69" s="327"/>
      <c r="D69" s="151"/>
      <c r="E69" s="327"/>
      <c r="F69" s="151">
        <f>SUM(C69:E69)</f>
        <v>0</v>
      </c>
    </row>
    <row r="70" spans="1:6" ht="12.75">
      <c r="A70" s="371" t="s">
        <v>322</v>
      </c>
      <c r="B70" s="228" t="s">
        <v>686</v>
      </c>
      <c r="C70" s="327">
        <f>C71+C72+C73+C74+C75+C76+C77</f>
        <v>0</v>
      </c>
      <c r="D70" s="327">
        <f>D71+D72+D73+D74+D75+D76+D77</f>
        <v>0</v>
      </c>
      <c r="E70" s="327">
        <f>E71+E72+E73+E74+E75+E76+E77</f>
        <v>0</v>
      </c>
      <c r="F70" s="151">
        <f>F71+F72+F73+F74+F75+F76+F77</f>
        <v>0</v>
      </c>
    </row>
    <row r="71" spans="1:6" ht="12.75">
      <c r="A71" s="371" t="s">
        <v>323</v>
      </c>
      <c r="B71" s="228" t="s">
        <v>690</v>
      </c>
      <c r="C71" s="327">
        <v>0</v>
      </c>
      <c r="D71" s="151">
        <v>0</v>
      </c>
      <c r="E71" s="327">
        <v>0</v>
      </c>
      <c r="F71" s="151">
        <f>E71+D71+C71</f>
        <v>0</v>
      </c>
    </row>
    <row r="72" spans="1:6" ht="12.75">
      <c r="A72" s="371" t="s">
        <v>324</v>
      </c>
      <c r="B72" s="228" t="s">
        <v>691</v>
      </c>
      <c r="C72" s="327"/>
      <c r="D72" s="151"/>
      <c r="E72" s="327"/>
      <c r="F72" s="151">
        <f aca="true" t="shared" si="1" ref="F72:F78">E72+D72+C72</f>
        <v>0</v>
      </c>
    </row>
    <row r="73" spans="1:6" ht="12.75">
      <c r="A73" s="371" t="s">
        <v>325</v>
      </c>
      <c r="B73" s="228" t="s">
        <v>692</v>
      </c>
      <c r="C73" s="327"/>
      <c r="D73" s="151"/>
      <c r="E73" s="327"/>
      <c r="F73" s="151">
        <f t="shared" si="1"/>
        <v>0</v>
      </c>
    </row>
    <row r="74" spans="1:6" ht="12.75">
      <c r="A74" s="371" t="s">
        <v>326</v>
      </c>
      <c r="B74" s="380" t="s">
        <v>688</v>
      </c>
      <c r="C74" s="262"/>
      <c r="D74" s="155"/>
      <c r="E74" s="327"/>
      <c r="F74" s="151">
        <f t="shared" si="1"/>
        <v>0</v>
      </c>
    </row>
    <row r="75" spans="1:6" ht="12.75">
      <c r="A75" s="371" t="s">
        <v>327</v>
      </c>
      <c r="B75" s="834" t="s">
        <v>689</v>
      </c>
      <c r="C75" s="330"/>
      <c r="D75" s="152"/>
      <c r="E75" s="327"/>
      <c r="F75" s="151">
        <f t="shared" si="1"/>
        <v>0</v>
      </c>
    </row>
    <row r="76" spans="1:6" ht="12.75">
      <c r="A76" s="371" t="s">
        <v>328</v>
      </c>
      <c r="B76" s="835" t="s">
        <v>687</v>
      </c>
      <c r="C76" s="330"/>
      <c r="D76" s="152"/>
      <c r="E76" s="327"/>
      <c r="F76" s="151">
        <f t="shared" si="1"/>
        <v>0</v>
      </c>
    </row>
    <row r="77" spans="1:6" ht="12.75">
      <c r="A77" s="371" t="s">
        <v>329</v>
      </c>
      <c r="B77" s="309" t="s">
        <v>957</v>
      </c>
      <c r="C77" s="330"/>
      <c r="D77" s="152"/>
      <c r="E77" s="327"/>
      <c r="F77" s="156"/>
    </row>
    <row r="78" spans="1:6" ht="13.5" thickBot="1">
      <c r="A78" s="371" t="s">
        <v>330</v>
      </c>
      <c r="B78" s="230" t="s">
        <v>694</v>
      </c>
      <c r="C78" s="328"/>
      <c r="D78" s="156"/>
      <c r="E78" s="327"/>
      <c r="F78" s="325">
        <f t="shared" si="1"/>
        <v>0</v>
      </c>
    </row>
    <row r="79" spans="1:6" ht="13.5" thickBot="1">
      <c r="A79" s="615" t="s">
        <v>331</v>
      </c>
      <c r="B79" s="616" t="s">
        <v>6</v>
      </c>
      <c r="C79" s="624">
        <f>C65+C66+C67+C68+C70+C78</f>
        <v>548219</v>
      </c>
      <c r="D79" s="624">
        <f>D65+D66+D67+D68+D70+D78</f>
        <v>0</v>
      </c>
      <c r="E79" s="624">
        <f>E65+E66+E67+E68+E70+E78</f>
        <v>0</v>
      </c>
      <c r="F79" s="625">
        <f>F65+F66+F67+F68+F70+F78</f>
        <v>548219</v>
      </c>
    </row>
    <row r="80" spans="1:6" ht="6" customHeight="1" thickTop="1">
      <c r="A80" s="604"/>
      <c r="B80" s="379"/>
      <c r="C80" s="261"/>
      <c r="D80" s="261"/>
      <c r="E80" s="261"/>
      <c r="F80" s="159"/>
    </row>
    <row r="81" spans="1:6" ht="12.75">
      <c r="A81" s="372" t="s">
        <v>332</v>
      </c>
      <c r="B81" s="381" t="s">
        <v>257</v>
      </c>
      <c r="C81" s="329"/>
      <c r="D81" s="154"/>
      <c r="E81" s="329"/>
      <c r="F81" s="206"/>
    </row>
    <row r="82" spans="1:6" ht="12.75">
      <c r="A82" s="372" t="s">
        <v>333</v>
      </c>
      <c r="B82" s="228" t="s">
        <v>695</v>
      </c>
      <c r="C82" s="327">
        <f>3_sz_melléklet!C26</f>
        <v>5339</v>
      </c>
      <c r="D82" s="151"/>
      <c r="E82" s="327"/>
      <c r="F82" s="151">
        <f>SUM(C82:E82)</f>
        <v>5339</v>
      </c>
    </row>
    <row r="83" spans="1:6" ht="12.75">
      <c r="A83" s="372" t="s">
        <v>334</v>
      </c>
      <c r="B83" s="228" t="s">
        <v>696</v>
      </c>
      <c r="C83" s="327"/>
      <c r="D83" s="151"/>
      <c r="E83" s="327"/>
      <c r="F83" s="136"/>
    </row>
    <row r="84" spans="1:6" ht="12.75">
      <c r="A84" s="372" t="s">
        <v>336</v>
      </c>
      <c r="B84" s="228" t="s">
        <v>697</v>
      </c>
      <c r="C84" s="262">
        <f>C85+C86+C87</f>
        <v>0</v>
      </c>
      <c r="D84" s="262">
        <f>D85+D86+D87</f>
        <v>0</v>
      </c>
      <c r="E84" s="262">
        <f>E85+E86+E87</f>
        <v>0</v>
      </c>
      <c r="F84" s="155">
        <f>F85+F86+F87</f>
        <v>0</v>
      </c>
    </row>
    <row r="85" spans="1:6" ht="12.75">
      <c r="A85" s="372" t="s">
        <v>337</v>
      </c>
      <c r="B85" s="380" t="s">
        <v>698</v>
      </c>
      <c r="C85" s="327"/>
      <c r="D85" s="151"/>
      <c r="E85" s="327"/>
      <c r="F85" s="136"/>
    </row>
    <row r="86" spans="1:6" ht="12.75">
      <c r="A86" s="372" t="s">
        <v>338</v>
      </c>
      <c r="B86" s="380" t="s">
        <v>699</v>
      </c>
      <c r="C86" s="327"/>
      <c r="D86" s="151"/>
      <c r="E86" s="327"/>
      <c r="F86" s="136"/>
    </row>
    <row r="87" spans="1:6" ht="12.75">
      <c r="A87" s="372" t="s">
        <v>339</v>
      </c>
      <c r="B87" s="380" t="s">
        <v>700</v>
      </c>
      <c r="C87" s="327"/>
      <c r="D87" s="151"/>
      <c r="E87" s="327"/>
      <c r="F87" s="437"/>
    </row>
    <row r="88" spans="1:6" ht="12.75">
      <c r="A88" s="372" t="s">
        <v>340</v>
      </c>
      <c r="B88" s="380" t="s">
        <v>701</v>
      </c>
      <c r="C88" s="327"/>
      <c r="D88" s="151"/>
      <c r="E88" s="327"/>
      <c r="F88" s="437"/>
    </row>
    <row r="89" spans="1:6" ht="12.75">
      <c r="A89" s="372" t="s">
        <v>341</v>
      </c>
      <c r="B89" s="834" t="s">
        <v>702</v>
      </c>
      <c r="C89" s="327"/>
      <c r="D89" s="151"/>
      <c r="E89" s="327"/>
      <c r="F89" s="437"/>
    </row>
    <row r="90" spans="1:6" ht="12.75">
      <c r="A90" s="372" t="s">
        <v>342</v>
      </c>
      <c r="B90" s="309" t="s">
        <v>703</v>
      </c>
      <c r="C90" s="327"/>
      <c r="D90" s="151"/>
      <c r="E90" s="327"/>
      <c r="F90" s="437"/>
    </row>
    <row r="91" spans="1:6" ht="12.75">
      <c r="A91" s="372" t="s">
        <v>343</v>
      </c>
      <c r="B91" s="1091" t="s">
        <v>704</v>
      </c>
      <c r="C91" s="327"/>
      <c r="D91" s="151"/>
      <c r="E91" s="327"/>
      <c r="F91" s="437"/>
    </row>
    <row r="92" spans="1:6" ht="12.75">
      <c r="A92" s="372" t="s">
        <v>344</v>
      </c>
      <c r="B92" s="228"/>
      <c r="C92" s="327"/>
      <c r="D92" s="151"/>
      <c r="E92" s="327"/>
      <c r="F92" s="136"/>
    </row>
    <row r="93" spans="1:6" ht="13.5" thickBot="1">
      <c r="A93" s="372" t="s">
        <v>345</v>
      </c>
      <c r="B93" s="230"/>
      <c r="C93" s="330">
        <f>-C68</f>
        <v>0</v>
      </c>
      <c r="D93" s="330">
        <f>-D68</f>
        <v>0</v>
      </c>
      <c r="E93" s="330">
        <f>-E68</f>
        <v>0</v>
      </c>
      <c r="F93" s="152">
        <f>-F68</f>
        <v>0</v>
      </c>
    </row>
    <row r="94" spans="1:6" ht="13.5" thickBot="1">
      <c r="A94" s="615" t="s">
        <v>346</v>
      </c>
      <c r="B94" s="616" t="s">
        <v>7</v>
      </c>
      <c r="C94" s="624">
        <f>C82+C83+C84+C92+C93</f>
        <v>5339</v>
      </c>
      <c r="D94" s="624">
        <f>D82+D83+D84+D92+D93</f>
        <v>0</v>
      </c>
      <c r="E94" s="624">
        <f>E82+E83+E84+E92+E93</f>
        <v>0</v>
      </c>
      <c r="F94" s="625">
        <f>F82+F83+F84+F92+F93</f>
        <v>5339</v>
      </c>
    </row>
    <row r="95" spans="1:6" ht="27" thickBot="1" thickTop="1">
      <c r="A95" s="615" t="s">
        <v>347</v>
      </c>
      <c r="B95" s="620" t="s">
        <v>503</v>
      </c>
      <c r="C95" s="627">
        <f>C79+C94</f>
        <v>553558</v>
      </c>
      <c r="D95" s="627">
        <f>D79+D94</f>
        <v>0</v>
      </c>
      <c r="E95" s="627">
        <f>E79+E94</f>
        <v>0</v>
      </c>
      <c r="F95" s="628">
        <f>F79+F94</f>
        <v>553558</v>
      </c>
    </row>
    <row r="96" spans="1:6" ht="6" customHeight="1" thickTop="1">
      <c r="A96" s="604"/>
      <c r="B96" s="848"/>
      <c r="C96" s="267"/>
      <c r="D96" s="267"/>
      <c r="E96" s="267"/>
      <c r="F96" s="272"/>
    </row>
    <row r="97" spans="1:6" ht="12.75">
      <c r="A97" s="372" t="s">
        <v>348</v>
      </c>
      <c r="B97" s="485" t="s">
        <v>504</v>
      </c>
      <c r="C97" s="626"/>
      <c r="D97" s="154"/>
      <c r="E97" s="329"/>
      <c r="F97" s="206"/>
    </row>
    <row r="98" spans="1:6" ht="12.75">
      <c r="A98" s="371" t="s">
        <v>349</v>
      </c>
      <c r="B98" s="229" t="s">
        <v>726</v>
      </c>
      <c r="C98" s="332"/>
      <c r="D98" s="151"/>
      <c r="E98" s="327"/>
      <c r="F98" s="136"/>
    </row>
    <row r="99" spans="1:6" ht="12.75">
      <c r="A99" s="371" t="s">
        <v>350</v>
      </c>
      <c r="B99" s="697" t="s">
        <v>724</v>
      </c>
      <c r="C99" s="841"/>
      <c r="D99" s="156"/>
      <c r="E99" s="328"/>
      <c r="F99" s="324"/>
    </row>
    <row r="100" spans="1:6" ht="12.75">
      <c r="A100" s="371" t="s">
        <v>351</v>
      </c>
      <c r="B100" s="697" t="s">
        <v>723</v>
      </c>
      <c r="C100" s="841"/>
      <c r="D100" s="156"/>
      <c r="E100" s="328"/>
      <c r="F100" s="324"/>
    </row>
    <row r="101" spans="1:6" ht="12.75">
      <c r="A101" s="371" t="s">
        <v>352</v>
      </c>
      <c r="B101" s="697" t="s">
        <v>725</v>
      </c>
      <c r="C101" s="841"/>
      <c r="D101" s="156"/>
      <c r="E101" s="328"/>
      <c r="F101" s="324"/>
    </row>
    <row r="102" spans="1:6" ht="12.75">
      <c r="A102" s="371" t="s">
        <v>353</v>
      </c>
      <c r="B102" s="836" t="s">
        <v>727</v>
      </c>
      <c r="C102" s="841"/>
      <c r="D102" s="156"/>
      <c r="E102" s="328"/>
      <c r="F102" s="324"/>
    </row>
    <row r="103" spans="1:6" ht="12.75">
      <c r="A103" s="371" t="s">
        <v>354</v>
      </c>
      <c r="B103" s="837" t="s">
        <v>730</v>
      </c>
      <c r="C103" s="841"/>
      <c r="D103" s="156"/>
      <c r="E103" s="328"/>
      <c r="F103" s="324"/>
    </row>
    <row r="104" spans="1:6" ht="12.75">
      <c r="A104" s="371" t="s">
        <v>355</v>
      </c>
      <c r="B104" s="838" t="s">
        <v>729</v>
      </c>
      <c r="C104" s="841"/>
      <c r="D104" s="156"/>
      <c r="E104" s="328"/>
      <c r="F104" s="324"/>
    </row>
    <row r="105" spans="1:6" ht="13.5" thickBot="1">
      <c r="A105" s="371" t="s">
        <v>356</v>
      </c>
      <c r="B105" s="382" t="s">
        <v>728</v>
      </c>
      <c r="C105" s="841"/>
      <c r="D105" s="156"/>
      <c r="E105" s="328"/>
      <c r="F105" s="324"/>
    </row>
    <row r="106" spans="1:6" ht="13.5" thickBot="1">
      <c r="A106" s="395" t="s">
        <v>357</v>
      </c>
      <c r="B106" s="315" t="s">
        <v>505</v>
      </c>
      <c r="C106" s="842"/>
      <c r="D106" s="266"/>
      <c r="E106" s="153"/>
      <c r="F106" s="662"/>
    </row>
    <row r="107" spans="1:6" ht="12.75">
      <c r="A107" s="604"/>
      <c r="B107" s="44"/>
      <c r="C107" s="854"/>
      <c r="D107" s="856"/>
      <c r="E107" s="816"/>
      <c r="F107" s="693"/>
    </row>
    <row r="108" spans="1:6" ht="13.5" thickBot="1">
      <c r="A108" s="456" t="s">
        <v>358</v>
      </c>
      <c r="B108" s="1379" t="s">
        <v>506</v>
      </c>
      <c r="C108" s="994">
        <f>C95+C106</f>
        <v>553558</v>
      </c>
      <c r="D108" s="995">
        <f>D95+D106</f>
        <v>0</v>
      </c>
      <c r="E108" s="994">
        <f>E95+E106</f>
        <v>0</v>
      </c>
      <c r="F108" s="994">
        <f>F95+F106</f>
        <v>553558</v>
      </c>
    </row>
    <row r="109" spans="1:6" ht="12.75">
      <c r="A109" s="393"/>
      <c r="B109" s="827"/>
      <c r="C109" s="695"/>
      <c r="D109" s="695"/>
      <c r="E109" s="695"/>
      <c r="F109" s="695"/>
    </row>
    <row r="110" spans="1:6" ht="12.75">
      <c r="A110" s="1675">
        <v>3</v>
      </c>
      <c r="B110" s="1675"/>
      <c r="C110" s="1675"/>
      <c r="D110" s="1675"/>
      <c r="E110" s="1675"/>
      <c r="F110" s="1675"/>
    </row>
    <row r="111" spans="1:5" ht="12.75">
      <c r="A111" s="1654" t="s">
        <v>1455</v>
      </c>
      <c r="B111" s="1654"/>
      <c r="C111" s="1654"/>
      <c r="D111" s="1654"/>
      <c r="E111" s="1654"/>
    </row>
    <row r="112" spans="1:5" ht="12.75">
      <c r="A112" s="384"/>
      <c r="B112" s="384"/>
      <c r="C112" s="384"/>
      <c r="D112" s="384"/>
      <c r="E112" s="384"/>
    </row>
    <row r="113" spans="1:6" ht="14.25">
      <c r="A113" s="1809" t="s">
        <v>1097</v>
      </c>
      <c r="B113" s="1810"/>
      <c r="C113" s="1810"/>
      <c r="D113" s="1810"/>
      <c r="E113" s="1810"/>
      <c r="F113" s="1810"/>
    </row>
    <row r="114" spans="2:5" ht="15.75">
      <c r="B114" s="21"/>
      <c r="C114" s="21"/>
      <c r="D114" s="21"/>
      <c r="E114" s="21"/>
    </row>
    <row r="115" spans="2:5" ht="15.75">
      <c r="B115" s="21" t="s">
        <v>433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399" t="s">
        <v>311</v>
      </c>
      <c r="B117" s="610" t="s">
        <v>13</v>
      </c>
      <c r="C117" s="387" t="s">
        <v>540</v>
      </c>
      <c r="D117" s="388" t="s">
        <v>541</v>
      </c>
      <c r="E117" s="387" t="s">
        <v>536</v>
      </c>
      <c r="F117" s="388" t="s">
        <v>535</v>
      </c>
    </row>
    <row r="118" spans="1:6" ht="12.75">
      <c r="A118" s="611" t="s">
        <v>312</v>
      </c>
      <c r="B118" s="612" t="s">
        <v>313</v>
      </c>
      <c r="C118" s="621" t="s">
        <v>314</v>
      </c>
      <c r="D118" s="622" t="s">
        <v>315</v>
      </c>
      <c r="E118" s="796" t="s">
        <v>335</v>
      </c>
      <c r="F118" s="797" t="s">
        <v>360</v>
      </c>
    </row>
    <row r="119" spans="1:6" ht="12.75">
      <c r="A119" s="372" t="s">
        <v>316</v>
      </c>
      <c r="B119" s="379" t="s">
        <v>256</v>
      </c>
      <c r="C119" s="327"/>
      <c r="D119" s="151"/>
      <c r="E119" s="327"/>
      <c r="F119" s="136"/>
    </row>
    <row r="120" spans="1:6" ht="12.75">
      <c r="A120" s="371" t="s">
        <v>317</v>
      </c>
      <c r="B120" s="199" t="s">
        <v>681</v>
      </c>
      <c r="C120" s="327">
        <f>3_sz_melléklet!D9</f>
        <v>292302</v>
      </c>
      <c r="D120" s="151"/>
      <c r="E120" s="327">
        <v>0</v>
      </c>
      <c r="F120" s="151">
        <f>SUM(C120:E120)</f>
        <v>292302</v>
      </c>
    </row>
    <row r="121" spans="1:6" ht="12.75">
      <c r="A121" s="371" t="s">
        <v>318</v>
      </c>
      <c r="B121" s="228" t="s">
        <v>683</v>
      </c>
      <c r="C121" s="327">
        <f>3_sz_melléklet!D10</f>
        <v>82970</v>
      </c>
      <c r="D121" s="151"/>
      <c r="E121" s="327">
        <v>0</v>
      </c>
      <c r="F121" s="151">
        <f>SUM(C121:E121)</f>
        <v>82970</v>
      </c>
    </row>
    <row r="122" spans="1:6" ht="12.75">
      <c r="A122" s="371" t="s">
        <v>319</v>
      </c>
      <c r="B122" s="228" t="s">
        <v>682</v>
      </c>
      <c r="C122" s="327">
        <f>3_sz_melléklet!D11</f>
        <v>11797</v>
      </c>
      <c r="D122" s="151"/>
      <c r="E122" s="327">
        <v>0</v>
      </c>
      <c r="F122" s="151">
        <f>SUM(C122:E122)</f>
        <v>11797</v>
      </c>
    </row>
    <row r="123" spans="1:6" ht="12.75">
      <c r="A123" s="371" t="s">
        <v>320</v>
      </c>
      <c r="B123" s="228" t="s">
        <v>684</v>
      </c>
      <c r="C123" s="327"/>
      <c r="D123" s="151"/>
      <c r="E123" s="327"/>
      <c r="F123" s="151">
        <f>SUM(C123:E123)</f>
        <v>0</v>
      </c>
    </row>
    <row r="124" spans="1:6" ht="12.75">
      <c r="A124" s="371" t="s">
        <v>321</v>
      </c>
      <c r="B124" s="228" t="s">
        <v>685</v>
      </c>
      <c r="C124" s="327"/>
      <c r="D124" s="151"/>
      <c r="E124" s="327"/>
      <c r="F124" s="151">
        <f>SUM(C124:E124)</f>
        <v>0</v>
      </c>
    </row>
    <row r="125" spans="1:6" ht="12.75">
      <c r="A125" s="371" t="s">
        <v>322</v>
      </c>
      <c r="B125" s="228" t="s">
        <v>686</v>
      </c>
      <c r="C125" s="327">
        <f>C126+C127+C128+C129+C130+C131+C132</f>
        <v>0</v>
      </c>
      <c r="D125" s="327">
        <f>D126+D127+D128+D129+D130+D131+D132</f>
        <v>0</v>
      </c>
      <c r="E125" s="327">
        <f>E126+E127+E128+E129+E130+E131+E132</f>
        <v>0</v>
      </c>
      <c r="F125" s="151">
        <f>F126+F127+F128+F129+F130+F131+F132</f>
        <v>0</v>
      </c>
    </row>
    <row r="126" spans="1:6" ht="12.75">
      <c r="A126" s="371" t="s">
        <v>323</v>
      </c>
      <c r="B126" s="228" t="s">
        <v>690</v>
      </c>
      <c r="C126" s="327">
        <v>0</v>
      </c>
      <c r="D126" s="151">
        <v>0</v>
      </c>
      <c r="E126" s="327">
        <v>0</v>
      </c>
      <c r="F126" s="151">
        <f>E126+D126+C126</f>
        <v>0</v>
      </c>
    </row>
    <row r="127" spans="1:6" ht="12.75">
      <c r="A127" s="371" t="s">
        <v>324</v>
      </c>
      <c r="B127" s="228" t="s">
        <v>691</v>
      </c>
      <c r="C127" s="327"/>
      <c r="D127" s="151"/>
      <c r="E127" s="327"/>
      <c r="F127" s="151">
        <f aca="true" t="shared" si="2" ref="F127:F133">E127+D127+C127</f>
        <v>0</v>
      </c>
    </row>
    <row r="128" spans="1:6" ht="12.75">
      <c r="A128" s="371" t="s">
        <v>325</v>
      </c>
      <c r="B128" s="228" t="s">
        <v>692</v>
      </c>
      <c r="C128" s="327"/>
      <c r="D128" s="151"/>
      <c r="E128" s="327"/>
      <c r="F128" s="151">
        <f t="shared" si="2"/>
        <v>0</v>
      </c>
    </row>
    <row r="129" spans="1:6" ht="12.75">
      <c r="A129" s="371" t="s">
        <v>326</v>
      </c>
      <c r="B129" s="380" t="s">
        <v>688</v>
      </c>
      <c r="C129" s="262"/>
      <c r="D129" s="155"/>
      <c r="E129" s="327"/>
      <c r="F129" s="151">
        <f t="shared" si="2"/>
        <v>0</v>
      </c>
    </row>
    <row r="130" spans="1:6" ht="12.75">
      <c r="A130" s="371" t="s">
        <v>327</v>
      </c>
      <c r="B130" s="834" t="s">
        <v>689</v>
      </c>
      <c r="C130" s="330"/>
      <c r="D130" s="152"/>
      <c r="E130" s="327"/>
      <c r="F130" s="151">
        <f t="shared" si="2"/>
        <v>0</v>
      </c>
    </row>
    <row r="131" spans="1:6" ht="12.75">
      <c r="A131" s="371" t="s">
        <v>328</v>
      </c>
      <c r="B131" s="835" t="s">
        <v>687</v>
      </c>
      <c r="C131" s="330"/>
      <c r="D131" s="152"/>
      <c r="E131" s="327"/>
      <c r="F131" s="151">
        <f t="shared" si="2"/>
        <v>0</v>
      </c>
    </row>
    <row r="132" spans="1:6" ht="12.75">
      <c r="A132" s="371" t="s">
        <v>329</v>
      </c>
      <c r="B132" s="309" t="s">
        <v>957</v>
      </c>
      <c r="C132" s="330"/>
      <c r="D132" s="152"/>
      <c r="E132" s="327"/>
      <c r="F132" s="156"/>
    </row>
    <row r="133" spans="1:6" ht="13.5" thickBot="1">
      <c r="A133" s="371" t="s">
        <v>330</v>
      </c>
      <c r="B133" s="230" t="s">
        <v>694</v>
      </c>
      <c r="C133" s="328"/>
      <c r="D133" s="156"/>
      <c r="E133" s="327"/>
      <c r="F133" s="325">
        <f t="shared" si="2"/>
        <v>0</v>
      </c>
    </row>
    <row r="134" spans="1:6" ht="13.5" thickBot="1">
      <c r="A134" s="615" t="s">
        <v>331</v>
      </c>
      <c r="B134" s="616" t="s">
        <v>6</v>
      </c>
      <c r="C134" s="624">
        <f>C120+C121+C122+C123+C125+C133</f>
        <v>387069</v>
      </c>
      <c r="D134" s="624">
        <f>D120+D121+D122+D123+D125+D133</f>
        <v>0</v>
      </c>
      <c r="E134" s="624">
        <f>E120+E121+E122+E123+E125+E133</f>
        <v>0</v>
      </c>
      <c r="F134" s="625">
        <f>F120+F121+F122+F123+F125+F133</f>
        <v>387069</v>
      </c>
    </row>
    <row r="135" spans="1:6" ht="6.75" customHeight="1" thickTop="1">
      <c r="A135" s="604"/>
      <c r="B135" s="379"/>
      <c r="C135" s="261"/>
      <c r="D135" s="261"/>
      <c r="E135" s="261"/>
      <c r="F135" s="159"/>
    </row>
    <row r="136" spans="1:6" ht="12.75">
      <c r="A136" s="372" t="s">
        <v>332</v>
      </c>
      <c r="B136" s="381" t="s">
        <v>257</v>
      </c>
      <c r="C136" s="329"/>
      <c r="D136" s="154"/>
      <c r="E136" s="329"/>
      <c r="F136" s="206"/>
    </row>
    <row r="137" spans="1:6" ht="12.75">
      <c r="A137" s="372" t="s">
        <v>333</v>
      </c>
      <c r="B137" s="228" t="s">
        <v>695</v>
      </c>
      <c r="C137" s="327">
        <f>'33_sz_ melléklet'!C54</f>
        <v>1636</v>
      </c>
      <c r="D137" s="327">
        <f>'33_sz_ melléklet'!D54</f>
        <v>0</v>
      </c>
      <c r="E137" s="327">
        <f>'33_sz_ melléklet'!E54</f>
        <v>0</v>
      </c>
      <c r="F137" s="151">
        <f>SUM(C137:E137)</f>
        <v>1636</v>
      </c>
    </row>
    <row r="138" spans="1:6" ht="12.75">
      <c r="A138" s="372" t="s">
        <v>334</v>
      </c>
      <c r="B138" s="228" t="s">
        <v>696</v>
      </c>
      <c r="C138" s="327"/>
      <c r="D138" s="151"/>
      <c r="E138" s="327"/>
      <c r="F138" s="136"/>
    </row>
    <row r="139" spans="1:6" ht="12.75">
      <c r="A139" s="372" t="s">
        <v>336</v>
      </c>
      <c r="B139" s="228" t="s">
        <v>697</v>
      </c>
      <c r="C139" s="262">
        <f>C140+C141+C142</f>
        <v>0</v>
      </c>
      <c r="D139" s="262">
        <f>D140+D141+D142</f>
        <v>0</v>
      </c>
      <c r="E139" s="262">
        <f>E140+E141+E142</f>
        <v>0</v>
      </c>
      <c r="F139" s="155">
        <f>F140+F141+F142</f>
        <v>0</v>
      </c>
    </row>
    <row r="140" spans="1:6" ht="12.75">
      <c r="A140" s="372" t="s">
        <v>337</v>
      </c>
      <c r="B140" s="380" t="s">
        <v>698</v>
      </c>
      <c r="C140" s="327"/>
      <c r="D140" s="151"/>
      <c r="E140" s="327"/>
      <c r="F140" s="136"/>
    </row>
    <row r="141" spans="1:6" ht="12.75">
      <c r="A141" s="372" t="s">
        <v>338</v>
      </c>
      <c r="B141" s="380" t="s">
        <v>699</v>
      </c>
      <c r="C141" s="327"/>
      <c r="D141" s="151"/>
      <c r="E141" s="327"/>
      <c r="F141" s="136"/>
    </row>
    <row r="142" spans="1:6" ht="12.75">
      <c r="A142" s="372" t="s">
        <v>339</v>
      </c>
      <c r="B142" s="380" t="s">
        <v>700</v>
      </c>
      <c r="C142" s="327"/>
      <c r="D142" s="151"/>
      <c r="E142" s="327"/>
      <c r="F142" s="437"/>
    </row>
    <row r="143" spans="1:6" ht="12.75">
      <c r="A143" s="372" t="s">
        <v>340</v>
      </c>
      <c r="B143" s="380" t="s">
        <v>701</v>
      </c>
      <c r="C143" s="327"/>
      <c r="D143" s="151"/>
      <c r="E143" s="327"/>
      <c r="F143" s="437"/>
    </row>
    <row r="144" spans="1:6" ht="12.75">
      <c r="A144" s="372" t="s">
        <v>341</v>
      </c>
      <c r="B144" s="834" t="s">
        <v>702</v>
      </c>
      <c r="C144" s="327"/>
      <c r="D144" s="151"/>
      <c r="E144" s="327"/>
      <c r="F144" s="437"/>
    </row>
    <row r="145" spans="1:6" ht="12.75">
      <c r="A145" s="372" t="s">
        <v>342</v>
      </c>
      <c r="B145" s="309" t="s">
        <v>703</v>
      </c>
      <c r="C145" s="327"/>
      <c r="D145" s="151"/>
      <c r="E145" s="327"/>
      <c r="F145" s="437"/>
    </row>
    <row r="146" spans="1:6" ht="12.75">
      <c r="A146" s="372" t="s">
        <v>343</v>
      </c>
      <c r="B146" s="1091" t="s">
        <v>704</v>
      </c>
      <c r="C146" s="327"/>
      <c r="D146" s="151"/>
      <c r="E146" s="327"/>
      <c r="F146" s="437"/>
    </row>
    <row r="147" spans="1:6" ht="12.75">
      <c r="A147" s="372" t="s">
        <v>344</v>
      </c>
      <c r="B147" s="228"/>
      <c r="C147" s="327"/>
      <c r="D147" s="151"/>
      <c r="E147" s="327"/>
      <c r="F147" s="136"/>
    </row>
    <row r="148" spans="1:6" ht="13.5" thickBot="1">
      <c r="A148" s="372" t="s">
        <v>345</v>
      </c>
      <c r="B148" s="230"/>
      <c r="C148" s="330">
        <f>-C123</f>
        <v>0</v>
      </c>
      <c r="D148" s="330">
        <f>-D123</f>
        <v>0</v>
      </c>
      <c r="E148" s="330">
        <f>-E123</f>
        <v>0</v>
      </c>
      <c r="F148" s="152">
        <f>-F123</f>
        <v>0</v>
      </c>
    </row>
    <row r="149" spans="1:6" ht="13.5" thickBot="1">
      <c r="A149" s="615" t="s">
        <v>346</v>
      </c>
      <c r="B149" s="616" t="s">
        <v>7</v>
      </c>
      <c r="C149" s="624">
        <f>C137+C138+C139+C147+C148</f>
        <v>1636</v>
      </c>
      <c r="D149" s="624">
        <f>D137+D138+D139+D147+D148</f>
        <v>0</v>
      </c>
      <c r="E149" s="624">
        <f>E137+E138+E139+E147+E148</f>
        <v>0</v>
      </c>
      <c r="F149" s="625">
        <f>F137+F138+F139+F147+F148</f>
        <v>1636</v>
      </c>
    </row>
    <row r="150" spans="1:6" ht="27" thickBot="1" thickTop="1">
      <c r="A150" s="615" t="s">
        <v>347</v>
      </c>
      <c r="B150" s="620" t="s">
        <v>503</v>
      </c>
      <c r="C150" s="627">
        <f>C134+C149</f>
        <v>388705</v>
      </c>
      <c r="D150" s="627">
        <f>D134+D149</f>
        <v>0</v>
      </c>
      <c r="E150" s="627">
        <f>E134+E149</f>
        <v>0</v>
      </c>
      <c r="F150" s="628">
        <f>F134+F149</f>
        <v>388705</v>
      </c>
    </row>
    <row r="151" spans="1:6" ht="9.75" customHeight="1" thickTop="1">
      <c r="A151" s="604"/>
      <c r="B151" s="848"/>
      <c r="C151" s="267"/>
      <c r="D151" s="267"/>
      <c r="E151" s="267"/>
      <c r="F151" s="272"/>
    </row>
    <row r="152" spans="1:6" ht="12.75">
      <c r="A152" s="372" t="s">
        <v>348</v>
      </c>
      <c r="B152" s="485" t="s">
        <v>504</v>
      </c>
      <c r="C152" s="626"/>
      <c r="D152" s="154"/>
      <c r="E152" s="329"/>
      <c r="F152" s="206"/>
    </row>
    <row r="153" spans="1:6" ht="12.75">
      <c r="A153" s="371" t="s">
        <v>349</v>
      </c>
      <c r="B153" s="229" t="s">
        <v>726</v>
      </c>
      <c r="C153" s="332"/>
      <c r="D153" s="151"/>
      <c r="E153" s="327"/>
      <c r="F153" s="136"/>
    </row>
    <row r="154" spans="1:6" ht="12.75">
      <c r="A154" s="371" t="s">
        <v>350</v>
      </c>
      <c r="B154" s="697" t="s">
        <v>724</v>
      </c>
      <c r="C154" s="841"/>
      <c r="D154" s="156"/>
      <c r="E154" s="328"/>
      <c r="F154" s="324"/>
    </row>
    <row r="155" spans="1:6" ht="12.75">
      <c r="A155" s="371" t="s">
        <v>351</v>
      </c>
      <c r="B155" s="697" t="s">
        <v>723</v>
      </c>
      <c r="C155" s="841"/>
      <c r="D155" s="156"/>
      <c r="E155" s="328"/>
      <c r="F155" s="324"/>
    </row>
    <row r="156" spans="1:6" ht="12.75">
      <c r="A156" s="371" t="s">
        <v>352</v>
      </c>
      <c r="B156" s="697" t="s">
        <v>725</v>
      </c>
      <c r="C156" s="841"/>
      <c r="D156" s="156"/>
      <c r="E156" s="328"/>
      <c r="F156" s="324"/>
    </row>
    <row r="157" spans="1:6" ht="12.75">
      <c r="A157" s="371" t="s">
        <v>353</v>
      </c>
      <c r="B157" s="836" t="s">
        <v>727</v>
      </c>
      <c r="C157" s="841"/>
      <c r="D157" s="156"/>
      <c r="E157" s="328"/>
      <c r="F157" s="324"/>
    </row>
    <row r="158" spans="1:6" ht="12.75">
      <c r="A158" s="371" t="s">
        <v>354</v>
      </c>
      <c r="B158" s="837" t="s">
        <v>730</v>
      </c>
      <c r="C158" s="841"/>
      <c r="D158" s="156"/>
      <c r="E158" s="328"/>
      <c r="F158" s="324"/>
    </row>
    <row r="159" spans="1:6" ht="12.75">
      <c r="A159" s="371" t="s">
        <v>355</v>
      </c>
      <c r="B159" s="838" t="s">
        <v>729</v>
      </c>
      <c r="C159" s="841"/>
      <c r="D159" s="156"/>
      <c r="E159" s="328"/>
      <c r="F159" s="324"/>
    </row>
    <row r="160" spans="1:6" ht="13.5" thickBot="1">
      <c r="A160" s="371" t="s">
        <v>356</v>
      </c>
      <c r="B160" s="382" t="s">
        <v>728</v>
      </c>
      <c r="C160" s="841"/>
      <c r="D160" s="156"/>
      <c r="E160" s="328"/>
      <c r="F160" s="324"/>
    </row>
    <row r="161" spans="1:6" ht="13.5" thickBot="1">
      <c r="A161" s="395" t="s">
        <v>357</v>
      </c>
      <c r="B161" s="315" t="s">
        <v>505</v>
      </c>
      <c r="C161" s="842"/>
      <c r="D161" s="266"/>
      <c r="E161" s="153"/>
      <c r="F161" s="662"/>
    </row>
    <row r="162" spans="1:6" ht="12.75">
      <c r="A162" s="604"/>
      <c r="B162" s="44"/>
      <c r="C162" s="854"/>
      <c r="D162" s="856"/>
      <c r="E162" s="816"/>
      <c r="F162" s="693"/>
    </row>
    <row r="163" spans="1:6" ht="13.5" thickBot="1">
      <c r="A163" s="456" t="s">
        <v>358</v>
      </c>
      <c r="B163" s="1379" t="s">
        <v>506</v>
      </c>
      <c r="C163" s="994">
        <f>C150+C161</f>
        <v>388705</v>
      </c>
      <c r="D163" s="995">
        <f>D150+D161</f>
        <v>0</v>
      </c>
      <c r="E163" s="994">
        <f>E150+E161</f>
        <v>0</v>
      </c>
      <c r="F163" s="994">
        <f>F150+F161</f>
        <v>388705</v>
      </c>
    </row>
    <row r="164" spans="1:6" ht="12.75">
      <c r="A164" s="393"/>
      <c r="B164" s="827"/>
      <c r="C164" s="695"/>
      <c r="D164" s="695"/>
      <c r="E164" s="695"/>
      <c r="F164" s="695"/>
    </row>
    <row r="165" spans="1:6" ht="12.75">
      <c r="A165" s="1675">
        <v>4</v>
      </c>
      <c r="B165" s="1675"/>
      <c r="C165" s="1675"/>
      <c r="D165" s="1675"/>
      <c r="E165" s="1675"/>
      <c r="F165" s="1675"/>
    </row>
    <row r="166" spans="1:5" ht="12.75">
      <c r="A166" s="1654" t="s">
        <v>1455</v>
      </c>
      <c r="B166" s="1654"/>
      <c r="C166" s="1654"/>
      <c r="D166" s="1654"/>
      <c r="E166" s="1654"/>
    </row>
    <row r="167" spans="1:6" ht="14.25">
      <c r="A167" s="1809" t="s">
        <v>1097</v>
      </c>
      <c r="B167" s="1810"/>
      <c r="C167" s="1810"/>
      <c r="D167" s="1810"/>
      <c r="E167" s="1810"/>
      <c r="F167" s="1810"/>
    </row>
    <row r="168" spans="2:5" ht="9.75" customHeight="1">
      <c r="B168" s="21"/>
      <c r="C168" s="21"/>
      <c r="D168" s="21"/>
      <c r="E168" s="21"/>
    </row>
    <row r="169" spans="2:5" ht="15.75">
      <c r="B169" s="21" t="s">
        <v>405</v>
      </c>
      <c r="C169" s="21"/>
      <c r="D169" s="21"/>
      <c r="E169" s="21"/>
    </row>
    <row r="170" spans="2:5" ht="13.5" thickBot="1">
      <c r="B170" s="1"/>
      <c r="C170" s="1"/>
      <c r="D170" s="1"/>
      <c r="E170" s="22" t="s">
        <v>8</v>
      </c>
    </row>
    <row r="171" spans="1:6" ht="60.75" thickBot="1">
      <c r="A171" s="399" t="s">
        <v>311</v>
      </c>
      <c r="B171" s="610" t="s">
        <v>13</v>
      </c>
      <c r="C171" s="387" t="s">
        <v>543</v>
      </c>
      <c r="D171" s="388" t="s">
        <v>541</v>
      </c>
      <c r="E171" s="387" t="s">
        <v>959</v>
      </c>
      <c r="F171" s="388" t="s">
        <v>535</v>
      </c>
    </row>
    <row r="172" spans="1:6" ht="12.75">
      <c r="A172" s="611" t="s">
        <v>312</v>
      </c>
      <c r="B172" s="612" t="s">
        <v>313</v>
      </c>
      <c r="C172" s="621" t="s">
        <v>314</v>
      </c>
      <c r="D172" s="622" t="s">
        <v>315</v>
      </c>
      <c r="E172" s="796" t="s">
        <v>335</v>
      </c>
      <c r="F172" s="797" t="s">
        <v>360</v>
      </c>
    </row>
    <row r="173" spans="1:6" ht="12.75">
      <c r="A173" s="372" t="s">
        <v>316</v>
      </c>
      <c r="B173" s="379" t="s">
        <v>256</v>
      </c>
      <c r="C173" s="327"/>
      <c r="D173" s="151"/>
      <c r="E173" s="327"/>
      <c r="F173" s="136"/>
    </row>
    <row r="174" spans="1:6" ht="12.75">
      <c r="A174" s="371" t="s">
        <v>317</v>
      </c>
      <c r="B174" s="199" t="s">
        <v>681</v>
      </c>
      <c r="C174" s="327">
        <f aca="true" t="shared" si="3" ref="C174:E178">C120+C65+C10</f>
        <v>483436</v>
      </c>
      <c r="D174" s="327">
        <f t="shared" si="3"/>
        <v>170633</v>
      </c>
      <c r="E174" s="327">
        <f t="shared" si="3"/>
        <v>0</v>
      </c>
      <c r="F174" s="151">
        <f>SUM(C174:E174)</f>
        <v>654069</v>
      </c>
    </row>
    <row r="175" spans="1:6" ht="12.75">
      <c r="A175" s="371" t="s">
        <v>318</v>
      </c>
      <c r="B175" s="228" t="s">
        <v>683</v>
      </c>
      <c r="C175" s="327">
        <f t="shared" si="3"/>
        <v>139751</v>
      </c>
      <c r="D175" s="327">
        <f t="shared" si="3"/>
        <v>46232</v>
      </c>
      <c r="E175" s="327">
        <f t="shared" si="3"/>
        <v>0</v>
      </c>
      <c r="F175" s="151">
        <f>SUM(C175:E175)</f>
        <v>185983</v>
      </c>
    </row>
    <row r="176" spans="1:6" ht="12.75">
      <c r="A176" s="371" t="s">
        <v>319</v>
      </c>
      <c r="B176" s="228" t="s">
        <v>682</v>
      </c>
      <c r="C176" s="327">
        <f t="shared" si="3"/>
        <v>346486</v>
      </c>
      <c r="D176" s="327">
        <f t="shared" si="3"/>
        <v>125466</v>
      </c>
      <c r="E176" s="327">
        <f t="shared" si="3"/>
        <v>0</v>
      </c>
      <c r="F176" s="151">
        <f>SUM(C176:E176)</f>
        <v>471952</v>
      </c>
    </row>
    <row r="177" spans="1:6" ht="12.75">
      <c r="A177" s="371" t="s">
        <v>320</v>
      </c>
      <c r="B177" s="228" t="s">
        <v>684</v>
      </c>
      <c r="C177" s="327">
        <f t="shared" si="3"/>
        <v>0</v>
      </c>
      <c r="D177" s="327">
        <f t="shared" si="3"/>
        <v>0</v>
      </c>
      <c r="E177" s="327">
        <f t="shared" si="3"/>
        <v>0</v>
      </c>
      <c r="F177" s="151">
        <f>SUM(C177:E177)</f>
        <v>0</v>
      </c>
    </row>
    <row r="178" spans="1:6" ht="12.75">
      <c r="A178" s="371" t="s">
        <v>321</v>
      </c>
      <c r="B178" s="228" t="s">
        <v>685</v>
      </c>
      <c r="C178" s="327">
        <f t="shared" si="3"/>
        <v>0</v>
      </c>
      <c r="D178" s="327">
        <f t="shared" si="3"/>
        <v>0</v>
      </c>
      <c r="E178" s="327">
        <f t="shared" si="3"/>
        <v>0</v>
      </c>
      <c r="F178" s="151">
        <f>SUM(C178:E178)</f>
        <v>0</v>
      </c>
    </row>
    <row r="179" spans="1:6" ht="12.75">
      <c r="A179" s="371" t="s">
        <v>322</v>
      </c>
      <c r="B179" s="228" t="s">
        <v>686</v>
      </c>
      <c r="C179" s="327">
        <f>C180+C181+C182+C183+C184+C185+C186</f>
        <v>1317</v>
      </c>
      <c r="D179" s="327">
        <f>D180+D181+D182+D183+D184+D185+D186</f>
        <v>12621</v>
      </c>
      <c r="E179" s="327">
        <f>E180+E181+E182+E183+E184+E185+E186</f>
        <v>0</v>
      </c>
      <c r="F179" s="151">
        <f>F180+F181+F182+F183+F184+F185+F186</f>
        <v>13938</v>
      </c>
    </row>
    <row r="180" spans="1:6" ht="12.75">
      <c r="A180" s="371" t="s">
        <v>323</v>
      </c>
      <c r="B180" s="228" t="s">
        <v>690</v>
      </c>
      <c r="C180" s="327">
        <v>0</v>
      </c>
      <c r="D180" s="151">
        <v>0</v>
      </c>
      <c r="E180" s="327">
        <v>0</v>
      </c>
      <c r="F180" s="151">
        <f aca="true" t="shared" si="4" ref="F180:F187">E180+D180+C180</f>
        <v>0</v>
      </c>
    </row>
    <row r="181" spans="1:6" ht="12.75">
      <c r="A181" s="371" t="s">
        <v>324</v>
      </c>
      <c r="B181" s="228" t="s">
        <v>691</v>
      </c>
      <c r="C181" s="327">
        <f aca="true" t="shared" si="5" ref="C181:E185">C127+C72+C17</f>
        <v>0</v>
      </c>
      <c r="D181" s="327">
        <f t="shared" si="5"/>
        <v>0</v>
      </c>
      <c r="E181" s="327">
        <f t="shared" si="5"/>
        <v>0</v>
      </c>
      <c r="F181" s="151">
        <f t="shared" si="4"/>
        <v>0</v>
      </c>
    </row>
    <row r="182" spans="1:6" ht="12.75">
      <c r="A182" s="371" t="s">
        <v>325</v>
      </c>
      <c r="B182" s="228" t="s">
        <v>692</v>
      </c>
      <c r="C182" s="327">
        <f t="shared" si="5"/>
        <v>1317</v>
      </c>
      <c r="D182" s="327">
        <f t="shared" si="5"/>
        <v>12621</v>
      </c>
      <c r="E182" s="327">
        <f t="shared" si="5"/>
        <v>0</v>
      </c>
      <c r="F182" s="151">
        <f t="shared" si="4"/>
        <v>13938</v>
      </c>
    </row>
    <row r="183" spans="1:6" ht="12.75">
      <c r="A183" s="371" t="s">
        <v>326</v>
      </c>
      <c r="B183" s="380" t="s">
        <v>688</v>
      </c>
      <c r="C183" s="327">
        <f t="shared" si="5"/>
        <v>0</v>
      </c>
      <c r="D183" s="327">
        <f t="shared" si="5"/>
        <v>0</v>
      </c>
      <c r="E183" s="327">
        <f t="shared" si="5"/>
        <v>0</v>
      </c>
      <c r="F183" s="151">
        <f t="shared" si="4"/>
        <v>0</v>
      </c>
    </row>
    <row r="184" spans="1:6" ht="12.75">
      <c r="A184" s="371" t="s">
        <v>327</v>
      </c>
      <c r="B184" s="834" t="s">
        <v>689</v>
      </c>
      <c r="C184" s="327">
        <f t="shared" si="5"/>
        <v>0</v>
      </c>
      <c r="D184" s="327">
        <f t="shared" si="5"/>
        <v>0</v>
      </c>
      <c r="E184" s="327">
        <f t="shared" si="5"/>
        <v>0</v>
      </c>
      <c r="F184" s="151">
        <f t="shared" si="4"/>
        <v>0</v>
      </c>
    </row>
    <row r="185" spans="1:6" ht="12.75">
      <c r="A185" s="371" t="s">
        <v>328</v>
      </c>
      <c r="B185" s="835" t="s">
        <v>687</v>
      </c>
      <c r="C185" s="327">
        <f t="shared" si="5"/>
        <v>0</v>
      </c>
      <c r="D185" s="327">
        <f t="shared" si="5"/>
        <v>0</v>
      </c>
      <c r="E185" s="327">
        <f t="shared" si="5"/>
        <v>0</v>
      </c>
      <c r="F185" s="151">
        <f t="shared" si="4"/>
        <v>0</v>
      </c>
    </row>
    <row r="186" spans="1:6" ht="12.75">
      <c r="A186" s="371" t="s">
        <v>329</v>
      </c>
      <c r="B186" s="309" t="s">
        <v>957</v>
      </c>
      <c r="C186" s="327"/>
      <c r="D186" s="327"/>
      <c r="E186" s="327"/>
      <c r="F186" s="156"/>
    </row>
    <row r="187" spans="1:6" ht="13.5" thickBot="1">
      <c r="A187" s="371" t="s">
        <v>330</v>
      </c>
      <c r="B187" s="230" t="s">
        <v>694</v>
      </c>
      <c r="C187" s="327">
        <f>C133+C78+C23</f>
        <v>0</v>
      </c>
      <c r="D187" s="327">
        <f>D133+D78+D23</f>
        <v>0</v>
      </c>
      <c r="E187" s="327">
        <f>E133+E78+E23</f>
        <v>0</v>
      </c>
      <c r="F187" s="325">
        <f t="shared" si="4"/>
        <v>0</v>
      </c>
    </row>
    <row r="188" spans="1:6" ht="13.5" thickBot="1">
      <c r="A188" s="615" t="s">
        <v>331</v>
      </c>
      <c r="B188" s="616" t="s">
        <v>6</v>
      </c>
      <c r="C188" s="624">
        <f>C174+C175+C176+C177+C179+C187</f>
        <v>970990</v>
      </c>
      <c r="D188" s="624">
        <f>D174+D175+D176+D177+D179+D187</f>
        <v>354952</v>
      </c>
      <c r="E188" s="624">
        <f>E174+E175+E176+E177+E179+E187</f>
        <v>0</v>
      </c>
      <c r="F188" s="625">
        <f>F174+F175+F176+F177+F179+F187</f>
        <v>1325942</v>
      </c>
    </row>
    <row r="189" spans="1:6" ht="13.5" thickTop="1">
      <c r="A189" s="604"/>
      <c r="B189" s="379"/>
      <c r="C189" s="261"/>
      <c r="D189" s="261"/>
      <c r="E189" s="261"/>
      <c r="F189" s="159"/>
    </row>
    <row r="190" spans="1:6" ht="12.75">
      <c r="A190" s="372" t="s">
        <v>332</v>
      </c>
      <c r="B190" s="381" t="s">
        <v>257</v>
      </c>
      <c r="C190" s="329"/>
      <c r="D190" s="154"/>
      <c r="E190" s="329"/>
      <c r="F190" s="206"/>
    </row>
    <row r="191" spans="1:6" ht="12.75">
      <c r="A191" s="372" t="s">
        <v>333</v>
      </c>
      <c r="B191" s="228" t="s">
        <v>695</v>
      </c>
      <c r="C191" s="327">
        <f aca="true" t="shared" si="6" ref="C191:E192">C137+C82+C27</f>
        <v>6975</v>
      </c>
      <c r="D191" s="327">
        <f t="shared" si="6"/>
        <v>2515</v>
      </c>
      <c r="E191" s="327">
        <f t="shared" si="6"/>
        <v>0</v>
      </c>
      <c r="F191" s="151">
        <f>SUM(C191:E191)</f>
        <v>9490</v>
      </c>
    </row>
    <row r="192" spans="1:6" ht="12.75">
      <c r="A192" s="372" t="s">
        <v>334</v>
      </c>
      <c r="B192" s="228" t="s">
        <v>696</v>
      </c>
      <c r="C192" s="327">
        <f t="shared" si="6"/>
        <v>0</v>
      </c>
      <c r="D192" s="327">
        <f t="shared" si="6"/>
        <v>0</v>
      </c>
      <c r="E192" s="327">
        <f t="shared" si="6"/>
        <v>0</v>
      </c>
      <c r="F192" s="151">
        <f>SUM(C192:E192)</f>
        <v>0</v>
      </c>
    </row>
    <row r="193" spans="1:6" ht="12.75">
      <c r="A193" s="372" t="s">
        <v>336</v>
      </c>
      <c r="B193" s="228" t="s">
        <v>697</v>
      </c>
      <c r="C193" s="262">
        <f>C194+C195+C196</f>
        <v>0</v>
      </c>
      <c r="D193" s="262">
        <f>D194+D195+D196</f>
        <v>0</v>
      </c>
      <c r="E193" s="262">
        <f>E194+E195+E196</f>
        <v>0</v>
      </c>
      <c r="F193" s="155">
        <f>F194+F195+F196</f>
        <v>0</v>
      </c>
    </row>
    <row r="194" spans="1:6" ht="12.75">
      <c r="A194" s="372" t="s">
        <v>337</v>
      </c>
      <c r="B194" s="380" t="s">
        <v>698</v>
      </c>
      <c r="C194" s="327">
        <f aca="true" t="shared" si="7" ref="C194:E201">C140+C85+C30</f>
        <v>0</v>
      </c>
      <c r="D194" s="327">
        <f t="shared" si="7"/>
        <v>0</v>
      </c>
      <c r="E194" s="327">
        <f t="shared" si="7"/>
        <v>0</v>
      </c>
      <c r="F194" s="151">
        <f>SUM(C194:E194)</f>
        <v>0</v>
      </c>
    </row>
    <row r="195" spans="1:6" ht="12.75">
      <c r="A195" s="372" t="s">
        <v>338</v>
      </c>
      <c r="B195" s="380" t="s">
        <v>699</v>
      </c>
      <c r="C195" s="327">
        <f t="shared" si="7"/>
        <v>0</v>
      </c>
      <c r="D195" s="327">
        <f t="shared" si="7"/>
        <v>0</v>
      </c>
      <c r="E195" s="327">
        <f t="shared" si="7"/>
        <v>0</v>
      </c>
      <c r="F195" s="151">
        <f aca="true" t="shared" si="8" ref="F195:F201">SUM(C195:E195)</f>
        <v>0</v>
      </c>
    </row>
    <row r="196" spans="1:6" ht="12.75">
      <c r="A196" s="372" t="s">
        <v>339</v>
      </c>
      <c r="B196" s="380" t="s">
        <v>700</v>
      </c>
      <c r="C196" s="327">
        <f t="shared" si="7"/>
        <v>0</v>
      </c>
      <c r="D196" s="327">
        <f t="shared" si="7"/>
        <v>0</v>
      </c>
      <c r="E196" s="327">
        <f t="shared" si="7"/>
        <v>0</v>
      </c>
      <c r="F196" s="151">
        <f t="shared" si="8"/>
        <v>0</v>
      </c>
    </row>
    <row r="197" spans="1:6" ht="12.75">
      <c r="A197" s="372" t="s">
        <v>340</v>
      </c>
      <c r="B197" s="380" t="s">
        <v>701</v>
      </c>
      <c r="C197" s="327">
        <f t="shared" si="7"/>
        <v>0</v>
      </c>
      <c r="D197" s="327">
        <f t="shared" si="7"/>
        <v>0</v>
      </c>
      <c r="E197" s="327">
        <f t="shared" si="7"/>
        <v>0</v>
      </c>
      <c r="F197" s="151">
        <f t="shared" si="8"/>
        <v>0</v>
      </c>
    </row>
    <row r="198" spans="1:6" ht="12.75">
      <c r="A198" s="372" t="s">
        <v>341</v>
      </c>
      <c r="B198" s="834" t="s">
        <v>702</v>
      </c>
      <c r="C198" s="327">
        <f t="shared" si="7"/>
        <v>0</v>
      </c>
      <c r="D198" s="327">
        <f t="shared" si="7"/>
        <v>0</v>
      </c>
      <c r="E198" s="327">
        <f t="shared" si="7"/>
        <v>0</v>
      </c>
      <c r="F198" s="151">
        <f t="shared" si="8"/>
        <v>0</v>
      </c>
    </row>
    <row r="199" spans="1:6" ht="12.75">
      <c r="A199" s="372" t="s">
        <v>342</v>
      </c>
      <c r="B199" s="309" t="s">
        <v>703</v>
      </c>
      <c r="C199" s="327">
        <f t="shared" si="7"/>
        <v>0</v>
      </c>
      <c r="D199" s="327">
        <f t="shared" si="7"/>
        <v>0</v>
      </c>
      <c r="E199" s="327">
        <f t="shared" si="7"/>
        <v>0</v>
      </c>
      <c r="F199" s="151">
        <f t="shared" si="8"/>
        <v>0</v>
      </c>
    </row>
    <row r="200" spans="1:6" ht="12.75">
      <c r="A200" s="372" t="s">
        <v>343</v>
      </c>
      <c r="B200" s="1091" t="s">
        <v>704</v>
      </c>
      <c r="C200" s="327">
        <f t="shared" si="7"/>
        <v>0</v>
      </c>
      <c r="D200" s="327">
        <f t="shared" si="7"/>
        <v>0</v>
      </c>
      <c r="E200" s="327">
        <f t="shared" si="7"/>
        <v>0</v>
      </c>
      <c r="F200" s="151">
        <f t="shared" si="8"/>
        <v>0</v>
      </c>
    </row>
    <row r="201" spans="1:6" ht="12.75">
      <c r="A201" s="372" t="s">
        <v>344</v>
      </c>
      <c r="B201" s="228"/>
      <c r="C201" s="327">
        <f t="shared" si="7"/>
        <v>0</v>
      </c>
      <c r="D201" s="327">
        <f t="shared" si="7"/>
        <v>0</v>
      </c>
      <c r="E201" s="327">
        <f t="shared" si="7"/>
        <v>0</v>
      </c>
      <c r="F201" s="151">
        <f t="shared" si="8"/>
        <v>0</v>
      </c>
    </row>
    <row r="202" spans="1:6" ht="13.5" thickBot="1">
      <c r="A202" s="372" t="s">
        <v>345</v>
      </c>
      <c r="B202" s="230"/>
      <c r="C202" s="330">
        <f>-C177</f>
        <v>0</v>
      </c>
      <c r="D202" s="330">
        <f>-D177</f>
        <v>0</v>
      </c>
      <c r="E202" s="330">
        <f>-E177</f>
        <v>0</v>
      </c>
      <c r="F202" s="152">
        <f>-F177</f>
        <v>0</v>
      </c>
    </row>
    <row r="203" spans="1:6" ht="13.5" thickBot="1">
      <c r="A203" s="615" t="s">
        <v>346</v>
      </c>
      <c r="B203" s="616" t="s">
        <v>7</v>
      </c>
      <c r="C203" s="624">
        <f>C191+C192+C193+C201+C202</f>
        <v>6975</v>
      </c>
      <c r="D203" s="624">
        <f>D191+D192+D193+D201+D202</f>
        <v>2515</v>
      </c>
      <c r="E203" s="624">
        <f>E191+E192+E193+E201+E202</f>
        <v>0</v>
      </c>
      <c r="F203" s="625">
        <f>F191+F192+F193+F201+F202</f>
        <v>9490</v>
      </c>
    </row>
    <row r="204" spans="1:6" ht="27" thickBot="1" thickTop="1">
      <c r="A204" s="615" t="s">
        <v>347</v>
      </c>
      <c r="B204" s="620" t="s">
        <v>503</v>
      </c>
      <c r="C204" s="627">
        <f>C188+C203</f>
        <v>977965</v>
      </c>
      <c r="D204" s="627">
        <f>D188+D203</f>
        <v>357467</v>
      </c>
      <c r="E204" s="627">
        <f>E188+E203</f>
        <v>0</v>
      </c>
      <c r="F204" s="628">
        <f>F188+F203</f>
        <v>1335432</v>
      </c>
    </row>
    <row r="205" spans="1:6" ht="13.5" thickTop="1">
      <c r="A205" s="604"/>
      <c r="B205" s="848"/>
      <c r="C205" s="267"/>
      <c r="D205" s="267"/>
      <c r="E205" s="267"/>
      <c r="F205" s="272"/>
    </row>
    <row r="206" spans="1:6" ht="12.75">
      <c r="A206" s="372" t="s">
        <v>348</v>
      </c>
      <c r="B206" s="485" t="s">
        <v>504</v>
      </c>
      <c r="C206" s="626"/>
      <c r="D206" s="154"/>
      <c r="E206" s="329"/>
      <c r="F206" s="206"/>
    </row>
    <row r="207" spans="1:6" ht="12.75">
      <c r="A207" s="371" t="s">
        <v>349</v>
      </c>
      <c r="B207" s="229" t="s">
        <v>726</v>
      </c>
      <c r="C207" s="327">
        <f aca="true" t="shared" si="9" ref="C207:F214">C153+C98+C43</f>
        <v>0</v>
      </c>
      <c r="D207" s="327">
        <f t="shared" si="9"/>
        <v>0</v>
      </c>
      <c r="E207" s="327">
        <f t="shared" si="9"/>
        <v>0</v>
      </c>
      <c r="F207" s="151">
        <f t="shared" si="9"/>
        <v>0</v>
      </c>
    </row>
    <row r="208" spans="1:6" ht="12.75">
      <c r="A208" s="371" t="s">
        <v>350</v>
      </c>
      <c r="B208" s="697" t="s">
        <v>724</v>
      </c>
      <c r="C208" s="327">
        <f t="shared" si="9"/>
        <v>0</v>
      </c>
      <c r="D208" s="327">
        <f t="shared" si="9"/>
        <v>0</v>
      </c>
      <c r="E208" s="327">
        <f t="shared" si="9"/>
        <v>0</v>
      </c>
      <c r="F208" s="151">
        <f t="shared" si="9"/>
        <v>0</v>
      </c>
    </row>
    <row r="209" spans="1:6" ht="12.75">
      <c r="A209" s="371" t="s">
        <v>351</v>
      </c>
      <c r="B209" s="697" t="s">
        <v>723</v>
      </c>
      <c r="C209" s="327">
        <f t="shared" si="9"/>
        <v>0</v>
      </c>
      <c r="D209" s="327">
        <f t="shared" si="9"/>
        <v>0</v>
      </c>
      <c r="E209" s="327">
        <f t="shared" si="9"/>
        <v>0</v>
      </c>
      <c r="F209" s="151">
        <f t="shared" si="9"/>
        <v>0</v>
      </c>
    </row>
    <row r="210" spans="1:6" ht="12.75">
      <c r="A210" s="371" t="s">
        <v>352</v>
      </c>
      <c r="B210" s="697" t="s">
        <v>725</v>
      </c>
      <c r="C210" s="327">
        <f t="shared" si="9"/>
        <v>0</v>
      </c>
      <c r="D210" s="327">
        <f t="shared" si="9"/>
        <v>0</v>
      </c>
      <c r="E210" s="327">
        <f t="shared" si="9"/>
        <v>0</v>
      </c>
      <c r="F210" s="151">
        <f t="shared" si="9"/>
        <v>0</v>
      </c>
    </row>
    <row r="211" spans="1:6" ht="12.75">
      <c r="A211" s="371" t="s">
        <v>353</v>
      </c>
      <c r="B211" s="836" t="s">
        <v>727</v>
      </c>
      <c r="C211" s="327">
        <f t="shared" si="9"/>
        <v>0</v>
      </c>
      <c r="D211" s="327">
        <f t="shared" si="9"/>
        <v>0</v>
      </c>
      <c r="E211" s="327">
        <f t="shared" si="9"/>
        <v>0</v>
      </c>
      <c r="F211" s="151">
        <f t="shared" si="9"/>
        <v>0</v>
      </c>
    </row>
    <row r="212" spans="1:6" ht="12.75">
      <c r="A212" s="371" t="s">
        <v>354</v>
      </c>
      <c r="B212" s="837" t="s">
        <v>730</v>
      </c>
      <c r="C212" s="327">
        <f t="shared" si="9"/>
        <v>0</v>
      </c>
      <c r="D212" s="327">
        <f t="shared" si="9"/>
        <v>0</v>
      </c>
      <c r="E212" s="327">
        <f t="shared" si="9"/>
        <v>0</v>
      </c>
      <c r="F212" s="151">
        <f t="shared" si="9"/>
        <v>0</v>
      </c>
    </row>
    <row r="213" spans="1:6" ht="12.75">
      <c r="A213" s="371" t="s">
        <v>355</v>
      </c>
      <c r="B213" s="838" t="s">
        <v>729</v>
      </c>
      <c r="C213" s="327">
        <f t="shared" si="9"/>
        <v>0</v>
      </c>
      <c r="D213" s="327">
        <f t="shared" si="9"/>
        <v>0</v>
      </c>
      <c r="E213" s="327">
        <f t="shared" si="9"/>
        <v>0</v>
      </c>
      <c r="F213" s="151">
        <f t="shared" si="9"/>
        <v>0</v>
      </c>
    </row>
    <row r="214" spans="1:6" ht="13.5" thickBot="1">
      <c r="A214" s="371" t="s">
        <v>356</v>
      </c>
      <c r="B214" s="382" t="s">
        <v>728</v>
      </c>
      <c r="C214" s="327">
        <f t="shared" si="9"/>
        <v>0</v>
      </c>
      <c r="D214" s="327">
        <f t="shared" si="9"/>
        <v>0</v>
      </c>
      <c r="E214" s="327">
        <f t="shared" si="9"/>
        <v>0</v>
      </c>
      <c r="F214" s="151">
        <f t="shared" si="9"/>
        <v>0</v>
      </c>
    </row>
    <row r="215" spans="1:6" ht="13.5" thickBot="1">
      <c r="A215" s="395" t="s">
        <v>357</v>
      </c>
      <c r="B215" s="315" t="s">
        <v>505</v>
      </c>
      <c r="C215" s="842">
        <f>SUM(C207:C214)</f>
        <v>0</v>
      </c>
      <c r="D215" s="842">
        <f>SUM(D207:D214)</f>
        <v>0</v>
      </c>
      <c r="E215" s="842">
        <f>SUM(E207:E214)</f>
        <v>0</v>
      </c>
      <c r="F215" s="948">
        <f>SUM(F207:F214)</f>
        <v>0</v>
      </c>
    </row>
    <row r="216" spans="1:6" ht="12.75">
      <c r="A216" s="604"/>
      <c r="B216" s="44"/>
      <c r="C216" s="854"/>
      <c r="D216" s="295"/>
      <c r="E216" s="257"/>
      <c r="F216" s="168"/>
    </row>
    <row r="217" spans="1:6" ht="13.5" thickBot="1">
      <c r="A217" s="456" t="s">
        <v>358</v>
      </c>
      <c r="B217" s="1380" t="s">
        <v>506</v>
      </c>
      <c r="C217" s="994">
        <f>C204+C215</f>
        <v>977965</v>
      </c>
      <c r="D217" s="995">
        <f>D204+D215</f>
        <v>357467</v>
      </c>
      <c r="E217" s="994">
        <f>E204+E215</f>
        <v>0</v>
      </c>
      <c r="F217" s="994">
        <f>F204+F215</f>
        <v>1335432</v>
      </c>
    </row>
    <row r="218" spans="1:6" ht="12.75">
      <c r="A218" s="1675">
        <v>5</v>
      </c>
      <c r="B218" s="1675"/>
      <c r="C218" s="1675"/>
      <c r="D218" s="1675"/>
      <c r="E218" s="1675"/>
      <c r="F218" s="1675"/>
    </row>
    <row r="219" spans="1:5" ht="12.75">
      <c r="A219" s="1654" t="s">
        <v>1455</v>
      </c>
      <c r="B219" s="1654"/>
      <c r="C219" s="1654"/>
      <c r="D219" s="1654"/>
      <c r="E219" s="1654"/>
    </row>
    <row r="220" spans="1:6" ht="14.25">
      <c r="A220" s="1809" t="s">
        <v>1097</v>
      </c>
      <c r="B220" s="1810"/>
      <c r="C220" s="1810"/>
      <c r="D220" s="1810"/>
      <c r="E220" s="1810"/>
      <c r="F220" s="1810"/>
    </row>
    <row r="221" spans="2:5" ht="9.75" customHeight="1">
      <c r="B221" s="21"/>
      <c r="C221" s="21"/>
      <c r="D221" s="21"/>
      <c r="E221" s="21"/>
    </row>
    <row r="222" spans="2:5" ht="15.75">
      <c r="B222" s="21" t="s">
        <v>542</v>
      </c>
      <c r="C222" s="21"/>
      <c r="D222" s="21"/>
      <c r="E222" s="21"/>
    </row>
    <row r="223" spans="2:5" ht="13.5" thickBot="1">
      <c r="B223" s="1"/>
      <c r="C223" s="1"/>
      <c r="D223" s="1"/>
      <c r="E223" s="22" t="s">
        <v>8</v>
      </c>
    </row>
    <row r="224" spans="1:6" ht="60.75" thickBot="1">
      <c r="A224" s="399" t="s">
        <v>311</v>
      </c>
      <c r="B224" s="610" t="s">
        <v>13</v>
      </c>
      <c r="C224" s="387" t="s">
        <v>543</v>
      </c>
      <c r="D224" s="388" t="s">
        <v>541</v>
      </c>
      <c r="E224" s="387" t="s">
        <v>960</v>
      </c>
      <c r="F224" s="388" t="s">
        <v>535</v>
      </c>
    </row>
    <row r="225" spans="1:6" ht="12.75">
      <c r="A225" s="611" t="s">
        <v>312</v>
      </c>
      <c r="B225" s="612" t="s">
        <v>313</v>
      </c>
      <c r="C225" s="621" t="s">
        <v>314</v>
      </c>
      <c r="D225" s="622" t="s">
        <v>315</v>
      </c>
      <c r="E225" s="796" t="s">
        <v>335</v>
      </c>
      <c r="F225" s="797" t="s">
        <v>360</v>
      </c>
    </row>
    <row r="226" spans="1:6" ht="12.75">
      <c r="A226" s="372" t="s">
        <v>316</v>
      </c>
      <c r="B226" s="379" t="s">
        <v>256</v>
      </c>
      <c r="C226" s="327"/>
      <c r="D226" s="151"/>
      <c r="E226" s="327"/>
      <c r="F226" s="136"/>
    </row>
    <row r="227" spans="1:6" ht="12.75">
      <c r="A227" s="371" t="s">
        <v>317</v>
      </c>
      <c r="B227" s="199" t="s">
        <v>681</v>
      </c>
      <c r="C227" s="327">
        <f>189094+491+2915+1094+5737+5442-3229</f>
        <v>201544</v>
      </c>
      <c r="D227" s="151">
        <v>14639</v>
      </c>
      <c r="E227" s="327">
        <v>44135</v>
      </c>
      <c r="F227" s="151">
        <f>SUM(C227:E227)</f>
        <v>260318</v>
      </c>
    </row>
    <row r="228" spans="1:6" ht="12.75">
      <c r="A228" s="371" t="s">
        <v>318</v>
      </c>
      <c r="B228" s="228" t="s">
        <v>683</v>
      </c>
      <c r="C228" s="327">
        <f>55579+132+296+1549+840+1428+11+389</f>
        <v>60224</v>
      </c>
      <c r="D228" s="151">
        <v>4101</v>
      </c>
      <c r="E228" s="327">
        <v>12440</v>
      </c>
      <c r="F228" s="151">
        <f>SUM(C228:E228)</f>
        <v>76765</v>
      </c>
    </row>
    <row r="229" spans="1:6" ht="12.75">
      <c r="A229" s="371" t="s">
        <v>319</v>
      </c>
      <c r="B229" s="228" t="s">
        <v>682</v>
      </c>
      <c r="C229" s="327">
        <f>36948-11-32</f>
        <v>36905</v>
      </c>
      <c r="D229" s="151">
        <v>1334</v>
      </c>
      <c r="E229" s="327">
        <v>1721</v>
      </c>
      <c r="F229" s="151">
        <f>SUM(C229:E229)</f>
        <v>39960</v>
      </c>
    </row>
    <row r="230" spans="1:6" ht="12.75">
      <c r="A230" s="371" t="s">
        <v>320</v>
      </c>
      <c r="B230" s="228" t="s">
        <v>684</v>
      </c>
      <c r="C230" s="327"/>
      <c r="D230" s="151"/>
      <c r="E230" s="327"/>
      <c r="F230" s="151">
        <f>SUM(C230:E230)</f>
        <v>0</v>
      </c>
    </row>
    <row r="231" spans="1:6" ht="12.75">
      <c r="A231" s="371" t="s">
        <v>321</v>
      </c>
      <c r="B231" s="228" t="s">
        <v>685</v>
      </c>
      <c r="C231" s="327"/>
      <c r="D231" s="151"/>
      <c r="E231" s="327"/>
      <c r="F231" s="151">
        <f>SUM(C231:E231)</f>
        <v>0</v>
      </c>
    </row>
    <row r="232" spans="1:6" ht="12.75">
      <c r="A232" s="371" t="s">
        <v>322</v>
      </c>
      <c r="B232" s="228" t="s">
        <v>686</v>
      </c>
      <c r="C232" s="327">
        <f>C233+C234+C235+C236+C237+C238+C239</f>
        <v>64</v>
      </c>
      <c r="D232" s="327">
        <f>D233+D234+D235+D236+D237+D238+D239</f>
        <v>0</v>
      </c>
      <c r="E232" s="327">
        <f>E233+E234+E235+E236+E237+E238+E239</f>
        <v>0</v>
      </c>
      <c r="F232" s="151">
        <f>F233+F234+F235+F236+F237+F238+F239</f>
        <v>64</v>
      </c>
    </row>
    <row r="233" spans="1:6" ht="12.75">
      <c r="A233" s="371" t="s">
        <v>323</v>
      </c>
      <c r="B233" s="228" t="s">
        <v>690</v>
      </c>
      <c r="C233" s="327">
        <v>0</v>
      </c>
      <c r="D233" s="151">
        <v>0</v>
      </c>
      <c r="E233" s="327">
        <v>0</v>
      </c>
      <c r="F233" s="151">
        <f>E233+D233+C233</f>
        <v>0</v>
      </c>
    </row>
    <row r="234" spans="1:6" ht="12.75">
      <c r="A234" s="371" t="s">
        <v>324</v>
      </c>
      <c r="B234" s="228" t="s">
        <v>691</v>
      </c>
      <c r="C234" s="327"/>
      <c r="D234" s="151"/>
      <c r="E234" s="327"/>
      <c r="F234" s="151">
        <f aca="true" t="shared" si="10" ref="F234:F240">E234+D234+C234</f>
        <v>0</v>
      </c>
    </row>
    <row r="235" spans="1:6" ht="12.75">
      <c r="A235" s="371" t="s">
        <v>325</v>
      </c>
      <c r="B235" s="228" t="s">
        <v>692</v>
      </c>
      <c r="C235" s="327"/>
      <c r="D235" s="151"/>
      <c r="E235" s="327"/>
      <c r="F235" s="151">
        <f t="shared" si="10"/>
        <v>0</v>
      </c>
    </row>
    <row r="236" spans="1:6" ht="12.75">
      <c r="A236" s="371" t="s">
        <v>326</v>
      </c>
      <c r="B236" s="380" t="s">
        <v>688</v>
      </c>
      <c r="C236" s="327">
        <f>'6 7_sz_melléklet'!D53</f>
        <v>64</v>
      </c>
      <c r="D236" s="155"/>
      <c r="E236" s="327"/>
      <c r="F236" s="151">
        <f t="shared" si="10"/>
        <v>64</v>
      </c>
    </row>
    <row r="237" spans="1:6" ht="12.75">
      <c r="A237" s="371" t="s">
        <v>327</v>
      </c>
      <c r="B237" s="834" t="s">
        <v>689</v>
      </c>
      <c r="C237" s="330"/>
      <c r="D237" s="152"/>
      <c r="E237" s="327"/>
      <c r="F237" s="151">
        <f t="shared" si="10"/>
        <v>0</v>
      </c>
    </row>
    <row r="238" spans="1:6" ht="12.75">
      <c r="A238" s="371" t="s">
        <v>328</v>
      </c>
      <c r="B238" s="835" t="s">
        <v>687</v>
      </c>
      <c r="C238" s="330"/>
      <c r="D238" s="152"/>
      <c r="E238" s="327"/>
      <c r="F238" s="151">
        <f t="shared" si="10"/>
        <v>0</v>
      </c>
    </row>
    <row r="239" spans="1:6" ht="12.75">
      <c r="A239" s="371" t="s">
        <v>329</v>
      </c>
      <c r="B239" s="309" t="s">
        <v>957</v>
      </c>
      <c r="C239" s="330"/>
      <c r="D239" s="152"/>
      <c r="E239" s="327"/>
      <c r="F239" s="156"/>
    </row>
    <row r="240" spans="1:6" ht="13.5" thickBot="1">
      <c r="A240" s="371" t="s">
        <v>330</v>
      </c>
      <c r="B240" s="230" t="s">
        <v>694</v>
      </c>
      <c r="C240" s="328">
        <f>' 8 10 sz. melléklet'!D27</f>
        <v>0</v>
      </c>
      <c r="D240" s="156"/>
      <c r="E240" s="327"/>
      <c r="F240" s="325">
        <f t="shared" si="10"/>
        <v>0</v>
      </c>
    </row>
    <row r="241" spans="1:6" ht="13.5" thickBot="1">
      <c r="A241" s="615" t="s">
        <v>331</v>
      </c>
      <c r="B241" s="616" t="s">
        <v>6</v>
      </c>
      <c r="C241" s="624">
        <f>C227+C228+C229+C230+C232+C240</f>
        <v>298737</v>
      </c>
      <c r="D241" s="624">
        <f>D227+D228+D229+D230+D232+D240</f>
        <v>20074</v>
      </c>
      <c r="E241" s="624">
        <f>E227+E228+E229+E230+E232+E240</f>
        <v>58296</v>
      </c>
      <c r="F241" s="625">
        <f>F227+F228+F229+F230+F232+F240</f>
        <v>377107</v>
      </c>
    </row>
    <row r="242" spans="1:6" ht="13.5" thickTop="1">
      <c r="A242" s="604"/>
      <c r="B242" s="379"/>
      <c r="C242" s="261"/>
      <c r="D242" s="261"/>
      <c r="E242" s="261"/>
      <c r="F242" s="159"/>
    </row>
    <row r="243" spans="1:6" ht="12.75">
      <c r="A243" s="372" t="s">
        <v>332</v>
      </c>
      <c r="B243" s="381" t="s">
        <v>257</v>
      </c>
      <c r="C243" s="329"/>
      <c r="D243" s="154"/>
      <c r="E243" s="329"/>
      <c r="F243" s="206"/>
    </row>
    <row r="244" spans="1:6" ht="12.75">
      <c r="A244" s="372" t="s">
        <v>333</v>
      </c>
      <c r="B244" s="228" t="s">
        <v>695</v>
      </c>
      <c r="C244" s="327">
        <v>32</v>
      </c>
      <c r="D244" s="151"/>
      <c r="E244" s="327"/>
      <c r="F244" s="151">
        <f>SUM(C244:E244)</f>
        <v>32</v>
      </c>
    </row>
    <row r="245" spans="1:6" ht="12.75">
      <c r="A245" s="372" t="s">
        <v>334</v>
      </c>
      <c r="B245" s="228" t="s">
        <v>696</v>
      </c>
      <c r="C245" s="327"/>
      <c r="D245" s="151"/>
      <c r="E245" s="327"/>
      <c r="F245" s="136"/>
    </row>
    <row r="246" spans="1:6" ht="12.75">
      <c r="A246" s="372" t="s">
        <v>336</v>
      </c>
      <c r="B246" s="228" t="s">
        <v>697</v>
      </c>
      <c r="C246" s="327">
        <f>C247+C248+C249+C250+C251+C252</f>
        <v>0</v>
      </c>
      <c r="D246" s="327">
        <f>D247+D248+D249+D250+D251+D252</f>
        <v>2400</v>
      </c>
      <c r="E246" s="327">
        <f>E247+E248+E249+E250+E251+E252</f>
        <v>0</v>
      </c>
      <c r="F246" s="151">
        <f>SUM(C246:E246)</f>
        <v>2400</v>
      </c>
    </row>
    <row r="247" spans="1:6" ht="12.75">
      <c r="A247" s="372" t="s">
        <v>337</v>
      </c>
      <c r="B247" s="380" t="s">
        <v>698</v>
      </c>
      <c r="C247" s="327"/>
      <c r="D247" s="151"/>
      <c r="E247" s="327"/>
      <c r="F247" s="136"/>
    </row>
    <row r="248" spans="1:6" ht="12.75">
      <c r="A248" s="372" t="s">
        <v>338</v>
      </c>
      <c r="B248" s="380" t="s">
        <v>699</v>
      </c>
      <c r="C248" s="327"/>
      <c r="D248" s="151"/>
      <c r="E248" s="327"/>
      <c r="F248" s="136"/>
    </row>
    <row r="249" spans="1:6" ht="12.75">
      <c r="A249" s="372" t="s">
        <v>339</v>
      </c>
      <c r="B249" s="380" t="s">
        <v>700</v>
      </c>
      <c r="C249" s="327"/>
      <c r="D249" s="151"/>
      <c r="E249" s="327"/>
      <c r="F249" s="437"/>
    </row>
    <row r="250" spans="1:6" ht="12.75">
      <c r="A250" s="372" t="s">
        <v>340</v>
      </c>
      <c r="B250" s="380" t="s">
        <v>701</v>
      </c>
      <c r="C250" s="327"/>
      <c r="D250" s="151"/>
      <c r="E250" s="327"/>
      <c r="F250" s="437"/>
    </row>
    <row r="251" spans="1:6" ht="12.75">
      <c r="A251" s="372" t="s">
        <v>341</v>
      </c>
      <c r="B251" s="834" t="s">
        <v>702</v>
      </c>
      <c r="C251" s="327"/>
      <c r="D251" s="151">
        <f>5_sz_melléklet!C149</f>
        <v>2400</v>
      </c>
      <c r="E251" s="327"/>
      <c r="F251" s="151">
        <f>SUM(C251:E251)</f>
        <v>2400</v>
      </c>
    </row>
    <row r="252" spans="1:6" ht="12.75">
      <c r="A252" s="372" t="s">
        <v>342</v>
      </c>
      <c r="B252" s="309" t="s">
        <v>703</v>
      </c>
      <c r="C252" s="327"/>
      <c r="D252" s="151"/>
      <c r="E252" s="327"/>
      <c r="F252" s="437"/>
    </row>
    <row r="253" spans="1:6" ht="12.75">
      <c r="A253" s="372" t="s">
        <v>343</v>
      </c>
      <c r="B253" s="1091" t="s">
        <v>704</v>
      </c>
      <c r="C253" s="327"/>
      <c r="D253" s="151"/>
      <c r="E253" s="327"/>
      <c r="F253" s="437"/>
    </row>
    <row r="254" spans="1:6" ht="12.75">
      <c r="A254" s="372" t="s">
        <v>344</v>
      </c>
      <c r="B254" s="228"/>
      <c r="C254" s="327"/>
      <c r="D254" s="151"/>
      <c r="E254" s="327"/>
      <c r="F254" s="136"/>
    </row>
    <row r="255" spans="1:6" ht="13.5" thickBot="1">
      <c r="A255" s="372" t="s">
        <v>345</v>
      </c>
      <c r="B255" s="230"/>
      <c r="C255" s="330">
        <f>-C230</f>
        <v>0</v>
      </c>
      <c r="D255" s="330">
        <f>-D230</f>
        <v>0</v>
      </c>
      <c r="E255" s="330">
        <f>-E230</f>
        <v>0</v>
      </c>
      <c r="F255" s="642">
        <f>-F230</f>
        <v>0</v>
      </c>
    </row>
    <row r="256" spans="1:6" ht="13.5" thickBot="1">
      <c r="A256" s="615" t="s">
        <v>346</v>
      </c>
      <c r="B256" s="616" t="s">
        <v>7</v>
      </c>
      <c r="C256" s="629">
        <f>C244+C245+C246+C254+C255</f>
        <v>32</v>
      </c>
      <c r="D256" s="629">
        <f>D244+D245+D246+D254+D255</f>
        <v>2400</v>
      </c>
      <c r="E256" s="629">
        <f>E244+E245+E246+E254+E255</f>
        <v>0</v>
      </c>
      <c r="F256" s="630">
        <f>F244+F245+F246+F254+F255</f>
        <v>2432</v>
      </c>
    </row>
    <row r="257" spans="1:6" ht="27" thickBot="1" thickTop="1">
      <c r="A257" s="615" t="s">
        <v>347</v>
      </c>
      <c r="B257" s="620" t="s">
        <v>503</v>
      </c>
      <c r="C257" s="627">
        <f>C241+C256</f>
        <v>298769</v>
      </c>
      <c r="D257" s="627">
        <f>D241+D256</f>
        <v>22474</v>
      </c>
      <c r="E257" s="627">
        <f>E241+E256</f>
        <v>58296</v>
      </c>
      <c r="F257" s="628">
        <f>F241+F256</f>
        <v>379539</v>
      </c>
    </row>
    <row r="258" spans="1:6" ht="13.5" thickTop="1">
      <c r="A258" s="604"/>
      <c r="B258" s="848"/>
      <c r="C258" s="267"/>
      <c r="D258" s="267"/>
      <c r="E258" s="267"/>
      <c r="F258" s="272"/>
    </row>
    <row r="259" spans="1:6" ht="12.75">
      <c r="A259" s="372" t="s">
        <v>348</v>
      </c>
      <c r="B259" s="485" t="s">
        <v>504</v>
      </c>
      <c r="C259" s="626"/>
      <c r="D259" s="154"/>
      <c r="E259" s="329"/>
      <c r="F259" s="206"/>
    </row>
    <row r="260" spans="1:6" ht="12.75">
      <c r="A260" s="371" t="s">
        <v>349</v>
      </c>
      <c r="B260" s="229" t="s">
        <v>726</v>
      </c>
      <c r="C260" s="332"/>
      <c r="D260" s="151"/>
      <c r="E260" s="327"/>
      <c r="F260" s="136"/>
    </row>
    <row r="261" spans="1:6" ht="12.75">
      <c r="A261" s="371" t="s">
        <v>350</v>
      </c>
      <c r="B261" s="697" t="s">
        <v>724</v>
      </c>
      <c r="C261" s="841"/>
      <c r="D261" s="156"/>
      <c r="E261" s="328"/>
      <c r="F261" s="324"/>
    </row>
    <row r="262" spans="1:6" ht="12.75">
      <c r="A262" s="371" t="s">
        <v>351</v>
      </c>
      <c r="B262" s="697" t="s">
        <v>723</v>
      </c>
      <c r="C262" s="841"/>
      <c r="D262" s="156"/>
      <c r="E262" s="328"/>
      <c r="F262" s="324"/>
    </row>
    <row r="263" spans="1:6" ht="12.75">
      <c r="A263" s="371" t="s">
        <v>352</v>
      </c>
      <c r="B263" s="697" t="s">
        <v>725</v>
      </c>
      <c r="C263" s="841"/>
      <c r="D263" s="156"/>
      <c r="E263" s="328"/>
      <c r="F263" s="324"/>
    </row>
    <row r="264" spans="1:6" ht="12.75">
      <c r="A264" s="371" t="s">
        <v>353</v>
      </c>
      <c r="B264" s="836" t="s">
        <v>727</v>
      </c>
      <c r="C264" s="841"/>
      <c r="D264" s="156"/>
      <c r="E264" s="328"/>
      <c r="F264" s="324"/>
    </row>
    <row r="265" spans="1:6" ht="12.75">
      <c r="A265" s="371" t="s">
        <v>354</v>
      </c>
      <c r="B265" s="837" t="s">
        <v>730</v>
      </c>
      <c r="C265" s="841"/>
      <c r="D265" s="156"/>
      <c r="E265" s="328"/>
      <c r="F265" s="324"/>
    </row>
    <row r="266" spans="1:6" ht="12.75">
      <c r="A266" s="371" t="s">
        <v>355</v>
      </c>
      <c r="B266" s="838" t="s">
        <v>729</v>
      </c>
      <c r="C266" s="841"/>
      <c r="D266" s="156"/>
      <c r="E266" s="328"/>
      <c r="F266" s="324"/>
    </row>
    <row r="267" spans="1:6" ht="13.5" thickBot="1">
      <c r="A267" s="371" t="s">
        <v>356</v>
      </c>
      <c r="B267" s="382" t="s">
        <v>728</v>
      </c>
      <c r="C267" s="841"/>
      <c r="D267" s="156"/>
      <c r="E267" s="328"/>
      <c r="F267" s="324"/>
    </row>
    <row r="268" spans="1:6" ht="13.5" thickBot="1">
      <c r="A268" s="395" t="s">
        <v>357</v>
      </c>
      <c r="B268" s="315" t="s">
        <v>505</v>
      </c>
      <c r="C268" s="842"/>
      <c r="D268" s="266"/>
      <c r="E268" s="153"/>
      <c r="F268" s="662"/>
    </row>
    <row r="269" spans="1:6" ht="12.75">
      <c r="A269" s="604"/>
      <c r="B269" s="44"/>
      <c r="C269" s="854"/>
      <c r="D269" s="30"/>
      <c r="E269" s="159"/>
      <c r="F269" s="852"/>
    </row>
    <row r="270" spans="1:6" ht="13.5" thickBot="1">
      <c r="A270" s="456" t="s">
        <v>358</v>
      </c>
      <c r="B270" s="1380" t="s">
        <v>506</v>
      </c>
      <c r="C270" s="994">
        <f>C257+C268</f>
        <v>298769</v>
      </c>
      <c r="D270" s="995">
        <f>D257+D268</f>
        <v>22474</v>
      </c>
      <c r="E270" s="994">
        <f>E257+E268</f>
        <v>58296</v>
      </c>
      <c r="F270" s="994">
        <f>F257+F268</f>
        <v>379539</v>
      </c>
    </row>
  </sheetData>
  <sheetProtection/>
  <mergeCells count="14">
    <mergeCell ref="A218:F218"/>
    <mergeCell ref="A219:E219"/>
    <mergeCell ref="A220:F220"/>
    <mergeCell ref="A166:E166"/>
    <mergeCell ref="A167:F167"/>
    <mergeCell ref="A55:F55"/>
    <mergeCell ref="A110:F110"/>
    <mergeCell ref="A165:F165"/>
    <mergeCell ref="A1:E1"/>
    <mergeCell ref="A3:F3"/>
    <mergeCell ref="A56:E56"/>
    <mergeCell ref="A58:F58"/>
    <mergeCell ref="A111:E111"/>
    <mergeCell ref="A113:F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97"/>
  <sheetViews>
    <sheetView zoomScalePageLayoutView="0" workbookViewId="0" topLeftCell="A1699">
      <selection activeCell="I1649" sqref="I1649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654" t="s">
        <v>1456</v>
      </c>
      <c r="B1" s="1654"/>
      <c r="C1" s="1654"/>
      <c r="D1" s="1654"/>
      <c r="E1" s="1654"/>
    </row>
    <row r="2" spans="1:5" ht="12.75">
      <c r="A2" s="384"/>
      <c r="B2" s="384"/>
      <c r="C2" s="384"/>
      <c r="D2" s="384"/>
      <c r="E2" s="384"/>
    </row>
    <row r="3" spans="1:6" ht="14.25">
      <c r="A3" s="1809" t="s">
        <v>1098</v>
      </c>
      <c r="B3" s="1810"/>
      <c r="C3" s="1810"/>
      <c r="D3" s="1810"/>
      <c r="E3" s="1810"/>
      <c r="F3" s="1810"/>
    </row>
    <row r="4" spans="2:5" ht="15.75">
      <c r="B4" s="21"/>
      <c r="C4" s="21"/>
      <c r="D4" s="21"/>
      <c r="E4" s="21"/>
    </row>
    <row r="5" spans="1:5" ht="15.75">
      <c r="A5" s="1674" t="s">
        <v>962</v>
      </c>
      <c r="B5" s="1678"/>
      <c r="C5" s="1678"/>
      <c r="D5" s="1678"/>
      <c r="E5" s="21"/>
    </row>
    <row r="6" spans="2:5" ht="13.5" thickBot="1">
      <c r="B6" s="1"/>
      <c r="C6" s="1"/>
      <c r="D6" s="1"/>
      <c r="E6" s="22" t="s">
        <v>8</v>
      </c>
    </row>
    <row r="7" spans="1:6" ht="48.75" thickBot="1">
      <c r="A7" s="399" t="s">
        <v>311</v>
      </c>
      <c r="B7" s="610" t="s">
        <v>13</v>
      </c>
      <c r="C7" s="387" t="s">
        <v>540</v>
      </c>
      <c r="D7" s="388" t="s">
        <v>541</v>
      </c>
      <c r="E7" s="387" t="s">
        <v>536</v>
      </c>
      <c r="F7" s="388" t="s">
        <v>535</v>
      </c>
    </row>
    <row r="8" spans="1:6" ht="12.75">
      <c r="A8" s="611" t="s">
        <v>312</v>
      </c>
      <c r="B8" s="612" t="s">
        <v>313</v>
      </c>
      <c r="C8" s="621" t="s">
        <v>314</v>
      </c>
      <c r="D8" s="622" t="s">
        <v>315</v>
      </c>
      <c r="E8" s="796" t="s">
        <v>335</v>
      </c>
      <c r="F8" s="797" t="s">
        <v>360</v>
      </c>
    </row>
    <row r="9" spans="1:6" ht="12.75">
      <c r="A9" s="372" t="s">
        <v>316</v>
      </c>
      <c r="B9" s="379" t="s">
        <v>256</v>
      </c>
      <c r="C9" s="327"/>
      <c r="D9" s="151"/>
      <c r="E9" s="327"/>
      <c r="F9" s="136"/>
    </row>
    <row r="10" spans="1:6" ht="12.75">
      <c r="A10" s="371" t="s">
        <v>317</v>
      </c>
      <c r="B10" s="199" t="s">
        <v>681</v>
      </c>
      <c r="C10" s="327">
        <f>'4_sz_ melléklet'!C9</f>
        <v>38192</v>
      </c>
      <c r="D10" s="151"/>
      <c r="E10" s="327"/>
      <c r="F10" s="151">
        <f>SUM(C10:E10)</f>
        <v>38192</v>
      </c>
    </row>
    <row r="11" spans="1:6" ht="12.75">
      <c r="A11" s="371" t="s">
        <v>318</v>
      </c>
      <c r="B11" s="228" t="s">
        <v>683</v>
      </c>
      <c r="C11" s="327">
        <f>'4_sz_ melléklet'!C10</f>
        <v>10609</v>
      </c>
      <c r="D11" s="151"/>
      <c r="E11" s="327"/>
      <c r="F11" s="151">
        <f>SUM(C11:E11)</f>
        <v>10609</v>
      </c>
    </row>
    <row r="12" spans="1:6" ht="12.75">
      <c r="A12" s="371" t="s">
        <v>319</v>
      </c>
      <c r="B12" s="228" t="s">
        <v>682</v>
      </c>
      <c r="C12" s="327">
        <f>'4_sz_ melléklet'!C11</f>
        <v>146003</v>
      </c>
      <c r="D12" s="151"/>
      <c r="E12" s="327"/>
      <c r="F12" s="151">
        <f>SUM(C12:E12)</f>
        <v>146003</v>
      </c>
    </row>
    <row r="13" spans="1:6" ht="12.75">
      <c r="A13" s="371" t="s">
        <v>320</v>
      </c>
      <c r="B13" s="228" t="s">
        <v>684</v>
      </c>
      <c r="C13" s="327"/>
      <c r="D13" s="151"/>
      <c r="E13" s="327"/>
      <c r="F13" s="151">
        <f>SUM(C13:E13)</f>
        <v>0</v>
      </c>
    </row>
    <row r="14" spans="1:6" ht="12.75">
      <c r="A14" s="371" t="s">
        <v>321</v>
      </c>
      <c r="B14" s="228" t="s">
        <v>685</v>
      </c>
      <c r="C14" s="327">
        <v>2463</v>
      </c>
      <c r="D14" s="151"/>
      <c r="E14" s="327"/>
      <c r="F14" s="151">
        <f>SUM(C14:E14)</f>
        <v>2463</v>
      </c>
    </row>
    <row r="15" spans="1:6" ht="12.75">
      <c r="A15" s="371" t="s">
        <v>322</v>
      </c>
      <c r="B15" s="228" t="s">
        <v>686</v>
      </c>
      <c r="C15" s="327">
        <f>C16+C17+C18+C19+C20+C21+C22</f>
        <v>13411</v>
      </c>
      <c r="D15" s="327">
        <f>D16+D17+D18+D19+D20+D21+D22</f>
        <v>0</v>
      </c>
      <c r="E15" s="327">
        <f>E16+E17+E18+E19+E20+E21+E22</f>
        <v>0</v>
      </c>
      <c r="F15" s="151">
        <f>F16+F17+F18+F19+F20+F21+F22</f>
        <v>13411</v>
      </c>
    </row>
    <row r="16" spans="1:6" ht="12.75">
      <c r="A16" s="371" t="s">
        <v>323</v>
      </c>
      <c r="B16" s="228" t="s">
        <v>690</v>
      </c>
      <c r="C16" s="327">
        <f>'4_sz_ melléklet'!C15</f>
        <v>13411</v>
      </c>
      <c r="D16" s="151">
        <v>0</v>
      </c>
      <c r="E16" s="327">
        <v>0</v>
      </c>
      <c r="F16" s="151">
        <f>E16+D16+C16</f>
        <v>13411</v>
      </c>
    </row>
    <row r="17" spans="1:6" ht="12.75">
      <c r="A17" s="371" t="s">
        <v>324</v>
      </c>
      <c r="B17" s="228" t="s">
        <v>691</v>
      </c>
      <c r="C17" s="327"/>
      <c r="D17" s="151"/>
      <c r="E17" s="327"/>
      <c r="F17" s="151">
        <f aca="true" t="shared" si="0" ref="F17:F23">E17+D17+C17</f>
        <v>0</v>
      </c>
    </row>
    <row r="18" spans="1:6" ht="12.75">
      <c r="A18" s="371" t="s">
        <v>325</v>
      </c>
      <c r="B18" s="228" t="s">
        <v>692</v>
      </c>
      <c r="C18" s="327"/>
      <c r="D18" s="151"/>
      <c r="E18" s="327"/>
      <c r="F18" s="151">
        <f t="shared" si="0"/>
        <v>0</v>
      </c>
    </row>
    <row r="19" spans="1:6" ht="12.75">
      <c r="A19" s="371" t="s">
        <v>326</v>
      </c>
      <c r="B19" s="380" t="s">
        <v>688</v>
      </c>
      <c r="C19" s="262"/>
      <c r="D19" s="155"/>
      <c r="E19" s="327"/>
      <c r="F19" s="151">
        <f t="shared" si="0"/>
        <v>0</v>
      </c>
    </row>
    <row r="20" spans="1:6" ht="12.75">
      <c r="A20" s="371" t="s">
        <v>327</v>
      </c>
      <c r="B20" s="834" t="s">
        <v>689</v>
      </c>
      <c r="C20" s="330"/>
      <c r="D20" s="152"/>
      <c r="E20" s="327"/>
      <c r="F20" s="151">
        <f t="shared" si="0"/>
        <v>0</v>
      </c>
    </row>
    <row r="21" spans="1:6" ht="12.75">
      <c r="A21" s="371" t="s">
        <v>328</v>
      </c>
      <c r="B21" s="835" t="s">
        <v>687</v>
      </c>
      <c r="C21" s="330"/>
      <c r="D21" s="152"/>
      <c r="E21" s="327"/>
      <c r="F21" s="151">
        <f t="shared" si="0"/>
        <v>0</v>
      </c>
    </row>
    <row r="22" spans="1:6" ht="12.75">
      <c r="A22" s="371" t="s">
        <v>329</v>
      </c>
      <c r="B22" s="309" t="s">
        <v>957</v>
      </c>
      <c r="C22" s="330"/>
      <c r="D22" s="152"/>
      <c r="E22" s="327"/>
      <c r="F22" s="156"/>
    </row>
    <row r="23" spans="1:6" ht="13.5" thickBot="1">
      <c r="A23" s="371" t="s">
        <v>330</v>
      </c>
      <c r="B23" s="230" t="s">
        <v>694</v>
      </c>
      <c r="C23" s="328"/>
      <c r="D23" s="156"/>
      <c r="E23" s="327"/>
      <c r="F23" s="325">
        <f t="shared" si="0"/>
        <v>0</v>
      </c>
    </row>
    <row r="24" spans="1:6" ht="13.5" thickBot="1">
      <c r="A24" s="615" t="s">
        <v>331</v>
      </c>
      <c r="B24" s="616" t="s">
        <v>6</v>
      </c>
      <c r="C24" s="624">
        <f>C10+C11+C12+C13+C15+C23</f>
        <v>208215</v>
      </c>
      <c r="D24" s="624">
        <f>D10+D11+D12+D13+D15+D23</f>
        <v>0</v>
      </c>
      <c r="E24" s="624">
        <f>E10+E11+E12+E13+E15+E23</f>
        <v>0</v>
      </c>
      <c r="F24" s="625">
        <f>F10+F11+F12+F13+F15+F23</f>
        <v>208215</v>
      </c>
    </row>
    <row r="25" spans="1:6" ht="9" customHeight="1" thickTop="1">
      <c r="A25" s="604"/>
      <c r="B25" s="379"/>
      <c r="C25" s="261"/>
      <c r="D25" s="261"/>
      <c r="E25" s="261"/>
      <c r="F25" s="159"/>
    </row>
    <row r="26" spans="1:6" ht="12.75">
      <c r="A26" s="372" t="s">
        <v>332</v>
      </c>
      <c r="B26" s="381" t="s">
        <v>257</v>
      </c>
      <c r="C26" s="329"/>
      <c r="D26" s="154"/>
      <c r="E26" s="329"/>
      <c r="F26" s="206"/>
    </row>
    <row r="27" spans="1:6" ht="12.75">
      <c r="A27" s="372" t="s">
        <v>333</v>
      </c>
      <c r="B27" s="228" t="s">
        <v>695</v>
      </c>
      <c r="C27" s="327">
        <f>'4_sz_ melléklet'!C26</f>
        <v>14221</v>
      </c>
      <c r="D27" s="151"/>
      <c r="E27" s="327"/>
      <c r="F27" s="151">
        <f>SUM(C27:E27)</f>
        <v>14221</v>
      </c>
    </row>
    <row r="28" spans="1:6" ht="12.75">
      <c r="A28" s="372" t="s">
        <v>334</v>
      </c>
      <c r="B28" s="228" t="s">
        <v>696</v>
      </c>
      <c r="C28" s="327"/>
      <c r="D28" s="151"/>
      <c r="E28" s="327"/>
      <c r="F28" s="151">
        <f>SUM(C28:E28)</f>
        <v>0</v>
      </c>
    </row>
    <row r="29" spans="1:6" ht="12.75">
      <c r="A29" s="372" t="s">
        <v>336</v>
      </c>
      <c r="B29" s="228" t="s">
        <v>697</v>
      </c>
      <c r="C29" s="262">
        <f>SUM(C30:C36)</f>
        <v>0</v>
      </c>
      <c r="D29" s="262">
        <f>SUM(D30:D36)</f>
        <v>0</v>
      </c>
      <c r="E29" s="262">
        <f>SUM(E30:E36)</f>
        <v>0</v>
      </c>
      <c r="F29" s="155">
        <f>SUM(F30:F36)</f>
        <v>0</v>
      </c>
    </row>
    <row r="30" spans="1:6" ht="12.75">
      <c r="A30" s="372" t="s">
        <v>337</v>
      </c>
      <c r="B30" s="380" t="s">
        <v>698</v>
      </c>
      <c r="C30" s="327"/>
      <c r="D30" s="151"/>
      <c r="E30" s="327"/>
      <c r="F30" s="151">
        <f>SUM(C30:E30)</f>
        <v>0</v>
      </c>
    </row>
    <row r="31" spans="1:6" ht="12.75">
      <c r="A31" s="372" t="s">
        <v>338</v>
      </c>
      <c r="B31" s="380" t="s">
        <v>699</v>
      </c>
      <c r="C31" s="327"/>
      <c r="D31" s="151"/>
      <c r="E31" s="327"/>
      <c r="F31" s="151">
        <f aca="true" t="shared" si="1" ref="F31:F37">SUM(C31:E31)</f>
        <v>0</v>
      </c>
    </row>
    <row r="32" spans="1:6" ht="12.75">
      <c r="A32" s="372" t="s">
        <v>339</v>
      </c>
      <c r="B32" s="380" t="s">
        <v>700</v>
      </c>
      <c r="C32" s="327"/>
      <c r="D32" s="151"/>
      <c r="E32" s="327"/>
      <c r="F32" s="151">
        <f t="shared" si="1"/>
        <v>0</v>
      </c>
    </row>
    <row r="33" spans="1:6" ht="12.75">
      <c r="A33" s="372" t="s">
        <v>340</v>
      </c>
      <c r="B33" s="380" t="s">
        <v>701</v>
      </c>
      <c r="C33" s="327"/>
      <c r="D33" s="151"/>
      <c r="E33" s="327"/>
      <c r="F33" s="151">
        <f t="shared" si="1"/>
        <v>0</v>
      </c>
    </row>
    <row r="34" spans="1:6" ht="12.75">
      <c r="A34" s="372" t="s">
        <v>341</v>
      </c>
      <c r="B34" s="834" t="s">
        <v>702</v>
      </c>
      <c r="C34" s="327"/>
      <c r="D34" s="151"/>
      <c r="E34" s="327"/>
      <c r="F34" s="151">
        <f t="shared" si="1"/>
        <v>0</v>
      </c>
    </row>
    <row r="35" spans="1:6" ht="12.75">
      <c r="A35" s="372" t="s">
        <v>342</v>
      </c>
      <c r="B35" s="309" t="s">
        <v>703</v>
      </c>
      <c r="C35" s="327"/>
      <c r="D35" s="151"/>
      <c r="E35" s="327"/>
      <c r="F35" s="151">
        <f t="shared" si="1"/>
        <v>0</v>
      </c>
    </row>
    <row r="36" spans="1:6" ht="12.75">
      <c r="A36" s="372" t="s">
        <v>343</v>
      </c>
      <c r="B36" s="1091" t="s">
        <v>704</v>
      </c>
      <c r="C36" s="327"/>
      <c r="D36" s="151"/>
      <c r="E36" s="327"/>
      <c r="F36" s="151">
        <f t="shared" si="1"/>
        <v>0</v>
      </c>
    </row>
    <row r="37" spans="1:6" ht="12.75">
      <c r="A37" s="372" t="s">
        <v>344</v>
      </c>
      <c r="B37" s="228"/>
      <c r="C37" s="327"/>
      <c r="D37" s="151"/>
      <c r="E37" s="327"/>
      <c r="F37" s="151">
        <f t="shared" si="1"/>
        <v>0</v>
      </c>
    </row>
    <row r="38" spans="1:6" ht="13.5" thickBot="1">
      <c r="A38" s="372" t="s">
        <v>345</v>
      </c>
      <c r="B38" s="230"/>
      <c r="C38" s="330">
        <f>-C13</f>
        <v>0</v>
      </c>
      <c r="D38" s="330">
        <f>-D13</f>
        <v>0</v>
      </c>
      <c r="E38" s="330">
        <f>-E13</f>
        <v>0</v>
      </c>
      <c r="F38" s="152">
        <f>-F13</f>
        <v>0</v>
      </c>
    </row>
    <row r="39" spans="1:6" ht="13.5" thickBot="1">
      <c r="A39" s="615" t="s">
        <v>346</v>
      </c>
      <c r="B39" s="616" t="s">
        <v>7</v>
      </c>
      <c r="C39" s="624">
        <f>C27+C28+C29+C37+C38</f>
        <v>14221</v>
      </c>
      <c r="D39" s="624">
        <f>D27+D28+D29+D37+D38</f>
        <v>0</v>
      </c>
      <c r="E39" s="624">
        <f>E27+E28+E29+E37+E38</f>
        <v>0</v>
      </c>
      <c r="F39" s="625">
        <f>F27+F28+F29+F37+F38</f>
        <v>14221</v>
      </c>
    </row>
    <row r="40" spans="1:6" ht="32.25" customHeight="1" thickBot="1" thickTop="1">
      <c r="A40" s="615" t="s">
        <v>347</v>
      </c>
      <c r="B40" s="620" t="s">
        <v>503</v>
      </c>
      <c r="C40" s="627">
        <f>C24+C39</f>
        <v>222436</v>
      </c>
      <c r="D40" s="627">
        <f>D24+D39</f>
        <v>0</v>
      </c>
      <c r="E40" s="627">
        <f>E24+E39</f>
        <v>0</v>
      </c>
      <c r="F40" s="628">
        <f>F24+F39</f>
        <v>222436</v>
      </c>
    </row>
    <row r="41" spans="1:6" ht="9.75" customHeight="1" thickTop="1">
      <c r="A41" s="604"/>
      <c r="B41" s="848"/>
      <c r="C41" s="267"/>
      <c r="D41" s="267"/>
      <c r="E41" s="267"/>
      <c r="F41" s="272"/>
    </row>
    <row r="42" spans="1:6" ht="12.75">
      <c r="A42" s="372" t="s">
        <v>348</v>
      </c>
      <c r="B42" s="485" t="s">
        <v>504</v>
      </c>
      <c r="C42" s="626"/>
      <c r="D42" s="154"/>
      <c r="E42" s="329"/>
      <c r="F42" s="206"/>
    </row>
    <row r="43" spans="1:6" ht="12.75">
      <c r="A43" s="371" t="s">
        <v>349</v>
      </c>
      <c r="B43" s="229" t="s">
        <v>726</v>
      </c>
      <c r="C43" s="332"/>
      <c r="D43" s="151"/>
      <c r="E43" s="327"/>
      <c r="F43" s="151">
        <f>SUM(C43:E43)</f>
        <v>0</v>
      </c>
    </row>
    <row r="44" spans="1:6" ht="12.75">
      <c r="A44" s="371" t="s">
        <v>350</v>
      </c>
      <c r="B44" s="697" t="s">
        <v>724</v>
      </c>
      <c r="C44" s="841"/>
      <c r="D44" s="156"/>
      <c r="E44" s="328"/>
      <c r="F44" s="151">
        <f aca="true" t="shared" si="2" ref="F44:F50">SUM(C44:E44)</f>
        <v>0</v>
      </c>
    </row>
    <row r="45" spans="1:6" ht="12.75">
      <c r="A45" s="371" t="s">
        <v>351</v>
      </c>
      <c r="B45" s="697" t="s">
        <v>723</v>
      </c>
      <c r="C45" s="841"/>
      <c r="D45" s="156"/>
      <c r="E45" s="328"/>
      <c r="F45" s="151">
        <f t="shared" si="2"/>
        <v>0</v>
      </c>
    </row>
    <row r="46" spans="1:6" ht="12.75">
      <c r="A46" s="371" t="s">
        <v>352</v>
      </c>
      <c r="B46" s="697" t="s">
        <v>725</v>
      </c>
      <c r="C46" s="841"/>
      <c r="D46" s="156"/>
      <c r="E46" s="328"/>
      <c r="F46" s="151">
        <f t="shared" si="2"/>
        <v>0</v>
      </c>
    </row>
    <row r="47" spans="1:6" ht="12.75">
      <c r="A47" s="371" t="s">
        <v>353</v>
      </c>
      <c r="B47" s="836" t="s">
        <v>727</v>
      </c>
      <c r="C47" s="841"/>
      <c r="D47" s="156"/>
      <c r="E47" s="328"/>
      <c r="F47" s="151">
        <f t="shared" si="2"/>
        <v>0</v>
      </c>
    </row>
    <row r="48" spans="1:6" ht="12.75">
      <c r="A48" s="371" t="s">
        <v>354</v>
      </c>
      <c r="B48" s="837" t="s">
        <v>730</v>
      </c>
      <c r="C48" s="841"/>
      <c r="D48" s="156"/>
      <c r="E48" s="328"/>
      <c r="F48" s="151">
        <f t="shared" si="2"/>
        <v>0</v>
      </c>
    </row>
    <row r="49" spans="1:6" ht="12.75">
      <c r="A49" s="371" t="s">
        <v>355</v>
      </c>
      <c r="B49" s="838" t="s">
        <v>729</v>
      </c>
      <c r="C49" s="841"/>
      <c r="D49" s="156"/>
      <c r="E49" s="328"/>
      <c r="F49" s="151">
        <f t="shared" si="2"/>
        <v>0</v>
      </c>
    </row>
    <row r="50" spans="1:6" ht="13.5" thickBot="1">
      <c r="A50" s="371" t="s">
        <v>356</v>
      </c>
      <c r="B50" s="382" t="s">
        <v>728</v>
      </c>
      <c r="C50" s="841"/>
      <c r="D50" s="156"/>
      <c r="E50" s="328"/>
      <c r="F50" s="151">
        <f t="shared" si="2"/>
        <v>0</v>
      </c>
    </row>
    <row r="51" spans="1:6" ht="13.5" thickBot="1">
      <c r="A51" s="395" t="s">
        <v>357</v>
      </c>
      <c r="B51" s="315" t="s">
        <v>505</v>
      </c>
      <c r="C51" s="842">
        <f>SUM(C43:C50)</f>
        <v>0</v>
      </c>
      <c r="D51" s="842">
        <f>SUM(D43:D50)</f>
        <v>0</v>
      </c>
      <c r="E51" s="842">
        <f>SUM(E43:E50)</f>
        <v>0</v>
      </c>
      <c r="F51" s="948">
        <f>SUM(F43:F50)</f>
        <v>0</v>
      </c>
    </row>
    <row r="52" spans="1:6" ht="12.75">
      <c r="A52" s="604"/>
      <c r="B52" s="44"/>
      <c r="C52" s="854"/>
      <c r="D52" s="856"/>
      <c r="E52" s="816"/>
      <c r="F52" s="693"/>
    </row>
    <row r="53" spans="1:6" ht="13.5" thickBot="1">
      <c r="A53" s="456" t="s">
        <v>358</v>
      </c>
      <c r="B53" s="1379" t="s">
        <v>506</v>
      </c>
      <c r="C53" s="994">
        <f>C40+C51</f>
        <v>222436</v>
      </c>
      <c r="D53" s="995">
        <f>D40+D51</f>
        <v>0</v>
      </c>
      <c r="E53" s="994">
        <f>E40+E51</f>
        <v>0</v>
      </c>
      <c r="F53" s="994">
        <f>F40+F51</f>
        <v>222436</v>
      </c>
    </row>
    <row r="54" spans="1:6" ht="12.75">
      <c r="A54" s="393"/>
      <c r="B54" s="827"/>
      <c r="C54" s="695"/>
      <c r="D54" s="695"/>
      <c r="E54" s="695"/>
      <c r="F54" s="695"/>
    </row>
    <row r="55" spans="1:6" ht="12.75">
      <c r="A55" s="1675">
        <v>2</v>
      </c>
      <c r="B55" s="1675"/>
      <c r="C55" s="1675"/>
      <c r="D55" s="1675"/>
      <c r="E55" s="1675"/>
      <c r="F55" s="1675"/>
    </row>
    <row r="56" spans="1:5" ht="12.75">
      <c r="A56" s="1654" t="s">
        <v>1456</v>
      </c>
      <c r="B56" s="1654"/>
      <c r="C56" s="1654"/>
      <c r="D56" s="1654"/>
      <c r="E56" s="1654"/>
    </row>
    <row r="57" spans="1:5" ht="12.75">
      <c r="A57" s="384"/>
      <c r="B57" s="384"/>
      <c r="C57" s="384"/>
      <c r="D57" s="384"/>
      <c r="E57" s="384"/>
    </row>
    <row r="58" spans="1:6" ht="14.25">
      <c r="A58" s="1809" t="s">
        <v>1098</v>
      </c>
      <c r="B58" s="1810"/>
      <c r="C58" s="1810"/>
      <c r="D58" s="1810"/>
      <c r="E58" s="1810"/>
      <c r="F58" s="1810"/>
    </row>
    <row r="59" spans="2:5" ht="15.75">
      <c r="B59" s="21"/>
      <c r="C59" s="21"/>
      <c r="D59" s="21"/>
      <c r="E59" s="21"/>
    </row>
    <row r="60" spans="2:5" ht="15.75">
      <c r="B60" s="21" t="s">
        <v>1190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399" t="s">
        <v>311</v>
      </c>
      <c r="B62" s="610" t="s">
        <v>13</v>
      </c>
      <c r="C62" s="387" t="s">
        <v>540</v>
      </c>
      <c r="D62" s="388" t="s">
        <v>541</v>
      </c>
      <c r="E62" s="387" t="s">
        <v>536</v>
      </c>
      <c r="F62" s="388" t="s">
        <v>535</v>
      </c>
    </row>
    <row r="63" spans="1:6" ht="12.75">
      <c r="A63" s="611" t="s">
        <v>312</v>
      </c>
      <c r="B63" s="612" t="s">
        <v>313</v>
      </c>
      <c r="C63" s="621" t="s">
        <v>314</v>
      </c>
      <c r="D63" s="622" t="s">
        <v>315</v>
      </c>
      <c r="E63" s="796" t="s">
        <v>335</v>
      </c>
      <c r="F63" s="797" t="s">
        <v>360</v>
      </c>
    </row>
    <row r="64" spans="1:6" ht="12.75">
      <c r="A64" s="372" t="s">
        <v>316</v>
      </c>
      <c r="B64" s="379" t="s">
        <v>256</v>
      </c>
      <c r="C64" s="327"/>
      <c r="D64" s="151"/>
      <c r="E64" s="327"/>
      <c r="F64" s="136"/>
    </row>
    <row r="65" spans="1:6" ht="12.75">
      <c r="A65" s="371" t="s">
        <v>317</v>
      </c>
      <c r="B65" s="199" t="s">
        <v>681</v>
      </c>
      <c r="C65" s="327"/>
      <c r="D65" s="151"/>
      <c r="E65" s="327"/>
      <c r="F65" s="151">
        <f>SUM(C65:E65)</f>
        <v>0</v>
      </c>
    </row>
    <row r="66" spans="1:6" ht="12.75">
      <c r="A66" s="371" t="s">
        <v>318</v>
      </c>
      <c r="B66" s="228" t="s">
        <v>683</v>
      </c>
      <c r="C66" s="327"/>
      <c r="D66" s="151"/>
      <c r="E66" s="327"/>
      <c r="F66" s="151">
        <f>SUM(C66:E66)</f>
        <v>0</v>
      </c>
    </row>
    <row r="67" spans="1:6" ht="12.75">
      <c r="A67" s="371" t="s">
        <v>319</v>
      </c>
      <c r="B67" s="228" t="s">
        <v>682</v>
      </c>
      <c r="C67" s="327">
        <v>4953</v>
      </c>
      <c r="D67" s="151"/>
      <c r="E67" s="327"/>
      <c r="F67" s="151">
        <f>SUM(C67:E67)</f>
        <v>4953</v>
      </c>
    </row>
    <row r="68" spans="1:6" ht="12.75">
      <c r="A68" s="371" t="s">
        <v>320</v>
      </c>
      <c r="B68" s="228" t="s">
        <v>684</v>
      </c>
      <c r="C68" s="327"/>
      <c r="D68" s="151"/>
      <c r="E68" s="327"/>
      <c r="F68" s="151">
        <f>SUM(C68:E68)</f>
        <v>0</v>
      </c>
    </row>
    <row r="69" spans="1:6" ht="12.75">
      <c r="A69" s="371" t="s">
        <v>321</v>
      </c>
      <c r="B69" s="228" t="s">
        <v>685</v>
      </c>
      <c r="C69" s="327"/>
      <c r="D69" s="151"/>
      <c r="E69" s="327"/>
      <c r="F69" s="151">
        <f>SUM(C69:E69)</f>
        <v>0</v>
      </c>
    </row>
    <row r="70" spans="1:6" ht="12.75">
      <c r="A70" s="371" t="s">
        <v>322</v>
      </c>
      <c r="B70" s="228" t="s">
        <v>686</v>
      </c>
      <c r="C70" s="327">
        <f>C71+C72+C73+C74+C75+C76+C77</f>
        <v>0</v>
      </c>
      <c r="D70" s="327">
        <f>D71+D72+D73+D74+D75+D76+D77</f>
        <v>0</v>
      </c>
      <c r="E70" s="327">
        <f>E71+E72+E73+E74+E75+E76+E77</f>
        <v>0</v>
      </c>
      <c r="F70" s="151">
        <f>F71+F72+F73+F74+F75+F76+F77</f>
        <v>0</v>
      </c>
    </row>
    <row r="71" spans="1:6" ht="12.75">
      <c r="A71" s="371" t="s">
        <v>323</v>
      </c>
      <c r="B71" s="228" t="s">
        <v>690</v>
      </c>
      <c r="C71" s="327">
        <v>0</v>
      </c>
      <c r="D71" s="151">
        <v>0</v>
      </c>
      <c r="E71" s="327">
        <v>0</v>
      </c>
      <c r="F71" s="151">
        <f>E71+D71+C71</f>
        <v>0</v>
      </c>
    </row>
    <row r="72" spans="1:6" ht="12.75">
      <c r="A72" s="371" t="s">
        <v>324</v>
      </c>
      <c r="B72" s="228" t="s">
        <v>691</v>
      </c>
      <c r="C72" s="327"/>
      <c r="D72" s="151"/>
      <c r="E72" s="327"/>
      <c r="F72" s="151">
        <f aca="true" t="shared" si="3" ref="F72:F78">E72+D72+C72</f>
        <v>0</v>
      </c>
    </row>
    <row r="73" spans="1:6" ht="12.75">
      <c r="A73" s="371" t="s">
        <v>325</v>
      </c>
      <c r="B73" s="228" t="s">
        <v>692</v>
      </c>
      <c r="C73" s="327"/>
      <c r="D73" s="151"/>
      <c r="E73" s="327"/>
      <c r="F73" s="151">
        <f t="shared" si="3"/>
        <v>0</v>
      </c>
    </row>
    <row r="74" spans="1:6" ht="12.75">
      <c r="A74" s="371" t="s">
        <v>326</v>
      </c>
      <c r="B74" s="380" t="s">
        <v>688</v>
      </c>
      <c r="C74" s="262"/>
      <c r="D74" s="155"/>
      <c r="E74" s="327"/>
      <c r="F74" s="151">
        <f t="shared" si="3"/>
        <v>0</v>
      </c>
    </row>
    <row r="75" spans="1:6" ht="12.75">
      <c r="A75" s="371" t="s">
        <v>327</v>
      </c>
      <c r="B75" s="834" t="s">
        <v>689</v>
      </c>
      <c r="C75" s="330"/>
      <c r="D75" s="152"/>
      <c r="E75" s="327"/>
      <c r="F75" s="151">
        <f t="shared" si="3"/>
        <v>0</v>
      </c>
    </row>
    <row r="76" spans="1:6" ht="12.75">
      <c r="A76" s="371" t="s">
        <v>328</v>
      </c>
      <c r="B76" s="835" t="s">
        <v>687</v>
      </c>
      <c r="C76" s="330"/>
      <c r="D76" s="152"/>
      <c r="E76" s="327"/>
      <c r="F76" s="151">
        <f t="shared" si="3"/>
        <v>0</v>
      </c>
    </row>
    <row r="77" spans="1:6" ht="12.75">
      <c r="A77" s="371" t="s">
        <v>329</v>
      </c>
      <c r="B77" s="309" t="s">
        <v>957</v>
      </c>
      <c r="C77" s="330"/>
      <c r="D77" s="152"/>
      <c r="E77" s="327"/>
      <c r="F77" s="156"/>
    </row>
    <row r="78" spans="1:6" ht="13.5" thickBot="1">
      <c r="A78" s="371" t="s">
        <v>330</v>
      </c>
      <c r="B78" s="230" t="s">
        <v>694</v>
      </c>
      <c r="C78" s="328"/>
      <c r="D78" s="156"/>
      <c r="E78" s="327"/>
      <c r="F78" s="325">
        <f t="shared" si="3"/>
        <v>0</v>
      </c>
    </row>
    <row r="79" spans="1:6" ht="13.5" thickBot="1">
      <c r="A79" s="615" t="s">
        <v>331</v>
      </c>
      <c r="B79" s="616" t="s">
        <v>6</v>
      </c>
      <c r="C79" s="624">
        <f>C65+C66+C67+C68+C70+C78</f>
        <v>4953</v>
      </c>
      <c r="D79" s="624">
        <f>D65+D66+D67+D68+D70+D78</f>
        <v>0</v>
      </c>
      <c r="E79" s="624">
        <f>E65+E66+E67+E68+E70+E78</f>
        <v>0</v>
      </c>
      <c r="F79" s="625">
        <f>F65+F66+F67+F68+F70+F78</f>
        <v>4953</v>
      </c>
    </row>
    <row r="80" spans="1:6" ht="6" customHeight="1" thickTop="1">
      <c r="A80" s="604"/>
      <c r="B80" s="379"/>
      <c r="C80" s="261"/>
      <c r="D80" s="261"/>
      <c r="E80" s="261"/>
      <c r="F80" s="159"/>
    </row>
    <row r="81" spans="1:6" ht="12.75">
      <c r="A81" s="372" t="s">
        <v>332</v>
      </c>
      <c r="B81" s="381" t="s">
        <v>257</v>
      </c>
      <c r="C81" s="329"/>
      <c r="D81" s="154"/>
      <c r="E81" s="329"/>
      <c r="F81" s="206"/>
    </row>
    <row r="82" spans="1:6" ht="12.75">
      <c r="A82" s="372" t="s">
        <v>333</v>
      </c>
      <c r="B82" s="228" t="s">
        <v>695</v>
      </c>
      <c r="C82" s="327">
        <f>'33_sz_ melléklet'!C159</f>
        <v>19685</v>
      </c>
      <c r="D82" s="151"/>
      <c r="E82" s="327"/>
      <c r="F82" s="151">
        <f>SUM(C82:E82)</f>
        <v>19685</v>
      </c>
    </row>
    <row r="83" spans="1:6" ht="12.75">
      <c r="A83" s="372" t="s">
        <v>334</v>
      </c>
      <c r="B83" s="228" t="s">
        <v>696</v>
      </c>
      <c r="C83" s="327"/>
      <c r="D83" s="151"/>
      <c r="E83" s="327"/>
      <c r="F83" s="151">
        <f>SUM(C83:E83)</f>
        <v>0</v>
      </c>
    </row>
    <row r="84" spans="1:6" ht="12.75">
      <c r="A84" s="372" t="s">
        <v>336</v>
      </c>
      <c r="B84" s="228" t="s">
        <v>697</v>
      </c>
      <c r="C84" s="262">
        <f>SUM(C85:C91)</f>
        <v>0</v>
      </c>
      <c r="D84" s="262">
        <f>SUM(D85:D91)</f>
        <v>0</v>
      </c>
      <c r="E84" s="262">
        <f>SUM(E85:E91)</f>
        <v>0</v>
      </c>
      <c r="F84" s="155">
        <f>SUM(F85:F91)</f>
        <v>0</v>
      </c>
    </row>
    <row r="85" spans="1:6" ht="12.75">
      <c r="A85" s="372" t="s">
        <v>337</v>
      </c>
      <c r="B85" s="380" t="s">
        <v>698</v>
      </c>
      <c r="C85" s="327"/>
      <c r="D85" s="151"/>
      <c r="E85" s="327"/>
      <c r="F85" s="151">
        <f>SUM(C85:E85)</f>
        <v>0</v>
      </c>
    </row>
    <row r="86" spans="1:6" ht="12.75">
      <c r="A86" s="372" t="s">
        <v>338</v>
      </c>
      <c r="B86" s="380" t="s">
        <v>699</v>
      </c>
      <c r="C86" s="327"/>
      <c r="D86" s="151"/>
      <c r="E86" s="327"/>
      <c r="F86" s="151">
        <f aca="true" t="shared" si="4" ref="F86:F92">SUM(C86:E86)</f>
        <v>0</v>
      </c>
    </row>
    <row r="87" spans="1:6" ht="12.75">
      <c r="A87" s="372" t="s">
        <v>339</v>
      </c>
      <c r="B87" s="380" t="s">
        <v>700</v>
      </c>
      <c r="C87" s="327"/>
      <c r="D87" s="151"/>
      <c r="E87" s="327"/>
      <c r="F87" s="151">
        <f t="shared" si="4"/>
        <v>0</v>
      </c>
    </row>
    <row r="88" spans="1:6" ht="12.75">
      <c r="A88" s="372" t="s">
        <v>340</v>
      </c>
      <c r="B88" s="380" t="s">
        <v>701</v>
      </c>
      <c r="C88" s="327"/>
      <c r="D88" s="151"/>
      <c r="E88" s="327"/>
      <c r="F88" s="151">
        <f t="shared" si="4"/>
        <v>0</v>
      </c>
    </row>
    <row r="89" spans="1:6" ht="12.75">
      <c r="A89" s="372" t="s">
        <v>341</v>
      </c>
      <c r="B89" s="834" t="s">
        <v>702</v>
      </c>
      <c r="C89" s="327"/>
      <c r="D89" s="151"/>
      <c r="E89" s="327"/>
      <c r="F89" s="151">
        <f t="shared" si="4"/>
        <v>0</v>
      </c>
    </row>
    <row r="90" spans="1:6" ht="12.75">
      <c r="A90" s="372" t="s">
        <v>342</v>
      </c>
      <c r="B90" s="309" t="s">
        <v>703</v>
      </c>
      <c r="C90" s="327"/>
      <c r="D90" s="151"/>
      <c r="E90" s="327"/>
      <c r="F90" s="151">
        <f t="shared" si="4"/>
        <v>0</v>
      </c>
    </row>
    <row r="91" spans="1:6" ht="12.75">
      <c r="A91" s="372" t="s">
        <v>343</v>
      </c>
      <c r="B91" s="1091" t="s">
        <v>704</v>
      </c>
      <c r="C91" s="327"/>
      <c r="D91" s="151"/>
      <c r="E91" s="327"/>
      <c r="F91" s="151">
        <f t="shared" si="4"/>
        <v>0</v>
      </c>
    </row>
    <row r="92" spans="1:6" ht="12.75">
      <c r="A92" s="372" t="s">
        <v>344</v>
      </c>
      <c r="B92" s="228"/>
      <c r="C92" s="327"/>
      <c r="D92" s="151"/>
      <c r="E92" s="327"/>
      <c r="F92" s="151">
        <f t="shared" si="4"/>
        <v>0</v>
      </c>
    </row>
    <row r="93" spans="1:6" ht="13.5" thickBot="1">
      <c r="A93" s="372" t="s">
        <v>345</v>
      </c>
      <c r="B93" s="230"/>
      <c r="C93" s="330">
        <f>-C68</f>
        <v>0</v>
      </c>
      <c r="D93" s="330">
        <f>-D68</f>
        <v>0</v>
      </c>
      <c r="E93" s="330">
        <f>-E68</f>
        <v>0</v>
      </c>
      <c r="F93" s="152">
        <f>-F68</f>
        <v>0</v>
      </c>
    </row>
    <row r="94" spans="1:6" ht="13.5" thickBot="1">
      <c r="A94" s="615" t="s">
        <v>346</v>
      </c>
      <c r="B94" s="616" t="s">
        <v>7</v>
      </c>
      <c r="C94" s="624">
        <f>C82+C83+C84+C92+C93</f>
        <v>19685</v>
      </c>
      <c r="D94" s="624">
        <f>D82+D83+D84+D92+D93</f>
        <v>0</v>
      </c>
      <c r="E94" s="624">
        <f>E82+E83+E84+E92+E93</f>
        <v>0</v>
      </c>
      <c r="F94" s="625">
        <f>F82+F83+F84+F92+F93</f>
        <v>19685</v>
      </c>
    </row>
    <row r="95" spans="1:6" ht="27" thickBot="1" thickTop="1">
      <c r="A95" s="615" t="s">
        <v>347</v>
      </c>
      <c r="B95" s="620" t="s">
        <v>503</v>
      </c>
      <c r="C95" s="627">
        <f>C79+C94</f>
        <v>24638</v>
      </c>
      <c r="D95" s="627">
        <f>D79+D94</f>
        <v>0</v>
      </c>
      <c r="E95" s="627">
        <f>E79+E94</f>
        <v>0</v>
      </c>
      <c r="F95" s="628">
        <f>F79+F94</f>
        <v>24638</v>
      </c>
    </row>
    <row r="96" spans="1:6" ht="8.25" customHeight="1" thickTop="1">
      <c r="A96" s="604"/>
      <c r="B96" s="848"/>
      <c r="C96" s="267"/>
      <c r="D96" s="267"/>
      <c r="E96" s="267"/>
      <c r="F96" s="272"/>
    </row>
    <row r="97" spans="1:6" ht="12.75">
      <c r="A97" s="372" t="s">
        <v>348</v>
      </c>
      <c r="B97" s="485" t="s">
        <v>504</v>
      </c>
      <c r="C97" s="626"/>
      <c r="D97" s="154"/>
      <c r="E97" s="329"/>
      <c r="F97" s="206"/>
    </row>
    <row r="98" spans="1:6" ht="12.75">
      <c r="A98" s="371" t="s">
        <v>349</v>
      </c>
      <c r="B98" s="229" t="s">
        <v>726</v>
      </c>
      <c r="C98" s="332"/>
      <c r="D98" s="151"/>
      <c r="E98" s="327"/>
      <c r="F98" s="151">
        <f>SUM(C98:E98)</f>
        <v>0</v>
      </c>
    </row>
    <row r="99" spans="1:6" ht="12.75">
      <c r="A99" s="371" t="s">
        <v>350</v>
      </c>
      <c r="B99" s="697" t="s">
        <v>724</v>
      </c>
      <c r="C99" s="841"/>
      <c r="D99" s="156"/>
      <c r="E99" s="328"/>
      <c r="F99" s="151">
        <f aca="true" t="shared" si="5" ref="F99:F105">SUM(C99:E99)</f>
        <v>0</v>
      </c>
    </row>
    <row r="100" spans="1:6" ht="12.75">
      <c r="A100" s="371" t="s">
        <v>351</v>
      </c>
      <c r="B100" s="697" t="s">
        <v>723</v>
      </c>
      <c r="C100" s="841"/>
      <c r="D100" s="156"/>
      <c r="E100" s="328"/>
      <c r="F100" s="151">
        <f t="shared" si="5"/>
        <v>0</v>
      </c>
    </row>
    <row r="101" spans="1:6" ht="12.75">
      <c r="A101" s="371" t="s">
        <v>352</v>
      </c>
      <c r="B101" s="697" t="s">
        <v>725</v>
      </c>
      <c r="C101" s="841"/>
      <c r="D101" s="156"/>
      <c r="E101" s="328"/>
      <c r="F101" s="151">
        <f t="shared" si="5"/>
        <v>0</v>
      </c>
    </row>
    <row r="102" spans="1:6" ht="12.75">
      <c r="A102" s="371" t="s">
        <v>353</v>
      </c>
      <c r="B102" s="836" t="s">
        <v>727</v>
      </c>
      <c r="C102" s="841"/>
      <c r="D102" s="156"/>
      <c r="E102" s="328"/>
      <c r="F102" s="151">
        <f t="shared" si="5"/>
        <v>0</v>
      </c>
    </row>
    <row r="103" spans="1:6" ht="12.75">
      <c r="A103" s="371" t="s">
        <v>354</v>
      </c>
      <c r="B103" s="837" t="s">
        <v>730</v>
      </c>
      <c r="C103" s="841"/>
      <c r="D103" s="156"/>
      <c r="E103" s="328"/>
      <c r="F103" s="151">
        <f t="shared" si="5"/>
        <v>0</v>
      </c>
    </row>
    <row r="104" spans="1:6" ht="12.75">
      <c r="A104" s="371" t="s">
        <v>355</v>
      </c>
      <c r="B104" s="838" t="s">
        <v>729</v>
      </c>
      <c r="C104" s="986">
        <f>'42_sz_ melléklet'!C12</f>
        <v>0</v>
      </c>
      <c r="D104" s="987"/>
      <c r="E104" s="986"/>
      <c r="F104" s="151">
        <f t="shared" si="5"/>
        <v>0</v>
      </c>
    </row>
    <row r="105" spans="1:6" ht="13.5" thickBot="1">
      <c r="A105" s="371" t="s">
        <v>356</v>
      </c>
      <c r="B105" s="382" t="s">
        <v>728</v>
      </c>
      <c r="C105" s="986"/>
      <c r="D105" s="987">
        <v>0</v>
      </c>
      <c r="E105" s="986"/>
      <c r="F105" s="151">
        <f t="shared" si="5"/>
        <v>0</v>
      </c>
    </row>
    <row r="106" spans="1:6" ht="13.5" thickBot="1">
      <c r="A106" s="395" t="s">
        <v>357</v>
      </c>
      <c r="B106" s="315" t="s">
        <v>505</v>
      </c>
      <c r="C106" s="842">
        <f>SUM(C98:C105)</f>
        <v>0</v>
      </c>
      <c r="D106" s="842">
        <f>SUM(D98:D105)</f>
        <v>0</v>
      </c>
      <c r="E106" s="842">
        <f>SUM(E98:E105)</f>
        <v>0</v>
      </c>
      <c r="F106" s="948">
        <f>SUM(F98:F105)</f>
        <v>0</v>
      </c>
    </row>
    <row r="107" spans="1:6" ht="12.75">
      <c r="A107" s="604"/>
      <c r="B107" s="44"/>
      <c r="C107" s="854"/>
      <c r="D107" s="856"/>
      <c r="E107" s="816"/>
      <c r="F107" s="693"/>
    </row>
    <row r="108" spans="1:6" ht="13.5" thickBot="1">
      <c r="A108" s="456" t="s">
        <v>358</v>
      </c>
      <c r="B108" s="1379" t="s">
        <v>506</v>
      </c>
      <c r="C108" s="994">
        <f>C95+C106</f>
        <v>24638</v>
      </c>
      <c r="D108" s="995">
        <f>D95+D106</f>
        <v>0</v>
      </c>
      <c r="E108" s="994">
        <f>E95+E106</f>
        <v>0</v>
      </c>
      <c r="F108" s="994">
        <f>F95+F106</f>
        <v>24638</v>
      </c>
    </row>
    <row r="109" spans="1:6" ht="12.75">
      <c r="A109" s="393"/>
      <c r="B109" s="827"/>
      <c r="C109" s="695"/>
      <c r="D109" s="695"/>
      <c r="E109" s="695"/>
      <c r="F109" s="695"/>
    </row>
    <row r="110" spans="1:6" ht="12.75">
      <c r="A110" s="1675">
        <v>3</v>
      </c>
      <c r="B110" s="1675"/>
      <c r="C110" s="1675"/>
      <c r="D110" s="1675"/>
      <c r="E110" s="1675"/>
      <c r="F110" s="1675"/>
    </row>
    <row r="111" spans="1:5" ht="12.75">
      <c r="A111" s="1654" t="s">
        <v>1456</v>
      </c>
      <c r="B111" s="1654"/>
      <c r="C111" s="1654"/>
      <c r="D111" s="1654"/>
      <c r="E111" s="1654"/>
    </row>
    <row r="112" spans="1:5" ht="12.75">
      <c r="A112" s="384"/>
      <c r="B112" s="384"/>
      <c r="C112" s="384"/>
      <c r="D112" s="384"/>
      <c r="E112" s="384"/>
    </row>
    <row r="113" spans="1:6" ht="14.25">
      <c r="A113" s="1809" t="s">
        <v>1098</v>
      </c>
      <c r="B113" s="1810"/>
      <c r="C113" s="1810"/>
      <c r="D113" s="1810"/>
      <c r="E113" s="1810"/>
      <c r="F113" s="1810"/>
    </row>
    <row r="114" spans="2:5" ht="15.75">
      <c r="B114" s="21"/>
      <c r="C114" s="21"/>
      <c r="D114" s="21"/>
      <c r="E114" s="21"/>
    </row>
    <row r="115" spans="2:5" ht="15.75">
      <c r="B115" s="21" t="s">
        <v>544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399" t="s">
        <v>311</v>
      </c>
      <c r="B117" s="610" t="s">
        <v>13</v>
      </c>
      <c r="C117" s="387" t="s">
        <v>540</v>
      </c>
      <c r="D117" s="388" t="s">
        <v>541</v>
      </c>
      <c r="E117" s="387" t="s">
        <v>536</v>
      </c>
      <c r="F117" s="388" t="s">
        <v>535</v>
      </c>
    </row>
    <row r="118" spans="1:6" ht="12.75">
      <c r="A118" s="611" t="s">
        <v>312</v>
      </c>
      <c r="B118" s="612" t="s">
        <v>313</v>
      </c>
      <c r="C118" s="621" t="s">
        <v>314</v>
      </c>
      <c r="D118" s="622" t="s">
        <v>315</v>
      </c>
      <c r="E118" s="796" t="s">
        <v>335</v>
      </c>
      <c r="F118" s="797" t="s">
        <v>360</v>
      </c>
    </row>
    <row r="119" spans="1:6" ht="12.75">
      <c r="A119" s="372" t="s">
        <v>316</v>
      </c>
      <c r="B119" s="379" t="s">
        <v>256</v>
      </c>
      <c r="C119" s="327"/>
      <c r="D119" s="151"/>
      <c r="E119" s="327"/>
      <c r="F119" s="136"/>
    </row>
    <row r="120" spans="1:6" ht="12.75">
      <c r="A120" s="371" t="s">
        <v>317</v>
      </c>
      <c r="B120" s="199" t="s">
        <v>681</v>
      </c>
      <c r="C120" s="327"/>
      <c r="D120" s="151"/>
      <c r="E120" s="327"/>
      <c r="F120" s="151">
        <f>SUM(C120:E120)</f>
        <v>0</v>
      </c>
    </row>
    <row r="121" spans="1:6" ht="12.75">
      <c r="A121" s="371" t="s">
        <v>318</v>
      </c>
      <c r="B121" s="228" t="s">
        <v>683</v>
      </c>
      <c r="C121" s="327"/>
      <c r="D121" s="151"/>
      <c r="E121" s="327"/>
      <c r="F121" s="151">
        <f>SUM(C121:E121)</f>
        <v>0</v>
      </c>
    </row>
    <row r="122" spans="1:6" ht="12.75">
      <c r="A122" s="371" t="s">
        <v>319</v>
      </c>
      <c r="B122" s="228" t="s">
        <v>682</v>
      </c>
      <c r="C122" s="327"/>
      <c r="D122" s="151"/>
      <c r="E122" s="327"/>
      <c r="F122" s="151">
        <f>SUM(C122:E122)</f>
        <v>0</v>
      </c>
    </row>
    <row r="123" spans="1:6" ht="12.75">
      <c r="A123" s="371" t="s">
        <v>320</v>
      </c>
      <c r="B123" s="228" t="s">
        <v>684</v>
      </c>
      <c r="C123" s="327"/>
      <c r="D123" s="151"/>
      <c r="E123" s="327"/>
      <c r="F123" s="151">
        <f>SUM(C123:E123)</f>
        <v>0</v>
      </c>
    </row>
    <row r="124" spans="1:6" ht="12.75">
      <c r="A124" s="371" t="s">
        <v>321</v>
      </c>
      <c r="B124" s="228" t="s">
        <v>685</v>
      </c>
      <c r="C124" s="327"/>
      <c r="D124" s="151"/>
      <c r="E124" s="327"/>
      <c r="F124" s="151">
        <f>SUM(C124:E124)</f>
        <v>0</v>
      </c>
    </row>
    <row r="125" spans="1:6" ht="12.75">
      <c r="A125" s="371" t="s">
        <v>322</v>
      </c>
      <c r="B125" s="228" t="s">
        <v>686</v>
      </c>
      <c r="C125" s="327">
        <f>C126+C127+C128+C129+C130+C131+C132</f>
        <v>3700</v>
      </c>
      <c r="D125" s="327">
        <f>D126+D127+D128+D129+D130+D131+D132</f>
        <v>44651</v>
      </c>
      <c r="E125" s="327">
        <f>E126+E127+E128+E129+E130+E131+E132</f>
        <v>0</v>
      </c>
      <c r="F125" s="151">
        <f>F126+F127+F128+F129+F130+F131+F132</f>
        <v>48351</v>
      </c>
    </row>
    <row r="126" spans="1:6" ht="12.75">
      <c r="A126" s="371" t="s">
        <v>323</v>
      </c>
      <c r="B126" s="228" t="s">
        <v>690</v>
      </c>
      <c r="C126" s="327">
        <v>0</v>
      </c>
      <c r="D126" s="151">
        <v>0</v>
      </c>
      <c r="E126" s="327">
        <v>0</v>
      </c>
      <c r="F126" s="151">
        <f>E126+D126+C126</f>
        <v>0</v>
      </c>
    </row>
    <row r="127" spans="1:6" ht="12.75">
      <c r="A127" s="371" t="s">
        <v>324</v>
      </c>
      <c r="B127" s="228" t="s">
        <v>691</v>
      </c>
      <c r="C127" s="327"/>
      <c r="D127" s="151"/>
      <c r="E127" s="327"/>
      <c r="F127" s="151">
        <f aca="true" t="shared" si="6" ref="F127:F133">E127+D127+C127</f>
        <v>0</v>
      </c>
    </row>
    <row r="128" spans="1:6" ht="12.75">
      <c r="A128" s="371" t="s">
        <v>325</v>
      </c>
      <c r="B128" s="228" t="s">
        <v>692</v>
      </c>
      <c r="C128" s="327"/>
      <c r="D128" s="151"/>
      <c r="E128" s="327"/>
      <c r="F128" s="151">
        <f t="shared" si="6"/>
        <v>0</v>
      </c>
    </row>
    <row r="129" spans="1:6" ht="12.75">
      <c r="A129" s="371" t="s">
        <v>326</v>
      </c>
      <c r="B129" s="380" t="s">
        <v>688</v>
      </c>
      <c r="C129" s="327">
        <f>'6 7_sz_melléklet'!E39</f>
        <v>3700</v>
      </c>
      <c r="D129" s="151">
        <f>'6 7_sz_melléklet'!E31+'6 7_sz_melléklet'!E32+'6 7_sz_melléklet'!E45+'6 7_sz_melléklet'!E46</f>
        <v>44651</v>
      </c>
      <c r="E129" s="327"/>
      <c r="F129" s="151">
        <f t="shared" si="6"/>
        <v>48351</v>
      </c>
    </row>
    <row r="130" spans="1:6" ht="12.75">
      <c r="A130" s="371" t="s">
        <v>327</v>
      </c>
      <c r="B130" s="834" t="s">
        <v>689</v>
      </c>
      <c r="C130" s="330"/>
      <c r="D130" s="152"/>
      <c r="E130" s="327"/>
      <c r="F130" s="151">
        <f t="shared" si="6"/>
        <v>0</v>
      </c>
    </row>
    <row r="131" spans="1:6" ht="12.75">
      <c r="A131" s="371" t="s">
        <v>328</v>
      </c>
      <c r="B131" s="835" t="s">
        <v>687</v>
      </c>
      <c r="C131" s="330"/>
      <c r="D131" s="152"/>
      <c r="E131" s="327"/>
      <c r="F131" s="151">
        <f t="shared" si="6"/>
        <v>0</v>
      </c>
    </row>
    <row r="132" spans="1:6" ht="12.75">
      <c r="A132" s="371" t="s">
        <v>329</v>
      </c>
      <c r="B132" s="309" t="s">
        <v>957</v>
      </c>
      <c r="C132" s="330"/>
      <c r="D132" s="152"/>
      <c r="E132" s="327"/>
      <c r="F132" s="156"/>
    </row>
    <row r="133" spans="1:6" ht="13.5" thickBot="1">
      <c r="A133" s="371" t="s">
        <v>330</v>
      </c>
      <c r="B133" s="230" t="s">
        <v>694</v>
      </c>
      <c r="C133" s="328"/>
      <c r="D133" s="156"/>
      <c r="E133" s="327"/>
      <c r="F133" s="325">
        <f t="shared" si="6"/>
        <v>0</v>
      </c>
    </row>
    <row r="134" spans="1:6" ht="13.5" thickBot="1">
      <c r="A134" s="615" t="s">
        <v>331</v>
      </c>
      <c r="B134" s="616" t="s">
        <v>6</v>
      </c>
      <c r="C134" s="624">
        <f>C120+C121+C122+C123+C125+C133</f>
        <v>3700</v>
      </c>
      <c r="D134" s="624">
        <f>D120+D121+D122+D123+D125+D133</f>
        <v>44651</v>
      </c>
      <c r="E134" s="624">
        <f>E120+E121+E122+E123+E125+E133</f>
        <v>0</v>
      </c>
      <c r="F134" s="625">
        <f>F120+F121+F122+F123+F125+F133</f>
        <v>48351</v>
      </c>
    </row>
    <row r="135" spans="1:6" ht="7.5" customHeight="1" thickTop="1">
      <c r="A135" s="604"/>
      <c r="B135" s="379"/>
      <c r="C135" s="261"/>
      <c r="D135" s="261"/>
      <c r="E135" s="261"/>
      <c r="F135" s="159"/>
    </row>
    <row r="136" spans="1:6" ht="12.75">
      <c r="A136" s="372" t="s">
        <v>332</v>
      </c>
      <c r="B136" s="381" t="s">
        <v>257</v>
      </c>
      <c r="C136" s="329"/>
      <c r="D136" s="154"/>
      <c r="E136" s="329"/>
      <c r="F136" s="206"/>
    </row>
    <row r="137" spans="1:6" ht="12.75">
      <c r="A137" s="372" t="s">
        <v>333</v>
      </c>
      <c r="B137" s="228" t="s">
        <v>695</v>
      </c>
      <c r="C137" s="327"/>
      <c r="D137" s="151"/>
      <c r="E137" s="327"/>
      <c r="F137" s="151">
        <f>SUM(C137:E137)</f>
        <v>0</v>
      </c>
    </row>
    <row r="138" spans="1:6" ht="12.75">
      <c r="A138" s="372" t="s">
        <v>334</v>
      </c>
      <c r="B138" s="228" t="s">
        <v>696</v>
      </c>
      <c r="C138" s="327"/>
      <c r="D138" s="151"/>
      <c r="E138" s="327"/>
      <c r="F138" s="151">
        <f>SUM(C138:E138)</f>
        <v>0</v>
      </c>
    </row>
    <row r="139" spans="1:6" ht="12.75">
      <c r="A139" s="372" t="s">
        <v>336</v>
      </c>
      <c r="B139" s="228" t="s">
        <v>697</v>
      </c>
      <c r="C139" s="262">
        <f>SUM(C140:C146)</f>
        <v>0</v>
      </c>
      <c r="D139" s="262">
        <f>SUM(D140:D146)</f>
        <v>0</v>
      </c>
      <c r="E139" s="262">
        <f>SUM(E140:E146)</f>
        <v>0</v>
      </c>
      <c r="F139" s="155">
        <f>SUM(F140:F146)</f>
        <v>0</v>
      </c>
    </row>
    <row r="140" spans="1:6" ht="12.75">
      <c r="A140" s="372" t="s">
        <v>337</v>
      </c>
      <c r="B140" s="380" t="s">
        <v>698</v>
      </c>
      <c r="C140" s="327"/>
      <c r="D140" s="151"/>
      <c r="E140" s="327"/>
      <c r="F140" s="151">
        <f>SUM(C140:E140)</f>
        <v>0</v>
      </c>
    </row>
    <row r="141" spans="1:6" ht="12.75">
      <c r="A141" s="372" t="s">
        <v>338</v>
      </c>
      <c r="B141" s="380" t="s">
        <v>699</v>
      </c>
      <c r="C141" s="327"/>
      <c r="D141" s="151"/>
      <c r="E141" s="327"/>
      <c r="F141" s="151">
        <f aca="true" t="shared" si="7" ref="F141:F147">SUM(C141:E141)</f>
        <v>0</v>
      </c>
    </row>
    <row r="142" spans="1:6" ht="12.75">
      <c r="A142" s="372" t="s">
        <v>339</v>
      </c>
      <c r="B142" s="380" t="s">
        <v>700</v>
      </c>
      <c r="C142" s="327"/>
      <c r="D142" s="151"/>
      <c r="E142" s="327"/>
      <c r="F142" s="151">
        <f t="shared" si="7"/>
        <v>0</v>
      </c>
    </row>
    <row r="143" spans="1:6" ht="12.75">
      <c r="A143" s="372" t="s">
        <v>340</v>
      </c>
      <c r="B143" s="380" t="s">
        <v>701</v>
      </c>
      <c r="C143" s="327"/>
      <c r="D143" s="151"/>
      <c r="E143" s="327"/>
      <c r="F143" s="151">
        <f t="shared" si="7"/>
        <v>0</v>
      </c>
    </row>
    <row r="144" spans="1:6" ht="12.75">
      <c r="A144" s="372" t="s">
        <v>341</v>
      </c>
      <c r="B144" s="834" t="s">
        <v>702</v>
      </c>
      <c r="C144" s="327"/>
      <c r="D144" s="151"/>
      <c r="E144" s="327"/>
      <c r="F144" s="151">
        <f t="shared" si="7"/>
        <v>0</v>
      </c>
    </row>
    <row r="145" spans="1:6" ht="12.75">
      <c r="A145" s="372" t="s">
        <v>342</v>
      </c>
      <c r="B145" s="309" t="s">
        <v>703</v>
      </c>
      <c r="C145" s="327"/>
      <c r="D145" s="151"/>
      <c r="E145" s="327"/>
      <c r="F145" s="151">
        <f t="shared" si="7"/>
        <v>0</v>
      </c>
    </row>
    <row r="146" spans="1:6" ht="12.75">
      <c r="A146" s="372" t="s">
        <v>343</v>
      </c>
      <c r="B146" s="1091" t="s">
        <v>704</v>
      </c>
      <c r="C146" s="327"/>
      <c r="D146" s="151"/>
      <c r="E146" s="327"/>
      <c r="F146" s="151">
        <f t="shared" si="7"/>
        <v>0</v>
      </c>
    </row>
    <row r="147" spans="1:6" ht="12.75">
      <c r="A147" s="372" t="s">
        <v>344</v>
      </c>
      <c r="B147" s="228"/>
      <c r="C147" s="327"/>
      <c r="D147" s="151"/>
      <c r="E147" s="327"/>
      <c r="F147" s="151">
        <f t="shared" si="7"/>
        <v>0</v>
      </c>
    </row>
    <row r="148" spans="1:6" ht="13.5" thickBot="1">
      <c r="A148" s="372" t="s">
        <v>345</v>
      </c>
      <c r="B148" s="230"/>
      <c r="C148" s="330">
        <f>-C123</f>
        <v>0</v>
      </c>
      <c r="D148" s="330">
        <f>-D123</f>
        <v>0</v>
      </c>
      <c r="E148" s="330">
        <f>-E123</f>
        <v>0</v>
      </c>
      <c r="F148" s="152">
        <f>-F123</f>
        <v>0</v>
      </c>
    </row>
    <row r="149" spans="1:6" ht="13.5" thickBot="1">
      <c r="A149" s="615" t="s">
        <v>346</v>
      </c>
      <c r="B149" s="616" t="s">
        <v>7</v>
      </c>
      <c r="C149" s="624">
        <f>C137+C138+C139+C147+C148</f>
        <v>0</v>
      </c>
      <c r="D149" s="624">
        <f>D137+D138+D139+D147+D148</f>
        <v>0</v>
      </c>
      <c r="E149" s="624">
        <f>E137+E138+E139+E147+E148</f>
        <v>0</v>
      </c>
      <c r="F149" s="625">
        <f>F137+F138+F139+F147+F148</f>
        <v>0</v>
      </c>
    </row>
    <row r="150" spans="1:6" ht="27" thickBot="1" thickTop="1">
      <c r="A150" s="615" t="s">
        <v>347</v>
      </c>
      <c r="B150" s="620" t="s">
        <v>503</v>
      </c>
      <c r="C150" s="627">
        <f>C134+C149</f>
        <v>3700</v>
      </c>
      <c r="D150" s="627">
        <f>D134+D149</f>
        <v>44651</v>
      </c>
      <c r="E150" s="627">
        <f>E134+E149</f>
        <v>0</v>
      </c>
      <c r="F150" s="628">
        <f>F134+F149</f>
        <v>48351</v>
      </c>
    </row>
    <row r="151" spans="1:6" ht="6.75" customHeight="1" thickTop="1">
      <c r="A151" s="604"/>
      <c r="B151" s="848"/>
      <c r="C151" s="267"/>
      <c r="D151" s="267"/>
      <c r="E151" s="267"/>
      <c r="F151" s="272"/>
    </row>
    <row r="152" spans="1:6" ht="12.75">
      <c r="A152" s="372" t="s">
        <v>348</v>
      </c>
      <c r="B152" s="485" t="s">
        <v>504</v>
      </c>
      <c r="C152" s="626"/>
      <c r="D152" s="154"/>
      <c r="E152" s="329"/>
      <c r="F152" s="206"/>
    </row>
    <row r="153" spans="1:6" ht="12.75">
      <c r="A153" s="371" t="s">
        <v>349</v>
      </c>
      <c r="B153" s="229" t="s">
        <v>726</v>
      </c>
      <c r="C153" s="332"/>
      <c r="D153" s="151"/>
      <c r="E153" s="327"/>
      <c r="F153" s="151">
        <f>SUM(C153:E153)</f>
        <v>0</v>
      </c>
    </row>
    <row r="154" spans="1:6" ht="12.75">
      <c r="A154" s="371" t="s">
        <v>350</v>
      </c>
      <c r="B154" s="697" t="s">
        <v>724</v>
      </c>
      <c r="C154" s="841"/>
      <c r="D154" s="156"/>
      <c r="E154" s="328"/>
      <c r="F154" s="151">
        <f aca="true" t="shared" si="8" ref="F154:F160">SUM(C154:E154)</f>
        <v>0</v>
      </c>
    </row>
    <row r="155" spans="1:6" ht="12.75">
      <c r="A155" s="371" t="s">
        <v>351</v>
      </c>
      <c r="B155" s="697" t="s">
        <v>723</v>
      </c>
      <c r="C155" s="841"/>
      <c r="D155" s="156"/>
      <c r="E155" s="328"/>
      <c r="F155" s="151">
        <f t="shared" si="8"/>
        <v>0</v>
      </c>
    </row>
    <row r="156" spans="1:6" ht="12.75">
      <c r="A156" s="371" t="s">
        <v>352</v>
      </c>
      <c r="B156" s="697" t="s">
        <v>725</v>
      </c>
      <c r="C156" s="841"/>
      <c r="D156" s="156"/>
      <c r="E156" s="328"/>
      <c r="F156" s="151">
        <f t="shared" si="8"/>
        <v>0</v>
      </c>
    </row>
    <row r="157" spans="1:6" ht="12.75">
      <c r="A157" s="371" t="s">
        <v>353</v>
      </c>
      <c r="B157" s="836" t="s">
        <v>727</v>
      </c>
      <c r="C157" s="841"/>
      <c r="D157" s="156"/>
      <c r="E157" s="328"/>
      <c r="F157" s="151">
        <f t="shared" si="8"/>
        <v>0</v>
      </c>
    </row>
    <row r="158" spans="1:6" ht="12.75">
      <c r="A158" s="371" t="s">
        <v>354</v>
      </c>
      <c r="B158" s="837" t="s">
        <v>730</v>
      </c>
      <c r="C158" s="841"/>
      <c r="D158" s="156"/>
      <c r="E158" s="328"/>
      <c r="F158" s="151">
        <f t="shared" si="8"/>
        <v>0</v>
      </c>
    </row>
    <row r="159" spans="1:6" ht="12.75">
      <c r="A159" s="371" t="s">
        <v>355</v>
      </c>
      <c r="B159" s="838" t="s">
        <v>729</v>
      </c>
      <c r="C159" s="841"/>
      <c r="D159" s="156"/>
      <c r="E159" s="328"/>
      <c r="F159" s="151">
        <f t="shared" si="8"/>
        <v>0</v>
      </c>
    </row>
    <row r="160" spans="1:6" ht="13.5" thickBot="1">
      <c r="A160" s="371" t="s">
        <v>356</v>
      </c>
      <c r="B160" s="382" t="s">
        <v>728</v>
      </c>
      <c r="C160" s="841"/>
      <c r="D160" s="156"/>
      <c r="E160" s="328"/>
      <c r="F160" s="151">
        <f t="shared" si="8"/>
        <v>0</v>
      </c>
    </row>
    <row r="161" spans="1:6" ht="13.5" thickBot="1">
      <c r="A161" s="395" t="s">
        <v>357</v>
      </c>
      <c r="B161" s="315" t="s">
        <v>505</v>
      </c>
      <c r="C161" s="842">
        <f>SUM(C153:C160)</f>
        <v>0</v>
      </c>
      <c r="D161" s="842">
        <f>SUM(D153:D160)</f>
        <v>0</v>
      </c>
      <c r="E161" s="842">
        <f>SUM(E153:E160)</f>
        <v>0</v>
      </c>
      <c r="F161" s="948">
        <f>SUM(F153:F160)</f>
        <v>0</v>
      </c>
    </row>
    <row r="162" spans="1:6" ht="12.75">
      <c r="A162" s="604"/>
      <c r="B162" s="44"/>
      <c r="C162" s="854"/>
      <c r="D162" s="856"/>
      <c r="E162" s="816"/>
      <c r="F162" s="693"/>
    </row>
    <row r="163" spans="1:6" ht="13.5" thickBot="1">
      <c r="A163" s="456" t="s">
        <v>358</v>
      </c>
      <c r="B163" s="1379" t="s">
        <v>506</v>
      </c>
      <c r="C163" s="994">
        <f>C150+C161</f>
        <v>3700</v>
      </c>
      <c r="D163" s="995">
        <f>D150+D161</f>
        <v>44651</v>
      </c>
      <c r="E163" s="994">
        <f>E150+E161</f>
        <v>0</v>
      </c>
      <c r="F163" s="994">
        <f>F150+F161</f>
        <v>48351</v>
      </c>
    </row>
    <row r="164" spans="1:6" ht="12.75">
      <c r="A164" s="393"/>
      <c r="B164" s="827"/>
      <c r="C164" s="695"/>
      <c r="D164" s="695"/>
      <c r="E164" s="695"/>
      <c r="F164" s="695"/>
    </row>
    <row r="165" spans="1:6" ht="12.75">
      <c r="A165" s="1675">
        <v>4</v>
      </c>
      <c r="B165" s="1675"/>
      <c r="C165" s="1675"/>
      <c r="D165" s="1675"/>
      <c r="E165" s="1675"/>
      <c r="F165" s="1675"/>
    </row>
    <row r="166" spans="1:5" ht="12.75">
      <c r="A166" s="1654" t="s">
        <v>1456</v>
      </c>
      <c r="B166" s="1654"/>
      <c r="C166" s="1654"/>
      <c r="D166" s="1654"/>
      <c r="E166" s="1654"/>
    </row>
    <row r="167" spans="1:5" ht="12.75">
      <c r="A167" s="384"/>
      <c r="B167" s="384"/>
      <c r="C167" s="384"/>
      <c r="D167" s="384"/>
      <c r="E167" s="384"/>
    </row>
    <row r="168" spans="1:6" ht="14.25">
      <c r="A168" s="1809" t="s">
        <v>1098</v>
      </c>
      <c r="B168" s="1810"/>
      <c r="C168" s="1810"/>
      <c r="D168" s="1810"/>
      <c r="E168" s="1810"/>
      <c r="F168" s="1810"/>
    </row>
    <row r="169" spans="2:5" ht="15.75">
      <c r="B169" s="21"/>
      <c r="C169" s="21"/>
      <c r="D169" s="21"/>
      <c r="E169" s="21"/>
    </row>
    <row r="170" spans="2:5" ht="15.75">
      <c r="B170" s="21" t="s">
        <v>545</v>
      </c>
      <c r="C170" s="21"/>
      <c r="D170" s="21"/>
      <c r="E170" s="21"/>
    </row>
    <row r="171" spans="2:5" ht="13.5" thickBot="1">
      <c r="B171" s="1"/>
      <c r="C171" s="1"/>
      <c r="D171" s="1"/>
      <c r="E171" s="22" t="s">
        <v>8</v>
      </c>
    </row>
    <row r="172" spans="1:6" ht="48.75" thickBot="1">
      <c r="A172" s="399" t="s">
        <v>311</v>
      </c>
      <c r="B172" s="610" t="s">
        <v>13</v>
      </c>
      <c r="C172" s="387" t="s">
        <v>540</v>
      </c>
      <c r="D172" s="388" t="s">
        <v>541</v>
      </c>
      <c r="E172" s="387" t="s">
        <v>536</v>
      </c>
      <c r="F172" s="388" t="s">
        <v>535</v>
      </c>
    </row>
    <row r="173" spans="1:6" ht="12.75">
      <c r="A173" s="611" t="s">
        <v>312</v>
      </c>
      <c r="B173" s="612" t="s">
        <v>313</v>
      </c>
      <c r="C173" s="621" t="s">
        <v>314</v>
      </c>
      <c r="D173" s="622" t="s">
        <v>315</v>
      </c>
      <c r="E173" s="796" t="s">
        <v>335</v>
      </c>
      <c r="F173" s="797" t="s">
        <v>360</v>
      </c>
    </row>
    <row r="174" spans="1:6" ht="12.75">
      <c r="A174" s="372" t="s">
        <v>316</v>
      </c>
      <c r="B174" s="379" t="s">
        <v>256</v>
      </c>
      <c r="C174" s="327"/>
      <c r="D174" s="151"/>
      <c r="E174" s="327"/>
      <c r="F174" s="136"/>
    </row>
    <row r="175" spans="1:6" ht="12.75">
      <c r="A175" s="371" t="s">
        <v>317</v>
      </c>
      <c r="B175" s="199" t="s">
        <v>681</v>
      </c>
      <c r="C175" s="327"/>
      <c r="D175" s="151"/>
      <c r="E175" s="327"/>
      <c r="F175" s="151">
        <f>SUM(C175:E175)</f>
        <v>0</v>
      </c>
    </row>
    <row r="176" spans="1:6" ht="12.75">
      <c r="A176" s="371" t="s">
        <v>318</v>
      </c>
      <c r="B176" s="228" t="s">
        <v>683</v>
      </c>
      <c r="C176" s="327"/>
      <c r="D176" s="151"/>
      <c r="E176" s="327"/>
      <c r="F176" s="151">
        <f>SUM(C176:E176)</f>
        <v>0</v>
      </c>
    </row>
    <row r="177" spans="1:6" ht="12.75">
      <c r="A177" s="371" t="s">
        <v>319</v>
      </c>
      <c r="B177" s="228" t="s">
        <v>682</v>
      </c>
      <c r="C177" s="327">
        <f>'4_sz_ melléklet'!C71</f>
        <v>149634</v>
      </c>
      <c r="D177" s="151"/>
      <c r="E177" s="327"/>
      <c r="F177" s="151">
        <f>SUM(C177:E177)</f>
        <v>149634</v>
      </c>
    </row>
    <row r="178" spans="1:6" ht="12.75">
      <c r="A178" s="371" t="s">
        <v>320</v>
      </c>
      <c r="B178" s="228" t="s">
        <v>684</v>
      </c>
      <c r="C178" s="327"/>
      <c r="D178" s="151"/>
      <c r="E178" s="327"/>
      <c r="F178" s="151">
        <f>SUM(C178:E178)</f>
        <v>0</v>
      </c>
    </row>
    <row r="179" spans="1:6" ht="12.75">
      <c r="A179" s="371" t="s">
        <v>321</v>
      </c>
      <c r="B179" s="228" t="s">
        <v>685</v>
      </c>
      <c r="C179" s="327"/>
      <c r="D179" s="151"/>
      <c r="E179" s="327"/>
      <c r="F179" s="151">
        <f>SUM(C179:E179)</f>
        <v>0</v>
      </c>
    </row>
    <row r="180" spans="1:6" ht="12.75">
      <c r="A180" s="371" t="s">
        <v>322</v>
      </c>
      <c r="B180" s="228" t="s">
        <v>686</v>
      </c>
      <c r="C180" s="327">
        <f>C181+C182+C183+C184+C185+C186+C187</f>
        <v>242110</v>
      </c>
      <c r="D180" s="327">
        <f>D181+D182+D183+D184+D185+D186+D187</f>
        <v>0</v>
      </c>
      <c r="E180" s="327">
        <f>E181+E182+E183+E184+E185+E186+E187</f>
        <v>0</v>
      </c>
      <c r="F180" s="151">
        <f>F181+F182+F183+F184+F185+F186+F187</f>
        <v>242110</v>
      </c>
    </row>
    <row r="181" spans="1:6" ht="12.75">
      <c r="A181" s="371" t="s">
        <v>323</v>
      </c>
      <c r="B181" s="228" t="s">
        <v>690</v>
      </c>
      <c r="C181" s="327">
        <f>'6 7_sz_melléklet'!E7+'6 7_sz_melléklet'!E8+'6 7_sz_melléklet'!E9-1345</f>
        <v>242110</v>
      </c>
      <c r="D181" s="151">
        <v>0</v>
      </c>
      <c r="E181" s="327">
        <v>0</v>
      </c>
      <c r="F181" s="151">
        <f>E181+D181+C181</f>
        <v>242110</v>
      </c>
    </row>
    <row r="182" spans="1:6" ht="12.75">
      <c r="A182" s="371" t="s">
        <v>324</v>
      </c>
      <c r="B182" s="228" t="s">
        <v>691</v>
      </c>
      <c r="C182" s="327"/>
      <c r="D182" s="151"/>
      <c r="E182" s="327"/>
      <c r="F182" s="151">
        <f aca="true" t="shared" si="9" ref="F182:F188">E182+D182+C182</f>
        <v>0</v>
      </c>
    </row>
    <row r="183" spans="1:6" ht="12.75">
      <c r="A183" s="371" t="s">
        <v>325</v>
      </c>
      <c r="B183" s="228" t="s">
        <v>692</v>
      </c>
      <c r="C183" s="327"/>
      <c r="D183" s="151"/>
      <c r="E183" s="327"/>
      <c r="F183" s="151">
        <f t="shared" si="9"/>
        <v>0</v>
      </c>
    </row>
    <row r="184" spans="1:6" ht="12.75">
      <c r="A184" s="371" t="s">
        <v>326</v>
      </c>
      <c r="B184" s="380" t="s">
        <v>688</v>
      </c>
      <c r="C184" s="262"/>
      <c r="D184" s="155"/>
      <c r="E184" s="327"/>
      <c r="F184" s="151">
        <f t="shared" si="9"/>
        <v>0</v>
      </c>
    </row>
    <row r="185" spans="1:6" ht="12.75">
      <c r="A185" s="371" t="s">
        <v>327</v>
      </c>
      <c r="B185" s="834" t="s">
        <v>689</v>
      </c>
      <c r="C185" s="330"/>
      <c r="D185" s="152"/>
      <c r="E185" s="327"/>
      <c r="F185" s="151">
        <f t="shared" si="9"/>
        <v>0</v>
      </c>
    </row>
    <row r="186" spans="1:6" ht="12.75">
      <c r="A186" s="371" t="s">
        <v>328</v>
      </c>
      <c r="B186" s="835" t="s">
        <v>687</v>
      </c>
      <c r="C186" s="330"/>
      <c r="D186" s="152"/>
      <c r="E186" s="327"/>
      <c r="F186" s="151">
        <f t="shared" si="9"/>
        <v>0</v>
      </c>
    </row>
    <row r="187" spans="1:6" ht="12.75">
      <c r="A187" s="371" t="s">
        <v>329</v>
      </c>
      <c r="B187" s="309" t="s">
        <v>957</v>
      </c>
      <c r="C187" s="330"/>
      <c r="D187" s="152"/>
      <c r="E187" s="327"/>
      <c r="F187" s="156"/>
    </row>
    <row r="188" spans="1:6" ht="13.5" thickBot="1">
      <c r="A188" s="371" t="s">
        <v>330</v>
      </c>
      <c r="B188" s="230" t="s">
        <v>694</v>
      </c>
      <c r="C188" s="328"/>
      <c r="D188" s="156"/>
      <c r="E188" s="327"/>
      <c r="F188" s="325">
        <f t="shared" si="9"/>
        <v>0</v>
      </c>
    </row>
    <row r="189" spans="1:6" ht="13.5" thickBot="1">
      <c r="A189" s="615" t="s">
        <v>331</v>
      </c>
      <c r="B189" s="616" t="s">
        <v>6</v>
      </c>
      <c r="C189" s="624">
        <f>C175+C176+C177+C178+C180+C188</f>
        <v>391744</v>
      </c>
      <c r="D189" s="624">
        <f>D175+D176+D177+D178+D180+D188</f>
        <v>0</v>
      </c>
      <c r="E189" s="624">
        <f>E175+E176+E177+E178+E180+E188</f>
        <v>0</v>
      </c>
      <c r="F189" s="625">
        <f>F175+F176+F177+F178+F180+F188</f>
        <v>391744</v>
      </c>
    </row>
    <row r="190" spans="1:6" ht="8.25" customHeight="1" thickTop="1">
      <c r="A190" s="604"/>
      <c r="B190" s="379"/>
      <c r="C190" s="261"/>
      <c r="D190" s="261"/>
      <c r="E190" s="261"/>
      <c r="F190" s="159"/>
    </row>
    <row r="191" spans="1:6" ht="12.75">
      <c r="A191" s="372" t="s">
        <v>332</v>
      </c>
      <c r="B191" s="381" t="s">
        <v>257</v>
      </c>
      <c r="C191" s="329"/>
      <c r="D191" s="154"/>
      <c r="E191" s="329"/>
      <c r="F191" s="206"/>
    </row>
    <row r="192" spans="1:6" ht="12.75">
      <c r="A192" s="372" t="s">
        <v>333</v>
      </c>
      <c r="B192" s="228" t="s">
        <v>695</v>
      </c>
      <c r="C192" s="327">
        <f>'4_sz_ melléklet'!C86</f>
        <v>111713</v>
      </c>
      <c r="D192" s="151">
        <v>0</v>
      </c>
      <c r="E192" s="327"/>
      <c r="F192" s="151">
        <f>SUM(C192:E192)</f>
        <v>111713</v>
      </c>
    </row>
    <row r="193" spans="1:6" ht="12.75">
      <c r="A193" s="372" t="s">
        <v>334</v>
      </c>
      <c r="B193" s="228" t="s">
        <v>696</v>
      </c>
      <c r="C193" s="327">
        <f>'32_sz_ melléklet'!C42</f>
        <v>915</v>
      </c>
      <c r="D193" s="151"/>
      <c r="E193" s="327"/>
      <c r="F193" s="151">
        <f>SUM(C193:E193)</f>
        <v>915</v>
      </c>
    </row>
    <row r="194" spans="1:6" ht="12.75">
      <c r="A194" s="372" t="s">
        <v>336</v>
      </c>
      <c r="B194" s="228" t="s">
        <v>697</v>
      </c>
      <c r="C194" s="327">
        <f>C195+C196+C197+C199</f>
        <v>0</v>
      </c>
      <c r="D194" s="327">
        <f>D195+D196+D197</f>
        <v>0</v>
      </c>
      <c r="E194" s="327">
        <f>E195+E196+E197</f>
        <v>0</v>
      </c>
      <c r="F194" s="151">
        <f>SUM(C194:E194)</f>
        <v>0</v>
      </c>
    </row>
    <row r="195" spans="1:6" ht="12.75">
      <c r="A195" s="372" t="s">
        <v>337</v>
      </c>
      <c r="B195" s="380" t="s">
        <v>698</v>
      </c>
      <c r="C195" s="327"/>
      <c r="D195" s="151"/>
      <c r="E195" s="327"/>
      <c r="F195" s="151">
        <f>SUM(C195:E195)</f>
        <v>0</v>
      </c>
    </row>
    <row r="196" spans="1:6" ht="12.75">
      <c r="A196" s="372" t="s">
        <v>338</v>
      </c>
      <c r="B196" s="380" t="s">
        <v>699</v>
      </c>
      <c r="C196" s="327"/>
      <c r="D196" s="151"/>
      <c r="E196" s="327"/>
      <c r="F196" s="151">
        <f aca="true" t="shared" si="10" ref="F196:F201">SUM(C196:E196)</f>
        <v>0</v>
      </c>
    </row>
    <row r="197" spans="1:6" ht="12.75">
      <c r="A197" s="372" t="s">
        <v>339</v>
      </c>
      <c r="B197" s="380" t="s">
        <v>700</v>
      </c>
      <c r="C197" s="327"/>
      <c r="D197" s="151"/>
      <c r="E197" s="327"/>
      <c r="F197" s="151">
        <f t="shared" si="10"/>
        <v>0</v>
      </c>
    </row>
    <row r="198" spans="1:6" ht="12.75">
      <c r="A198" s="372" t="s">
        <v>340</v>
      </c>
      <c r="B198" s="380" t="s">
        <v>701</v>
      </c>
      <c r="C198" s="327"/>
      <c r="D198" s="151"/>
      <c r="E198" s="327"/>
      <c r="F198" s="151">
        <f t="shared" si="10"/>
        <v>0</v>
      </c>
    </row>
    <row r="199" spans="1:6" ht="12.75">
      <c r="A199" s="372" t="s">
        <v>341</v>
      </c>
      <c r="B199" s="834" t="s">
        <v>702</v>
      </c>
      <c r="C199" s="327"/>
      <c r="D199" s="151"/>
      <c r="E199" s="327"/>
      <c r="F199" s="151">
        <f t="shared" si="10"/>
        <v>0</v>
      </c>
    </row>
    <row r="200" spans="1:6" ht="12.75">
      <c r="A200" s="372" t="s">
        <v>342</v>
      </c>
      <c r="B200" s="309" t="s">
        <v>703</v>
      </c>
      <c r="C200" s="327"/>
      <c r="D200" s="151"/>
      <c r="E200" s="327"/>
      <c r="F200" s="151">
        <f t="shared" si="10"/>
        <v>0</v>
      </c>
    </row>
    <row r="201" spans="1:6" ht="12.75">
      <c r="A201" s="372" t="s">
        <v>343</v>
      </c>
      <c r="B201" s="1091" t="s">
        <v>704</v>
      </c>
      <c r="C201" s="327"/>
      <c r="D201" s="151"/>
      <c r="E201" s="327"/>
      <c r="F201" s="151">
        <f t="shared" si="10"/>
        <v>0</v>
      </c>
    </row>
    <row r="202" spans="1:6" ht="12.75">
      <c r="A202" s="372" t="s">
        <v>344</v>
      </c>
      <c r="B202" s="228"/>
      <c r="C202" s="327"/>
      <c r="D202" s="151"/>
      <c r="E202" s="327"/>
      <c r="F202" s="151"/>
    </row>
    <row r="203" spans="1:6" ht="13.5" thickBot="1">
      <c r="A203" s="372" t="s">
        <v>345</v>
      </c>
      <c r="B203" s="230"/>
      <c r="C203" s="328"/>
      <c r="D203" s="328"/>
      <c r="E203" s="328"/>
      <c r="F203" s="151"/>
    </row>
    <row r="204" spans="1:6" ht="13.5" thickBot="1">
      <c r="A204" s="615" t="s">
        <v>346</v>
      </c>
      <c r="B204" s="616" t="s">
        <v>7</v>
      </c>
      <c r="C204" s="624">
        <f>C192+C193+C194+C202+C203</f>
        <v>112628</v>
      </c>
      <c r="D204" s="624">
        <f>D192+D193+D194+D202+D203</f>
        <v>0</v>
      </c>
      <c r="E204" s="624">
        <f>E192+E193+E194+E202+E203</f>
        <v>0</v>
      </c>
      <c r="F204" s="625">
        <f>F192+F193+F194+F202+F203</f>
        <v>112628</v>
      </c>
    </row>
    <row r="205" spans="1:6" ht="27" thickBot="1" thickTop="1">
      <c r="A205" s="615" t="s">
        <v>347</v>
      </c>
      <c r="B205" s="620" t="s">
        <v>503</v>
      </c>
      <c r="C205" s="627">
        <f>C189+C204</f>
        <v>504372</v>
      </c>
      <c r="D205" s="627">
        <f>D189+D204</f>
        <v>0</v>
      </c>
      <c r="E205" s="627">
        <f>E189+E204</f>
        <v>0</v>
      </c>
      <c r="F205" s="628">
        <f>F189+F204</f>
        <v>504372</v>
      </c>
    </row>
    <row r="206" spans="1:6" ht="9" customHeight="1" thickTop="1">
      <c r="A206" s="604"/>
      <c r="B206" s="848"/>
      <c r="C206" s="267"/>
      <c r="D206" s="267"/>
      <c r="E206" s="267"/>
      <c r="F206" s="272"/>
    </row>
    <row r="207" spans="1:6" ht="12.75">
      <c r="A207" s="372" t="s">
        <v>348</v>
      </c>
      <c r="B207" s="485" t="s">
        <v>504</v>
      </c>
      <c r="C207" s="626"/>
      <c r="D207" s="154"/>
      <c r="E207" s="329"/>
      <c r="F207" s="206"/>
    </row>
    <row r="208" spans="1:6" ht="12.75">
      <c r="A208" s="371" t="s">
        <v>349</v>
      </c>
      <c r="B208" s="229" t="s">
        <v>726</v>
      </c>
      <c r="C208" s="332"/>
      <c r="D208" s="151"/>
      <c r="E208" s="327"/>
      <c r="F208" s="151">
        <f>E208+D208+C208</f>
        <v>0</v>
      </c>
    </row>
    <row r="209" spans="1:6" ht="12.75">
      <c r="A209" s="371" t="s">
        <v>350</v>
      </c>
      <c r="B209" s="697" t="s">
        <v>724</v>
      </c>
      <c r="C209" s="841"/>
      <c r="D209" s="156"/>
      <c r="E209" s="328"/>
      <c r="F209" s="151">
        <f aca="true" t="shared" si="11" ref="F209:F215">E209+D209+C209</f>
        <v>0</v>
      </c>
    </row>
    <row r="210" spans="1:6" ht="12.75">
      <c r="A210" s="371" t="s">
        <v>351</v>
      </c>
      <c r="B210" s="697" t="s">
        <v>723</v>
      </c>
      <c r="C210" s="841"/>
      <c r="D210" s="156"/>
      <c r="E210" s="328"/>
      <c r="F210" s="151">
        <f t="shared" si="11"/>
        <v>0</v>
      </c>
    </row>
    <row r="211" spans="1:6" ht="12.75">
      <c r="A211" s="371" t="s">
        <v>352</v>
      </c>
      <c r="B211" s="697" t="s">
        <v>725</v>
      </c>
      <c r="C211" s="841"/>
      <c r="D211" s="156"/>
      <c r="E211" s="328"/>
      <c r="F211" s="151">
        <f t="shared" si="11"/>
        <v>0</v>
      </c>
    </row>
    <row r="212" spans="1:6" ht="12.75">
      <c r="A212" s="371" t="s">
        <v>353</v>
      </c>
      <c r="B212" s="836" t="s">
        <v>727</v>
      </c>
      <c r="C212" s="841"/>
      <c r="D212" s="156"/>
      <c r="E212" s="328"/>
      <c r="F212" s="151">
        <f t="shared" si="11"/>
        <v>0</v>
      </c>
    </row>
    <row r="213" spans="1:6" ht="12.75">
      <c r="A213" s="371" t="s">
        <v>354</v>
      </c>
      <c r="B213" s="837" t="s">
        <v>730</v>
      </c>
      <c r="C213" s="841"/>
      <c r="D213" s="156"/>
      <c r="E213" s="328"/>
      <c r="F213" s="151">
        <f t="shared" si="11"/>
        <v>0</v>
      </c>
    </row>
    <row r="214" spans="1:6" ht="12.75">
      <c r="A214" s="371" t="s">
        <v>355</v>
      </c>
      <c r="B214" s="838" t="s">
        <v>729</v>
      </c>
      <c r="C214" s="841"/>
      <c r="D214" s="156"/>
      <c r="E214" s="328"/>
      <c r="F214" s="151">
        <f t="shared" si="11"/>
        <v>0</v>
      </c>
    </row>
    <row r="215" spans="1:6" ht="13.5" thickBot="1">
      <c r="A215" s="371" t="s">
        <v>356</v>
      </c>
      <c r="B215" s="382" t="s">
        <v>728</v>
      </c>
      <c r="C215" s="841"/>
      <c r="D215" s="156"/>
      <c r="E215" s="328"/>
      <c r="F215" s="151">
        <f t="shared" si="11"/>
        <v>0</v>
      </c>
    </row>
    <row r="216" spans="1:6" ht="13.5" thickBot="1">
      <c r="A216" s="395" t="s">
        <v>357</v>
      </c>
      <c r="B216" s="315" t="s">
        <v>505</v>
      </c>
      <c r="C216" s="842">
        <f>SUM(C208:C215)</f>
        <v>0</v>
      </c>
      <c r="D216" s="842">
        <f>SUM(D208:D215)</f>
        <v>0</v>
      </c>
      <c r="E216" s="842">
        <f>SUM(E208:E215)</f>
        <v>0</v>
      </c>
      <c r="F216" s="948">
        <f>SUM(F208:F215)</f>
        <v>0</v>
      </c>
    </row>
    <row r="217" spans="1:6" ht="12.75">
      <c r="A217" s="604"/>
      <c r="B217" s="44"/>
      <c r="C217" s="854"/>
      <c r="D217" s="856"/>
      <c r="E217" s="816"/>
      <c r="F217" s="693"/>
    </row>
    <row r="218" spans="1:6" ht="13.5" thickBot="1">
      <c r="A218" s="456" t="s">
        <v>358</v>
      </c>
      <c r="B218" s="1379" t="s">
        <v>506</v>
      </c>
      <c r="C218" s="994">
        <f>C205+C216</f>
        <v>504372</v>
      </c>
      <c r="D218" s="995">
        <f>D205+D216</f>
        <v>0</v>
      </c>
      <c r="E218" s="994">
        <f>E205+E216</f>
        <v>0</v>
      </c>
      <c r="F218" s="994">
        <f>F205+F216</f>
        <v>504372</v>
      </c>
    </row>
    <row r="219" spans="1:6" ht="12.75">
      <c r="A219" s="1675">
        <v>5</v>
      </c>
      <c r="B219" s="1675"/>
      <c r="C219" s="1675"/>
      <c r="D219" s="1675"/>
      <c r="E219" s="1675"/>
      <c r="F219" s="1675"/>
    </row>
    <row r="220" spans="1:5" ht="12.75">
      <c r="A220" s="1654" t="s">
        <v>1456</v>
      </c>
      <c r="B220" s="1654"/>
      <c r="C220" s="1654"/>
      <c r="D220" s="1654"/>
      <c r="E220" s="1654"/>
    </row>
    <row r="221" spans="1:5" ht="12.75">
      <c r="A221" s="384"/>
      <c r="B221" s="384"/>
      <c r="C221" s="384"/>
      <c r="D221" s="384"/>
      <c r="E221" s="384"/>
    </row>
    <row r="222" spans="1:6" ht="14.25">
      <c r="A222" s="1809" t="s">
        <v>1098</v>
      </c>
      <c r="B222" s="1810"/>
      <c r="C222" s="1810"/>
      <c r="D222" s="1810"/>
      <c r="E222" s="1810"/>
      <c r="F222" s="1810"/>
    </row>
    <row r="223" spans="2:5" ht="15.75">
      <c r="B223" s="21"/>
      <c r="C223" s="21"/>
      <c r="D223" s="21"/>
      <c r="E223" s="21"/>
    </row>
    <row r="224" spans="2:5" ht="15.75">
      <c r="B224" s="21" t="s">
        <v>546</v>
      </c>
      <c r="C224" s="21"/>
      <c r="D224" s="21"/>
      <c r="E224" s="21"/>
    </row>
    <row r="225" spans="2:5" ht="13.5" thickBot="1">
      <c r="B225" s="1"/>
      <c r="C225" s="1"/>
      <c r="D225" s="1"/>
      <c r="E225" s="22" t="s">
        <v>8</v>
      </c>
    </row>
    <row r="226" spans="1:6" ht="45.75" customHeight="1" thickBot="1">
      <c r="A226" s="399" t="s">
        <v>311</v>
      </c>
      <c r="B226" s="610" t="s">
        <v>13</v>
      </c>
      <c r="C226" s="387" t="s">
        <v>540</v>
      </c>
      <c r="D226" s="388" t="s">
        <v>541</v>
      </c>
      <c r="E226" s="387" t="s">
        <v>536</v>
      </c>
      <c r="F226" s="388" t="s">
        <v>535</v>
      </c>
    </row>
    <row r="227" spans="1:6" ht="12.75">
      <c r="A227" s="611" t="s">
        <v>312</v>
      </c>
      <c r="B227" s="612" t="s">
        <v>313</v>
      </c>
      <c r="C227" s="621" t="s">
        <v>314</v>
      </c>
      <c r="D227" s="622" t="s">
        <v>315</v>
      </c>
      <c r="E227" s="796" t="s">
        <v>335</v>
      </c>
      <c r="F227" s="797" t="s">
        <v>360</v>
      </c>
    </row>
    <row r="228" spans="1:6" ht="12.75">
      <c r="A228" s="372" t="s">
        <v>316</v>
      </c>
      <c r="B228" s="379" t="s">
        <v>256</v>
      </c>
      <c r="C228" s="327"/>
      <c r="D228" s="151"/>
      <c r="E228" s="327"/>
      <c r="F228" s="136"/>
    </row>
    <row r="229" spans="1:6" ht="12.75">
      <c r="A229" s="371" t="s">
        <v>317</v>
      </c>
      <c r="B229" s="199" t="s">
        <v>681</v>
      </c>
      <c r="C229" s="327"/>
      <c r="D229" s="151"/>
      <c r="E229" s="327"/>
      <c r="F229" s="151">
        <f>SUM(C229:E229)</f>
        <v>0</v>
      </c>
    </row>
    <row r="230" spans="1:6" ht="12.75">
      <c r="A230" s="371" t="s">
        <v>318</v>
      </c>
      <c r="B230" s="228" t="s">
        <v>683</v>
      </c>
      <c r="C230" s="327"/>
      <c r="D230" s="151"/>
      <c r="E230" s="327"/>
      <c r="F230" s="151">
        <f>SUM(C230:E230)</f>
        <v>0</v>
      </c>
    </row>
    <row r="231" spans="1:6" ht="12.75">
      <c r="A231" s="371" t="s">
        <v>319</v>
      </c>
      <c r="B231" s="228" t="s">
        <v>682</v>
      </c>
      <c r="C231" s="327"/>
      <c r="D231" s="151"/>
      <c r="E231" s="327"/>
      <c r="F231" s="151">
        <f>SUM(C231:E231)</f>
        <v>0</v>
      </c>
    </row>
    <row r="232" spans="1:6" ht="12.75">
      <c r="A232" s="371" t="s">
        <v>320</v>
      </c>
      <c r="B232" s="228" t="s">
        <v>684</v>
      </c>
      <c r="C232" s="327"/>
      <c r="D232" s="151"/>
      <c r="E232" s="327"/>
      <c r="F232" s="151">
        <f>SUM(C232:E232)</f>
        <v>0</v>
      </c>
    </row>
    <row r="233" spans="1:6" ht="12.75">
      <c r="A233" s="371" t="s">
        <v>321</v>
      </c>
      <c r="B233" s="228" t="s">
        <v>685</v>
      </c>
      <c r="C233" s="327"/>
      <c r="D233" s="151"/>
      <c r="E233" s="327"/>
      <c r="F233" s="151">
        <f>SUM(C233:E233)</f>
        <v>0</v>
      </c>
    </row>
    <row r="234" spans="1:6" ht="12.75">
      <c r="A234" s="371" t="s">
        <v>322</v>
      </c>
      <c r="B234" s="228" t="s">
        <v>686</v>
      </c>
      <c r="C234" s="327">
        <f>C235+C236+C237+C238+C239+C240+C241</f>
        <v>0</v>
      </c>
      <c r="D234" s="327">
        <f>D235+D236+D237+D238+D239+D240+D241</f>
        <v>0</v>
      </c>
      <c r="E234" s="327">
        <f>E235+E236+E237+E238+E239+E240+E241</f>
        <v>0</v>
      </c>
      <c r="F234" s="151">
        <f>F235+F236+F237+F238+F239+F240+F241</f>
        <v>0</v>
      </c>
    </row>
    <row r="235" spans="1:6" ht="12.75">
      <c r="A235" s="371" t="s">
        <v>323</v>
      </c>
      <c r="B235" s="228" t="s">
        <v>690</v>
      </c>
      <c r="C235" s="327">
        <v>0</v>
      </c>
      <c r="D235" s="151">
        <v>0</v>
      </c>
      <c r="E235" s="327">
        <v>0</v>
      </c>
      <c r="F235" s="151">
        <f>E235+D235+C235</f>
        <v>0</v>
      </c>
    </row>
    <row r="236" spans="1:6" ht="12.75">
      <c r="A236" s="371" t="s">
        <v>324</v>
      </c>
      <c r="B236" s="228" t="s">
        <v>691</v>
      </c>
      <c r="C236" s="327"/>
      <c r="D236" s="151"/>
      <c r="E236" s="327"/>
      <c r="F236" s="151">
        <f aca="true" t="shared" si="12" ref="F236:F242">E236+D236+C236</f>
        <v>0</v>
      </c>
    </row>
    <row r="237" spans="1:6" ht="12.75">
      <c r="A237" s="371" t="s">
        <v>325</v>
      </c>
      <c r="B237" s="228" t="s">
        <v>692</v>
      </c>
      <c r="C237" s="327"/>
      <c r="D237" s="151"/>
      <c r="E237" s="327"/>
      <c r="F237" s="151">
        <f t="shared" si="12"/>
        <v>0</v>
      </c>
    </row>
    <row r="238" spans="1:6" ht="12.75">
      <c r="A238" s="371" t="s">
        <v>326</v>
      </c>
      <c r="B238" s="380" t="s">
        <v>688</v>
      </c>
      <c r="C238" s="262"/>
      <c r="D238" s="151"/>
      <c r="E238" s="327"/>
      <c r="F238" s="151">
        <f t="shared" si="12"/>
        <v>0</v>
      </c>
    </row>
    <row r="239" spans="1:6" ht="12.75">
      <c r="A239" s="371" t="s">
        <v>327</v>
      </c>
      <c r="B239" s="834" t="s">
        <v>689</v>
      </c>
      <c r="C239" s="330"/>
      <c r="D239" s="156"/>
      <c r="E239" s="327"/>
      <c r="F239" s="151">
        <f t="shared" si="12"/>
        <v>0</v>
      </c>
    </row>
    <row r="240" spans="1:6" ht="12.75">
      <c r="A240" s="371" t="s">
        <v>328</v>
      </c>
      <c r="B240" s="835" t="s">
        <v>687</v>
      </c>
      <c r="C240" s="330"/>
      <c r="D240" s="152"/>
      <c r="E240" s="327"/>
      <c r="F240" s="151">
        <f t="shared" si="12"/>
        <v>0</v>
      </c>
    </row>
    <row r="241" spans="1:6" ht="12.75">
      <c r="A241" s="371" t="s">
        <v>329</v>
      </c>
      <c r="B241" s="309" t="s">
        <v>957</v>
      </c>
      <c r="C241" s="330"/>
      <c r="D241" s="152"/>
      <c r="E241" s="327"/>
      <c r="F241" s="156"/>
    </row>
    <row r="242" spans="1:6" ht="13.5" thickBot="1">
      <c r="A242" s="371" t="s">
        <v>330</v>
      </c>
      <c r="B242" s="230" t="s">
        <v>694</v>
      </c>
      <c r="C242" s="328"/>
      <c r="D242" s="156"/>
      <c r="E242" s="327"/>
      <c r="F242" s="325">
        <f t="shared" si="12"/>
        <v>0</v>
      </c>
    </row>
    <row r="243" spans="1:6" ht="13.5" thickBot="1">
      <c r="A243" s="615" t="s">
        <v>331</v>
      </c>
      <c r="B243" s="616" t="s">
        <v>6</v>
      </c>
      <c r="C243" s="624">
        <f>C229+C230+C231+C232+C234+C242</f>
        <v>0</v>
      </c>
      <c r="D243" s="624">
        <f>D229+D230+D231+D232+D234+D242</f>
        <v>0</v>
      </c>
      <c r="E243" s="624">
        <f>E229+E230+E231+E232+E234+E242</f>
        <v>0</v>
      </c>
      <c r="F243" s="625">
        <f>F229+F230+F231+F232+F234+F242</f>
        <v>0</v>
      </c>
    </row>
    <row r="244" spans="1:6" ht="9.75" customHeight="1" thickTop="1">
      <c r="A244" s="604"/>
      <c r="B244" s="379"/>
      <c r="C244" s="261"/>
      <c r="D244" s="261"/>
      <c r="E244" s="261"/>
      <c r="F244" s="159"/>
    </row>
    <row r="245" spans="1:6" ht="12.75">
      <c r="A245" s="372" t="s">
        <v>332</v>
      </c>
      <c r="B245" s="381" t="s">
        <v>257</v>
      </c>
      <c r="C245" s="329"/>
      <c r="D245" s="154"/>
      <c r="E245" s="329"/>
      <c r="F245" s="206"/>
    </row>
    <row r="246" spans="1:6" ht="12.75">
      <c r="A246" s="372" t="s">
        <v>333</v>
      </c>
      <c r="B246" s="228" t="s">
        <v>695</v>
      </c>
      <c r="C246" s="327"/>
      <c r="D246" s="151"/>
      <c r="E246" s="327"/>
      <c r="F246" s="151">
        <f>SUM(C246:E246)</f>
        <v>0</v>
      </c>
    </row>
    <row r="247" spans="1:6" ht="12.75">
      <c r="A247" s="372" t="s">
        <v>334</v>
      </c>
      <c r="B247" s="228" t="s">
        <v>696</v>
      </c>
      <c r="C247" s="327"/>
      <c r="D247" s="151"/>
      <c r="E247" s="327"/>
      <c r="F247" s="151">
        <f>SUM(C247:E247)</f>
        <v>0</v>
      </c>
    </row>
    <row r="248" spans="1:6" ht="12.75">
      <c r="A248" s="372" t="s">
        <v>336</v>
      </c>
      <c r="B248" s="228" t="s">
        <v>697</v>
      </c>
      <c r="C248" s="327">
        <f>SUM(C249:C255)</f>
        <v>0</v>
      </c>
      <c r="D248" s="327">
        <f>SUM(D249:D255)</f>
        <v>12400</v>
      </c>
      <c r="E248" s="327">
        <f>SUM(E249:E255)</f>
        <v>0</v>
      </c>
      <c r="F248" s="151">
        <f>SUM(F249:F255)</f>
        <v>12400</v>
      </c>
    </row>
    <row r="249" spans="1:6" ht="12.75">
      <c r="A249" s="372" t="s">
        <v>337</v>
      </c>
      <c r="B249" s="380" t="s">
        <v>698</v>
      </c>
      <c r="C249" s="327"/>
      <c r="D249" s="151"/>
      <c r="E249" s="327"/>
      <c r="F249" s="151">
        <f>SUM(C249:E249)</f>
        <v>0</v>
      </c>
    </row>
    <row r="250" spans="1:6" ht="12.75">
      <c r="A250" s="372" t="s">
        <v>338</v>
      </c>
      <c r="B250" s="380" t="s">
        <v>699</v>
      </c>
      <c r="C250" s="327"/>
      <c r="D250" s="151"/>
      <c r="E250" s="327"/>
      <c r="F250" s="151">
        <f aca="true" t="shared" si="13" ref="F250:F255">SUM(C250:E250)</f>
        <v>0</v>
      </c>
    </row>
    <row r="251" spans="1:6" ht="12.75">
      <c r="A251" s="372" t="s">
        <v>339</v>
      </c>
      <c r="B251" s="380" t="s">
        <v>700</v>
      </c>
      <c r="C251" s="327"/>
      <c r="D251" s="151"/>
      <c r="E251" s="327"/>
      <c r="F251" s="151">
        <f t="shared" si="13"/>
        <v>0</v>
      </c>
    </row>
    <row r="252" spans="1:6" ht="12.75">
      <c r="A252" s="372" t="s">
        <v>340</v>
      </c>
      <c r="B252" s="380" t="s">
        <v>701</v>
      </c>
      <c r="C252" s="327"/>
      <c r="D252" s="151"/>
      <c r="E252" s="327"/>
      <c r="F252" s="151">
        <f t="shared" si="13"/>
        <v>0</v>
      </c>
    </row>
    <row r="253" spans="1:6" ht="12.75">
      <c r="A253" s="372" t="s">
        <v>341</v>
      </c>
      <c r="B253" s="834" t="s">
        <v>702</v>
      </c>
      <c r="C253" s="327"/>
      <c r="D253" s="151">
        <f>'11 12 sz_melléklet'!C41</f>
        <v>8200</v>
      </c>
      <c r="E253" s="327"/>
      <c r="F253" s="151">
        <f t="shared" si="13"/>
        <v>8200</v>
      </c>
    </row>
    <row r="254" spans="1:6" ht="12.75">
      <c r="A254" s="372" t="s">
        <v>342</v>
      </c>
      <c r="B254" s="309" t="s">
        <v>703</v>
      </c>
      <c r="C254" s="327"/>
      <c r="D254" s="151">
        <f>'4_sz_ melléklet'!D94</f>
        <v>4200</v>
      </c>
      <c r="E254" s="327"/>
      <c r="F254" s="151">
        <f t="shared" si="13"/>
        <v>4200</v>
      </c>
    </row>
    <row r="255" spans="1:6" ht="12.75">
      <c r="A255" s="372" t="s">
        <v>343</v>
      </c>
      <c r="B255" s="1091" t="s">
        <v>704</v>
      </c>
      <c r="C255" s="327"/>
      <c r="D255" s="151"/>
      <c r="E255" s="327"/>
      <c r="F255" s="151">
        <f t="shared" si="13"/>
        <v>0</v>
      </c>
    </row>
    <row r="256" spans="1:6" ht="12.75">
      <c r="A256" s="372" t="s">
        <v>344</v>
      </c>
      <c r="B256" s="228"/>
      <c r="C256" s="327"/>
      <c r="D256" s="151"/>
      <c r="E256" s="327"/>
      <c r="F256" s="151"/>
    </row>
    <row r="257" spans="1:6" ht="13.5" thickBot="1">
      <c r="A257" s="372" t="s">
        <v>345</v>
      </c>
      <c r="B257" s="230"/>
      <c r="C257" s="330"/>
      <c r="D257" s="330"/>
      <c r="E257" s="330"/>
      <c r="F257" s="152"/>
    </row>
    <row r="258" spans="1:6" ht="13.5" thickBot="1">
      <c r="A258" s="615" t="s">
        <v>346</v>
      </c>
      <c r="B258" s="616" t="s">
        <v>7</v>
      </c>
      <c r="C258" s="624">
        <f>C246+C247+C248+C256+C257</f>
        <v>0</v>
      </c>
      <c r="D258" s="624">
        <f>D246+D247+D248+D256+D257</f>
        <v>12400</v>
      </c>
      <c r="E258" s="624">
        <f>E246+E247+E248+E256+E257</f>
        <v>0</v>
      </c>
      <c r="F258" s="625">
        <f>F246+F247+F248+F256+F257</f>
        <v>12400</v>
      </c>
    </row>
    <row r="259" spans="1:6" ht="27" thickBot="1" thickTop="1">
      <c r="A259" s="615" t="s">
        <v>347</v>
      </c>
      <c r="B259" s="620" t="s">
        <v>503</v>
      </c>
      <c r="C259" s="627">
        <f>C243+C258</f>
        <v>0</v>
      </c>
      <c r="D259" s="627">
        <f>D243+D258</f>
        <v>12400</v>
      </c>
      <c r="E259" s="627">
        <f>E243+E258</f>
        <v>0</v>
      </c>
      <c r="F259" s="628">
        <f>F243+F258</f>
        <v>12400</v>
      </c>
    </row>
    <row r="260" spans="1:6" ht="9.75" customHeight="1" thickTop="1">
      <c r="A260" s="604"/>
      <c r="B260" s="848"/>
      <c r="C260" s="267"/>
      <c r="D260" s="267"/>
      <c r="E260" s="267"/>
      <c r="F260" s="272"/>
    </row>
    <row r="261" spans="1:6" ht="12.75">
      <c r="A261" s="372" t="s">
        <v>348</v>
      </c>
      <c r="B261" s="485" t="s">
        <v>504</v>
      </c>
      <c r="C261" s="626"/>
      <c r="D261" s="154"/>
      <c r="E261" s="329"/>
      <c r="F261" s="206"/>
    </row>
    <row r="262" spans="1:6" ht="12.75">
      <c r="A262" s="371" t="s">
        <v>349</v>
      </c>
      <c r="B262" s="229" t="s">
        <v>726</v>
      </c>
      <c r="C262" s="332"/>
      <c r="D262" s="151"/>
      <c r="E262" s="327"/>
      <c r="F262" s="151">
        <f>SUM(C262:E262)</f>
        <v>0</v>
      </c>
    </row>
    <row r="263" spans="1:6" ht="12.75">
      <c r="A263" s="371" t="s">
        <v>350</v>
      </c>
      <c r="B263" s="697" t="s">
        <v>724</v>
      </c>
      <c r="C263" s="841"/>
      <c r="D263" s="156"/>
      <c r="E263" s="328"/>
      <c r="F263" s="151">
        <f aca="true" t="shared" si="14" ref="F263:F269">SUM(C263:E263)</f>
        <v>0</v>
      </c>
    </row>
    <row r="264" spans="1:6" ht="12.75">
      <c r="A264" s="371" t="s">
        <v>351</v>
      </c>
      <c r="B264" s="697" t="s">
        <v>723</v>
      </c>
      <c r="C264" s="841"/>
      <c r="D264" s="156"/>
      <c r="E264" s="328"/>
      <c r="F264" s="151">
        <f t="shared" si="14"/>
        <v>0</v>
      </c>
    </row>
    <row r="265" spans="1:6" ht="12.75">
      <c r="A265" s="371" t="s">
        <v>352</v>
      </c>
      <c r="B265" s="697" t="s">
        <v>725</v>
      </c>
      <c r="C265" s="841"/>
      <c r="D265" s="156"/>
      <c r="E265" s="328"/>
      <c r="F265" s="151">
        <f t="shared" si="14"/>
        <v>0</v>
      </c>
    </row>
    <row r="266" spans="1:6" ht="12.75">
      <c r="A266" s="371" t="s">
        <v>353</v>
      </c>
      <c r="B266" s="836" t="s">
        <v>727</v>
      </c>
      <c r="C266" s="841"/>
      <c r="D266" s="156"/>
      <c r="E266" s="328"/>
      <c r="F266" s="151">
        <f t="shared" si="14"/>
        <v>0</v>
      </c>
    </row>
    <row r="267" spans="1:6" ht="12.75">
      <c r="A267" s="371" t="s">
        <v>354</v>
      </c>
      <c r="B267" s="837" t="s">
        <v>730</v>
      </c>
      <c r="C267" s="841"/>
      <c r="D267" s="156"/>
      <c r="E267" s="328"/>
      <c r="F267" s="151">
        <f t="shared" si="14"/>
        <v>0</v>
      </c>
    </row>
    <row r="268" spans="1:6" ht="12.75">
      <c r="A268" s="371" t="s">
        <v>355</v>
      </c>
      <c r="B268" s="838" t="s">
        <v>729</v>
      </c>
      <c r="C268" s="841"/>
      <c r="D268" s="156"/>
      <c r="E268" s="328"/>
      <c r="F268" s="151">
        <f t="shared" si="14"/>
        <v>0</v>
      </c>
    </row>
    <row r="269" spans="1:6" ht="13.5" thickBot="1">
      <c r="A269" s="371" t="s">
        <v>356</v>
      </c>
      <c r="B269" s="382" t="s">
        <v>728</v>
      </c>
      <c r="C269" s="841"/>
      <c r="D269" s="156"/>
      <c r="E269" s="328"/>
      <c r="F269" s="151">
        <f t="shared" si="14"/>
        <v>0</v>
      </c>
    </row>
    <row r="270" spans="1:6" ht="13.5" thickBot="1">
      <c r="A270" s="395" t="s">
        <v>357</v>
      </c>
      <c r="B270" s="315" t="s">
        <v>505</v>
      </c>
      <c r="C270" s="842">
        <f>SUM(C262:C269)</f>
        <v>0</v>
      </c>
      <c r="D270" s="842">
        <f>SUM(D262:D269)</f>
        <v>0</v>
      </c>
      <c r="E270" s="842">
        <f>SUM(E262:E269)</f>
        <v>0</v>
      </c>
      <c r="F270" s="948">
        <f>SUM(F262:F269)</f>
        <v>0</v>
      </c>
    </row>
    <row r="271" spans="1:6" ht="12.75">
      <c r="A271" s="604"/>
      <c r="B271" s="44"/>
      <c r="C271" s="854"/>
      <c r="D271" s="856"/>
      <c r="E271" s="816"/>
      <c r="F271" s="693"/>
    </row>
    <row r="272" spans="1:6" ht="13.5" thickBot="1">
      <c r="A272" s="456" t="s">
        <v>358</v>
      </c>
      <c r="B272" s="1379" t="s">
        <v>506</v>
      </c>
      <c r="C272" s="994">
        <f>C259+C270</f>
        <v>0</v>
      </c>
      <c r="D272" s="995">
        <f>D259+D270</f>
        <v>12400</v>
      </c>
      <c r="E272" s="994">
        <f>E259+E270</f>
        <v>0</v>
      </c>
      <c r="F272" s="994">
        <f>F259+F270</f>
        <v>12400</v>
      </c>
    </row>
    <row r="273" spans="1:6" ht="12.75">
      <c r="A273" s="393"/>
      <c r="B273" s="827"/>
      <c r="C273" s="695"/>
      <c r="D273" s="695"/>
      <c r="E273" s="695"/>
      <c r="F273" s="695"/>
    </row>
    <row r="274" spans="1:6" ht="12.75">
      <c r="A274" s="1675">
        <v>6</v>
      </c>
      <c r="B274" s="1675"/>
      <c r="C274" s="1675"/>
      <c r="D274" s="1675"/>
      <c r="E274" s="1675"/>
      <c r="F274" s="1675"/>
    </row>
    <row r="275" spans="1:5" ht="12.75">
      <c r="A275" s="1654" t="s">
        <v>1456</v>
      </c>
      <c r="B275" s="1654"/>
      <c r="C275" s="1654"/>
      <c r="D275" s="1654"/>
      <c r="E275" s="1654"/>
    </row>
    <row r="276" spans="1:5" ht="12.75">
      <c r="A276" s="384"/>
      <c r="B276" s="384"/>
      <c r="C276" s="384"/>
      <c r="D276" s="384"/>
      <c r="E276" s="384"/>
    </row>
    <row r="277" spans="1:6" ht="14.25">
      <c r="A277" s="1809" t="s">
        <v>1098</v>
      </c>
      <c r="B277" s="1810"/>
      <c r="C277" s="1810"/>
      <c r="D277" s="1810"/>
      <c r="E277" s="1810"/>
      <c r="F277" s="1810"/>
    </row>
    <row r="278" spans="2:5" ht="10.5" customHeight="1">
      <c r="B278" s="21"/>
      <c r="C278" s="21"/>
      <c r="D278" s="21"/>
      <c r="E278" s="21"/>
    </row>
    <row r="279" spans="2:5" ht="15.75">
      <c r="B279" s="21" t="s">
        <v>547</v>
      </c>
      <c r="C279" s="21"/>
      <c r="D279" s="21"/>
      <c r="E279" s="21"/>
    </row>
    <row r="280" spans="2:5" ht="13.5" thickBot="1">
      <c r="B280" s="1"/>
      <c r="C280" s="1"/>
      <c r="D280" s="1"/>
      <c r="E280" s="22" t="s">
        <v>8</v>
      </c>
    </row>
    <row r="281" spans="1:6" ht="48.75" thickBot="1">
      <c r="A281" s="399" t="s">
        <v>311</v>
      </c>
      <c r="B281" s="610" t="s">
        <v>13</v>
      </c>
      <c r="C281" s="387" t="s">
        <v>540</v>
      </c>
      <c r="D281" s="388" t="s">
        <v>541</v>
      </c>
      <c r="E281" s="387" t="s">
        <v>536</v>
      </c>
      <c r="F281" s="388" t="s">
        <v>535</v>
      </c>
    </row>
    <row r="282" spans="1:6" ht="12.75">
      <c r="A282" s="611" t="s">
        <v>312</v>
      </c>
      <c r="B282" s="612" t="s">
        <v>313</v>
      </c>
      <c r="C282" s="621" t="s">
        <v>314</v>
      </c>
      <c r="D282" s="622" t="s">
        <v>315</v>
      </c>
      <c r="E282" s="796" t="s">
        <v>335</v>
      </c>
      <c r="F282" s="797" t="s">
        <v>360</v>
      </c>
    </row>
    <row r="283" spans="1:6" ht="12.75">
      <c r="A283" s="372" t="s">
        <v>316</v>
      </c>
      <c r="B283" s="379" t="s">
        <v>256</v>
      </c>
      <c r="C283" s="327"/>
      <c r="D283" s="151"/>
      <c r="E283" s="327"/>
      <c r="F283" s="136"/>
    </row>
    <row r="284" spans="1:6" ht="12.75">
      <c r="A284" s="371" t="s">
        <v>317</v>
      </c>
      <c r="B284" s="199" t="s">
        <v>681</v>
      </c>
      <c r="C284" s="327"/>
      <c r="D284" s="151"/>
      <c r="E284" s="327"/>
      <c r="F284" s="151">
        <f>SUM(C284:E284)</f>
        <v>0</v>
      </c>
    </row>
    <row r="285" spans="1:6" ht="12.75">
      <c r="A285" s="371" t="s">
        <v>318</v>
      </c>
      <c r="B285" s="228" t="s">
        <v>683</v>
      </c>
      <c r="C285" s="327"/>
      <c r="D285" s="151"/>
      <c r="E285" s="327"/>
      <c r="F285" s="151">
        <f>SUM(C285:E285)</f>
        <v>0</v>
      </c>
    </row>
    <row r="286" spans="1:6" ht="12.75">
      <c r="A286" s="371" t="s">
        <v>319</v>
      </c>
      <c r="B286" s="228" t="s">
        <v>682</v>
      </c>
      <c r="C286" s="327"/>
      <c r="D286" s="151"/>
      <c r="E286" s="327"/>
      <c r="F286" s="151">
        <f>SUM(C286:E286)</f>
        <v>0</v>
      </c>
    </row>
    <row r="287" spans="1:6" ht="12.75">
      <c r="A287" s="371" t="s">
        <v>320</v>
      </c>
      <c r="B287" s="228" t="s">
        <v>684</v>
      </c>
      <c r="C287" s="327"/>
      <c r="D287" s="151"/>
      <c r="E287" s="327"/>
      <c r="F287" s="151">
        <f>SUM(C287:E287)</f>
        <v>0</v>
      </c>
    </row>
    <row r="288" spans="1:6" ht="12.75">
      <c r="A288" s="371" t="s">
        <v>321</v>
      </c>
      <c r="B288" s="228" t="s">
        <v>685</v>
      </c>
      <c r="C288" s="327"/>
      <c r="D288" s="151"/>
      <c r="E288" s="327"/>
      <c r="F288" s="151">
        <f>SUM(C288:E288)</f>
        <v>0</v>
      </c>
    </row>
    <row r="289" spans="1:6" ht="12.75">
      <c r="A289" s="371" t="s">
        <v>322</v>
      </c>
      <c r="B289" s="228" t="s">
        <v>686</v>
      </c>
      <c r="C289" s="327">
        <f>C290+C291+C292+C293+C294+C295+C296</f>
        <v>13000</v>
      </c>
      <c r="D289" s="327">
        <f>D290+D291+D292+D293+D294+D295+D296</f>
        <v>0</v>
      </c>
      <c r="E289" s="327">
        <f>E290+E291+E292+E293+E294+E295+E296</f>
        <v>0</v>
      </c>
      <c r="F289" s="151">
        <f>F290+F291+F292+F293+F294+F295+F296</f>
        <v>13000</v>
      </c>
    </row>
    <row r="290" spans="1:6" ht="12.75">
      <c r="A290" s="371" t="s">
        <v>323</v>
      </c>
      <c r="B290" s="228" t="s">
        <v>690</v>
      </c>
      <c r="C290" s="327">
        <v>0</v>
      </c>
      <c r="D290" s="151">
        <v>0</v>
      </c>
      <c r="E290" s="327">
        <v>0</v>
      </c>
      <c r="F290" s="151">
        <f>E290+D290+C290</f>
        <v>0</v>
      </c>
    </row>
    <row r="291" spans="1:6" ht="12.75">
      <c r="A291" s="371" t="s">
        <v>324</v>
      </c>
      <c r="B291" s="228" t="s">
        <v>691</v>
      </c>
      <c r="C291" s="327"/>
      <c r="D291" s="151"/>
      <c r="E291" s="327"/>
      <c r="F291" s="151">
        <f aca="true" t="shared" si="15" ref="F291:F297">E291+D291+C291</f>
        <v>0</v>
      </c>
    </row>
    <row r="292" spans="1:6" ht="12.75">
      <c r="A292" s="371" t="s">
        <v>325</v>
      </c>
      <c r="B292" s="228" t="s">
        <v>692</v>
      </c>
      <c r="C292" s="327"/>
      <c r="D292" s="151"/>
      <c r="E292" s="327"/>
      <c r="F292" s="151">
        <f t="shared" si="15"/>
        <v>0</v>
      </c>
    </row>
    <row r="293" spans="1:6" ht="12.75">
      <c r="A293" s="371" t="s">
        <v>326</v>
      </c>
      <c r="B293" s="380" t="s">
        <v>688</v>
      </c>
      <c r="C293" s="327">
        <f>'6 7_sz_melléklet'!E40+'6 7_sz_melléklet'!E41</f>
        <v>13000</v>
      </c>
      <c r="D293" s="155"/>
      <c r="E293" s="327"/>
      <c r="F293" s="151">
        <f t="shared" si="15"/>
        <v>13000</v>
      </c>
    </row>
    <row r="294" spans="1:6" ht="12.75">
      <c r="A294" s="371" t="s">
        <v>327</v>
      </c>
      <c r="B294" s="834" t="s">
        <v>689</v>
      </c>
      <c r="C294" s="330"/>
      <c r="D294" s="152"/>
      <c r="E294" s="327"/>
      <c r="F294" s="151">
        <f t="shared" si="15"/>
        <v>0</v>
      </c>
    </row>
    <row r="295" spans="1:6" ht="12.75">
      <c r="A295" s="371" t="s">
        <v>328</v>
      </c>
      <c r="B295" s="835" t="s">
        <v>687</v>
      </c>
      <c r="C295" s="330"/>
      <c r="D295" s="152"/>
      <c r="E295" s="327"/>
      <c r="F295" s="151">
        <f t="shared" si="15"/>
        <v>0</v>
      </c>
    </row>
    <row r="296" spans="1:6" ht="12.75">
      <c r="A296" s="371" t="s">
        <v>329</v>
      </c>
      <c r="B296" s="309" t="s">
        <v>957</v>
      </c>
      <c r="C296" s="330"/>
      <c r="D296" s="152"/>
      <c r="E296" s="327"/>
      <c r="F296" s="156"/>
    </row>
    <row r="297" spans="1:6" ht="13.5" thickBot="1">
      <c r="A297" s="371" t="s">
        <v>330</v>
      </c>
      <c r="B297" s="230" t="s">
        <v>694</v>
      </c>
      <c r="C297" s="328"/>
      <c r="D297" s="156"/>
      <c r="E297" s="327"/>
      <c r="F297" s="325">
        <f t="shared" si="15"/>
        <v>0</v>
      </c>
    </row>
    <row r="298" spans="1:6" ht="13.5" thickBot="1">
      <c r="A298" s="615" t="s">
        <v>331</v>
      </c>
      <c r="B298" s="616" t="s">
        <v>6</v>
      </c>
      <c r="C298" s="624">
        <f>C284+C285+C286+C287+C289+C297</f>
        <v>13000</v>
      </c>
      <c r="D298" s="624">
        <f>D284+D285+D286+D287+D289+D297</f>
        <v>0</v>
      </c>
      <c r="E298" s="624">
        <f>E284+E285+E286+E287+E289+E297</f>
        <v>0</v>
      </c>
      <c r="F298" s="625">
        <f>F284+F285+F286+F287+F289+F297</f>
        <v>13000</v>
      </c>
    </row>
    <row r="299" spans="1:6" ht="6" customHeight="1" thickTop="1">
      <c r="A299" s="604"/>
      <c r="B299" s="379"/>
      <c r="C299" s="261"/>
      <c r="D299" s="261"/>
      <c r="E299" s="261"/>
      <c r="F299" s="159"/>
    </row>
    <row r="300" spans="1:6" ht="12.75">
      <c r="A300" s="372" t="s">
        <v>332</v>
      </c>
      <c r="B300" s="381" t="s">
        <v>257</v>
      </c>
      <c r="C300" s="329"/>
      <c r="D300" s="154"/>
      <c r="E300" s="329"/>
      <c r="F300" s="206"/>
    </row>
    <row r="301" spans="1:6" ht="12.75">
      <c r="A301" s="372" t="s">
        <v>333</v>
      </c>
      <c r="B301" s="228" t="s">
        <v>695</v>
      </c>
      <c r="C301" s="327"/>
      <c r="D301" s="151"/>
      <c r="E301" s="327"/>
      <c r="F301" s="151">
        <f>SUM(C301:E301)</f>
        <v>0</v>
      </c>
    </row>
    <row r="302" spans="1:6" ht="12.75">
      <c r="A302" s="372" t="s">
        <v>334</v>
      </c>
      <c r="B302" s="228" t="s">
        <v>696</v>
      </c>
      <c r="C302" s="327"/>
      <c r="D302" s="151"/>
      <c r="E302" s="327"/>
      <c r="F302" s="151">
        <f>SUM(C302:E302)</f>
        <v>0</v>
      </c>
    </row>
    <row r="303" spans="1:6" ht="12.75">
      <c r="A303" s="372" t="s">
        <v>336</v>
      </c>
      <c r="B303" s="228" t="s">
        <v>697</v>
      </c>
      <c r="C303" s="262">
        <f>SUM(C304:C310)</f>
        <v>0</v>
      </c>
      <c r="D303" s="262">
        <f>SUM(D304:D310)</f>
        <v>0</v>
      </c>
      <c r="E303" s="262">
        <f>SUM(E304:E310)</f>
        <v>0</v>
      </c>
      <c r="F303" s="155">
        <f>SUM(F304:F310)</f>
        <v>0</v>
      </c>
    </row>
    <row r="304" spans="1:6" ht="12.75">
      <c r="A304" s="372" t="s">
        <v>337</v>
      </c>
      <c r="B304" s="380" t="s">
        <v>698</v>
      </c>
      <c r="C304" s="327"/>
      <c r="D304" s="151"/>
      <c r="E304" s="327"/>
      <c r="F304" s="151">
        <f>SUM(C304:E304)</f>
        <v>0</v>
      </c>
    </row>
    <row r="305" spans="1:6" ht="12.75">
      <c r="A305" s="372" t="s">
        <v>338</v>
      </c>
      <c r="B305" s="380" t="s">
        <v>699</v>
      </c>
      <c r="C305" s="327"/>
      <c r="D305" s="151"/>
      <c r="E305" s="327"/>
      <c r="F305" s="151">
        <f aca="true" t="shared" si="16" ref="F305:F310">SUM(C305:E305)</f>
        <v>0</v>
      </c>
    </row>
    <row r="306" spans="1:6" ht="12.75">
      <c r="A306" s="372" t="s">
        <v>339</v>
      </c>
      <c r="B306" s="380" t="s">
        <v>700</v>
      </c>
      <c r="C306" s="327"/>
      <c r="D306" s="151"/>
      <c r="E306" s="327"/>
      <c r="F306" s="151">
        <f t="shared" si="16"/>
        <v>0</v>
      </c>
    </row>
    <row r="307" spans="1:6" ht="12.75">
      <c r="A307" s="372" t="s">
        <v>340</v>
      </c>
      <c r="B307" s="380" t="s">
        <v>701</v>
      </c>
      <c r="C307" s="327"/>
      <c r="D307" s="151"/>
      <c r="E307" s="327"/>
      <c r="F307" s="151">
        <f t="shared" si="16"/>
        <v>0</v>
      </c>
    </row>
    <row r="308" spans="1:6" ht="12.75">
      <c r="A308" s="372" t="s">
        <v>341</v>
      </c>
      <c r="B308" s="834" t="s">
        <v>702</v>
      </c>
      <c r="C308" s="327"/>
      <c r="D308" s="151"/>
      <c r="E308" s="327"/>
      <c r="F308" s="151">
        <f t="shared" si="16"/>
        <v>0</v>
      </c>
    </row>
    <row r="309" spans="1:6" ht="12.75">
      <c r="A309" s="372" t="s">
        <v>342</v>
      </c>
      <c r="B309" s="309" t="s">
        <v>703</v>
      </c>
      <c r="C309" s="327"/>
      <c r="D309" s="151"/>
      <c r="E309" s="327"/>
      <c r="F309" s="151">
        <f t="shared" si="16"/>
        <v>0</v>
      </c>
    </row>
    <row r="310" spans="1:6" ht="12.75">
      <c r="A310" s="372" t="s">
        <v>343</v>
      </c>
      <c r="B310" s="1091" t="s">
        <v>704</v>
      </c>
      <c r="C310" s="327"/>
      <c r="D310" s="151"/>
      <c r="E310" s="327"/>
      <c r="F310" s="151">
        <f t="shared" si="16"/>
        <v>0</v>
      </c>
    </row>
    <row r="311" spans="1:6" ht="12.75">
      <c r="A311" s="372" t="s">
        <v>344</v>
      </c>
      <c r="B311" s="228"/>
      <c r="C311" s="327"/>
      <c r="D311" s="151"/>
      <c r="E311" s="327"/>
      <c r="F311" s="151"/>
    </row>
    <row r="312" spans="1:6" ht="13.5" thickBot="1">
      <c r="A312" s="372" t="s">
        <v>345</v>
      </c>
      <c r="B312" s="230"/>
      <c r="C312" s="330"/>
      <c r="D312" s="330"/>
      <c r="E312" s="330"/>
      <c r="F312" s="152"/>
    </row>
    <row r="313" spans="1:6" ht="13.5" thickBot="1">
      <c r="A313" s="615" t="s">
        <v>346</v>
      </c>
      <c r="B313" s="616" t="s">
        <v>7</v>
      </c>
      <c r="C313" s="624">
        <f>C301+C302+C303+C311+C312</f>
        <v>0</v>
      </c>
      <c r="D313" s="624">
        <f>D301+D302+D303+D311+D312</f>
        <v>0</v>
      </c>
      <c r="E313" s="624">
        <f>E301+E302+E303+E311+E312</f>
        <v>0</v>
      </c>
      <c r="F313" s="625">
        <f>F301+F302+F303+F311+F312</f>
        <v>0</v>
      </c>
    </row>
    <row r="314" spans="1:6" ht="27" thickBot="1" thickTop="1">
      <c r="A314" s="615" t="s">
        <v>347</v>
      </c>
      <c r="B314" s="620" t="s">
        <v>503</v>
      </c>
      <c r="C314" s="627">
        <f>C298+C313</f>
        <v>13000</v>
      </c>
      <c r="D314" s="627">
        <f>D298+D313</f>
        <v>0</v>
      </c>
      <c r="E314" s="627">
        <f>E298+E313</f>
        <v>0</v>
      </c>
      <c r="F314" s="628">
        <f>F298+F313</f>
        <v>13000</v>
      </c>
    </row>
    <row r="315" spans="1:6" ht="9.75" customHeight="1" thickTop="1">
      <c r="A315" s="604"/>
      <c r="B315" s="848"/>
      <c r="C315" s="267"/>
      <c r="D315" s="267"/>
      <c r="E315" s="267"/>
      <c r="F315" s="272"/>
    </row>
    <row r="316" spans="1:6" ht="12.75">
      <c r="A316" s="372" t="s">
        <v>348</v>
      </c>
      <c r="B316" s="485" t="s">
        <v>504</v>
      </c>
      <c r="C316" s="626"/>
      <c r="D316" s="154"/>
      <c r="E316" s="329"/>
      <c r="F316" s="206"/>
    </row>
    <row r="317" spans="1:6" ht="12.75">
      <c r="A317" s="371" t="s">
        <v>349</v>
      </c>
      <c r="B317" s="229" t="s">
        <v>726</v>
      </c>
      <c r="C317" s="332"/>
      <c r="D317" s="151"/>
      <c r="E317" s="327"/>
      <c r="F317" s="136"/>
    </row>
    <row r="318" spans="1:6" ht="12.75">
      <c r="A318" s="371" t="s">
        <v>350</v>
      </c>
      <c r="B318" s="697" t="s">
        <v>724</v>
      </c>
      <c r="C318" s="841"/>
      <c r="D318" s="156"/>
      <c r="E318" s="328"/>
      <c r="F318" s="324"/>
    </row>
    <row r="319" spans="1:6" ht="12.75">
      <c r="A319" s="371" t="s">
        <v>351</v>
      </c>
      <c r="B319" s="697" t="s">
        <v>723</v>
      </c>
      <c r="C319" s="841"/>
      <c r="D319" s="156"/>
      <c r="E319" s="328"/>
      <c r="F319" s="324"/>
    </row>
    <row r="320" spans="1:6" ht="12.75">
      <c r="A320" s="371" t="s">
        <v>352</v>
      </c>
      <c r="B320" s="697" t="s">
        <v>725</v>
      </c>
      <c r="C320" s="841"/>
      <c r="D320" s="156"/>
      <c r="E320" s="328"/>
      <c r="F320" s="324"/>
    </row>
    <row r="321" spans="1:6" ht="12.75">
      <c r="A321" s="371" t="s">
        <v>353</v>
      </c>
      <c r="B321" s="836" t="s">
        <v>727</v>
      </c>
      <c r="C321" s="841"/>
      <c r="D321" s="156"/>
      <c r="E321" s="328"/>
      <c r="F321" s="324"/>
    </row>
    <row r="322" spans="1:6" ht="12.75">
      <c r="A322" s="371" t="s">
        <v>354</v>
      </c>
      <c r="B322" s="837" t="s">
        <v>730</v>
      </c>
      <c r="C322" s="841"/>
      <c r="D322" s="156"/>
      <c r="E322" s="328"/>
      <c r="F322" s="324"/>
    </row>
    <row r="323" spans="1:6" ht="12.75">
      <c r="A323" s="371" t="s">
        <v>355</v>
      </c>
      <c r="B323" s="838" t="s">
        <v>729</v>
      </c>
      <c r="C323" s="841"/>
      <c r="D323" s="156"/>
      <c r="E323" s="328"/>
      <c r="F323" s="324"/>
    </row>
    <row r="324" spans="1:6" ht="13.5" thickBot="1">
      <c r="A324" s="371" t="s">
        <v>356</v>
      </c>
      <c r="B324" s="382" t="s">
        <v>728</v>
      </c>
      <c r="C324" s="841"/>
      <c r="D324" s="156"/>
      <c r="E324" s="328"/>
      <c r="F324" s="324"/>
    </row>
    <row r="325" spans="1:6" ht="13.5" thickBot="1">
      <c r="A325" s="395" t="s">
        <v>357</v>
      </c>
      <c r="B325" s="315" t="s">
        <v>505</v>
      </c>
      <c r="C325" s="842">
        <f>SUM(C317:C324)</f>
        <v>0</v>
      </c>
      <c r="D325" s="842">
        <f>SUM(D317:D324)</f>
        <v>0</v>
      </c>
      <c r="E325" s="842">
        <f>SUM(E317:E324)</f>
        <v>0</v>
      </c>
      <c r="F325" s="948">
        <f>SUM(F317:F324)</f>
        <v>0</v>
      </c>
    </row>
    <row r="326" spans="1:6" ht="12.75">
      <c r="A326" s="604"/>
      <c r="B326" s="44"/>
      <c r="C326" s="854"/>
      <c r="D326" s="856"/>
      <c r="E326" s="816"/>
      <c r="F326" s="693"/>
    </row>
    <row r="327" spans="1:6" ht="13.5" thickBot="1">
      <c r="A327" s="456" t="s">
        <v>358</v>
      </c>
      <c r="B327" s="1379" t="s">
        <v>506</v>
      </c>
      <c r="C327" s="994">
        <f>C314+C325</f>
        <v>13000</v>
      </c>
      <c r="D327" s="995">
        <f>D314+D325</f>
        <v>0</v>
      </c>
      <c r="E327" s="994">
        <f>E314+E325</f>
        <v>0</v>
      </c>
      <c r="F327" s="994">
        <f>F314+F325</f>
        <v>13000</v>
      </c>
    </row>
    <row r="328" spans="1:6" ht="12.75">
      <c r="A328" s="393"/>
      <c r="B328" s="827"/>
      <c r="C328" s="695"/>
      <c r="D328" s="695"/>
      <c r="E328" s="695"/>
      <c r="F328" s="695"/>
    </row>
    <row r="329" spans="1:6" ht="12.75">
      <c r="A329" s="1675">
        <v>7</v>
      </c>
      <c r="B329" s="1675"/>
      <c r="C329" s="1675"/>
      <c r="D329" s="1675"/>
      <c r="E329" s="1675"/>
      <c r="F329" s="1675"/>
    </row>
    <row r="330" spans="1:5" ht="12.75">
      <c r="A330" s="1654" t="s">
        <v>1456</v>
      </c>
      <c r="B330" s="1654"/>
      <c r="C330" s="1654"/>
      <c r="D330" s="1654"/>
      <c r="E330" s="1654"/>
    </row>
    <row r="331" spans="1:5" ht="12.75">
      <c r="A331" s="384"/>
      <c r="B331" s="384"/>
      <c r="C331" s="384"/>
      <c r="D331" s="384"/>
      <c r="E331" s="384"/>
    </row>
    <row r="332" spans="1:6" ht="14.25">
      <c r="A332" s="1809" t="s">
        <v>1098</v>
      </c>
      <c r="B332" s="1810"/>
      <c r="C332" s="1810"/>
      <c r="D332" s="1810"/>
      <c r="E332" s="1810"/>
      <c r="F332" s="1810"/>
    </row>
    <row r="333" spans="2:5" ht="11.25" customHeight="1">
      <c r="B333" s="21"/>
      <c r="C333" s="21"/>
      <c r="D333" s="21"/>
      <c r="E333" s="21"/>
    </row>
    <row r="334" spans="2:5" ht="15.75">
      <c r="B334" s="21" t="s">
        <v>548</v>
      </c>
      <c r="C334" s="21"/>
      <c r="D334" s="21"/>
      <c r="E334" s="21"/>
    </row>
    <row r="335" spans="2:5" ht="13.5" thickBot="1">
      <c r="B335" s="1"/>
      <c r="C335" s="1"/>
      <c r="D335" s="1"/>
      <c r="E335" s="22" t="s">
        <v>8</v>
      </c>
    </row>
    <row r="336" spans="1:6" ht="48.75" thickBot="1">
      <c r="A336" s="399" t="s">
        <v>311</v>
      </c>
      <c r="B336" s="610" t="s">
        <v>13</v>
      </c>
      <c r="C336" s="387" t="s">
        <v>540</v>
      </c>
      <c r="D336" s="388" t="s">
        <v>541</v>
      </c>
      <c r="E336" s="387" t="s">
        <v>536</v>
      </c>
      <c r="F336" s="388" t="s">
        <v>535</v>
      </c>
    </row>
    <row r="337" spans="1:6" ht="12.75">
      <c r="A337" s="611" t="s">
        <v>312</v>
      </c>
      <c r="B337" s="612" t="s">
        <v>313</v>
      </c>
      <c r="C337" s="621" t="s">
        <v>314</v>
      </c>
      <c r="D337" s="622" t="s">
        <v>315</v>
      </c>
      <c r="E337" s="796" t="s">
        <v>335</v>
      </c>
      <c r="F337" s="797" t="s">
        <v>360</v>
      </c>
    </row>
    <row r="338" spans="1:6" ht="12.75">
      <c r="A338" s="372" t="s">
        <v>316</v>
      </c>
      <c r="B338" s="379" t="s">
        <v>256</v>
      </c>
      <c r="C338" s="327"/>
      <c r="D338" s="151"/>
      <c r="E338" s="327"/>
      <c r="F338" s="136"/>
    </row>
    <row r="339" spans="1:6" ht="12.75">
      <c r="A339" s="371" t="s">
        <v>317</v>
      </c>
      <c r="B339" s="199" t="s">
        <v>681</v>
      </c>
      <c r="C339" s="327">
        <f>'4_sz_ melléklet'!C128</f>
        <v>176612</v>
      </c>
      <c r="D339" s="151"/>
      <c r="E339" s="327"/>
      <c r="F339" s="151">
        <f>SUM(C339:E339)</f>
        <v>176612</v>
      </c>
    </row>
    <row r="340" spans="1:6" ht="12.75">
      <c r="A340" s="371" t="s">
        <v>318</v>
      </c>
      <c r="B340" s="228" t="s">
        <v>683</v>
      </c>
      <c r="C340" s="327">
        <f>'4_sz_ melléklet'!C129</f>
        <v>24563</v>
      </c>
      <c r="D340" s="151"/>
      <c r="E340" s="327"/>
      <c r="F340" s="151">
        <f>SUM(C340:E340)</f>
        <v>24563</v>
      </c>
    </row>
    <row r="341" spans="1:6" ht="12.75">
      <c r="A341" s="371" t="s">
        <v>319</v>
      </c>
      <c r="B341" s="228" t="s">
        <v>682</v>
      </c>
      <c r="C341" s="327">
        <f>'4_sz_ melléklet'!C130</f>
        <v>18463</v>
      </c>
      <c r="D341" s="151"/>
      <c r="E341" s="327"/>
      <c r="F341" s="151">
        <f>SUM(C341:E341)</f>
        <v>18463</v>
      </c>
    </row>
    <row r="342" spans="1:6" ht="12.75">
      <c r="A342" s="371" t="s">
        <v>320</v>
      </c>
      <c r="B342" s="228" t="s">
        <v>684</v>
      </c>
      <c r="C342" s="327"/>
      <c r="D342" s="151"/>
      <c r="E342" s="327"/>
      <c r="F342" s="151">
        <f>SUM(C342:E342)</f>
        <v>0</v>
      </c>
    </row>
    <row r="343" spans="1:6" ht="12.75">
      <c r="A343" s="371" t="s">
        <v>321</v>
      </c>
      <c r="B343" s="228" t="s">
        <v>685</v>
      </c>
      <c r="C343" s="327"/>
      <c r="D343" s="151"/>
      <c r="E343" s="327"/>
      <c r="F343" s="151">
        <f>SUM(C343:E343)</f>
        <v>0</v>
      </c>
    </row>
    <row r="344" spans="1:6" ht="12.75">
      <c r="A344" s="371" t="s">
        <v>322</v>
      </c>
      <c r="B344" s="228" t="s">
        <v>686</v>
      </c>
      <c r="C344" s="327">
        <f>C345+C346+C347+C348+C349+C350+C351</f>
        <v>0</v>
      </c>
      <c r="D344" s="327">
        <f>D345+D346+D347+D348+D349+D350+D351</f>
        <v>0</v>
      </c>
      <c r="E344" s="327">
        <f>E345+E346+E347+E348+E349+E350+E351</f>
        <v>0</v>
      </c>
      <c r="F344" s="151">
        <f>F345+F346+F347+F348+F349+F350+F351</f>
        <v>0</v>
      </c>
    </row>
    <row r="345" spans="1:6" ht="12.75">
      <c r="A345" s="371" t="s">
        <v>323</v>
      </c>
      <c r="B345" s="228" t="s">
        <v>690</v>
      </c>
      <c r="C345" s="327">
        <v>0</v>
      </c>
      <c r="D345" s="151">
        <v>0</v>
      </c>
      <c r="E345" s="327">
        <v>0</v>
      </c>
      <c r="F345" s="151">
        <f>E345+D345+C345</f>
        <v>0</v>
      </c>
    </row>
    <row r="346" spans="1:6" ht="12.75">
      <c r="A346" s="371" t="s">
        <v>324</v>
      </c>
      <c r="B346" s="228" t="s">
        <v>691</v>
      </c>
      <c r="C346" s="327"/>
      <c r="D346" s="151"/>
      <c r="E346" s="327"/>
      <c r="F346" s="151">
        <f aca="true" t="shared" si="17" ref="F346:F352">E346+D346+C346</f>
        <v>0</v>
      </c>
    </row>
    <row r="347" spans="1:6" ht="12.75">
      <c r="A347" s="371" t="s">
        <v>325</v>
      </c>
      <c r="B347" s="228" t="s">
        <v>692</v>
      </c>
      <c r="C347" s="327"/>
      <c r="D347" s="151"/>
      <c r="E347" s="327"/>
      <c r="F347" s="151">
        <f t="shared" si="17"/>
        <v>0</v>
      </c>
    </row>
    <row r="348" spans="1:6" ht="12.75">
      <c r="A348" s="371" t="s">
        <v>326</v>
      </c>
      <c r="B348" s="380" t="s">
        <v>688</v>
      </c>
      <c r="C348" s="262"/>
      <c r="D348" s="155"/>
      <c r="E348" s="327"/>
      <c r="F348" s="151">
        <f t="shared" si="17"/>
        <v>0</v>
      </c>
    </row>
    <row r="349" spans="1:6" ht="12.75">
      <c r="A349" s="371" t="s">
        <v>327</v>
      </c>
      <c r="B349" s="834" t="s">
        <v>689</v>
      </c>
      <c r="C349" s="330"/>
      <c r="D349" s="152"/>
      <c r="E349" s="327"/>
      <c r="F349" s="151">
        <f t="shared" si="17"/>
        <v>0</v>
      </c>
    </row>
    <row r="350" spans="1:6" ht="12.75">
      <c r="A350" s="371" t="s">
        <v>328</v>
      </c>
      <c r="B350" s="835" t="s">
        <v>687</v>
      </c>
      <c r="C350" s="330"/>
      <c r="D350" s="152"/>
      <c r="E350" s="327"/>
      <c r="F350" s="151">
        <f t="shared" si="17"/>
        <v>0</v>
      </c>
    </row>
    <row r="351" spans="1:6" ht="12.75">
      <c r="A351" s="371" t="s">
        <v>329</v>
      </c>
      <c r="B351" s="309" t="s">
        <v>957</v>
      </c>
      <c r="C351" s="330"/>
      <c r="D351" s="152"/>
      <c r="E351" s="327"/>
      <c r="F351" s="156"/>
    </row>
    <row r="352" spans="1:6" ht="13.5" thickBot="1">
      <c r="A352" s="371" t="s">
        <v>330</v>
      </c>
      <c r="B352" s="230" t="s">
        <v>694</v>
      </c>
      <c r="C352" s="328"/>
      <c r="D352" s="156"/>
      <c r="E352" s="327"/>
      <c r="F352" s="325">
        <f t="shared" si="17"/>
        <v>0</v>
      </c>
    </row>
    <row r="353" spans="1:6" ht="13.5" thickBot="1">
      <c r="A353" s="615" t="s">
        <v>331</v>
      </c>
      <c r="B353" s="616" t="s">
        <v>6</v>
      </c>
      <c r="C353" s="624">
        <f>C339+C340+C341+C342+C344+C352</f>
        <v>219638</v>
      </c>
      <c r="D353" s="624">
        <f>D339+D340+D341+D342+D344+D352</f>
        <v>0</v>
      </c>
      <c r="E353" s="624">
        <f>E339+E340+E341+E342+E344+E352</f>
        <v>0</v>
      </c>
      <c r="F353" s="625">
        <f>F339+F340+F341+F342+F344+F352</f>
        <v>219638</v>
      </c>
    </row>
    <row r="354" spans="1:6" ht="9.75" customHeight="1" thickTop="1">
      <c r="A354" s="604"/>
      <c r="B354" s="379"/>
      <c r="C354" s="261"/>
      <c r="D354" s="261"/>
      <c r="E354" s="261"/>
      <c r="F354" s="159"/>
    </row>
    <row r="355" spans="1:6" ht="12.75">
      <c r="A355" s="372" t="s">
        <v>332</v>
      </c>
      <c r="B355" s="381" t="s">
        <v>257</v>
      </c>
      <c r="C355" s="329"/>
      <c r="D355" s="154"/>
      <c r="E355" s="329"/>
      <c r="F355" s="206"/>
    </row>
    <row r="356" spans="1:6" ht="12.75">
      <c r="A356" s="372" t="s">
        <v>333</v>
      </c>
      <c r="B356" s="228" t="s">
        <v>695</v>
      </c>
      <c r="C356" s="327">
        <f>'33_sz_ melléklet'!C118</f>
        <v>22878</v>
      </c>
      <c r="D356" s="151"/>
      <c r="E356" s="327"/>
      <c r="F356" s="151">
        <f>SUM(C356:E356)</f>
        <v>22878</v>
      </c>
    </row>
    <row r="357" spans="1:6" ht="12.75">
      <c r="A357" s="372" t="s">
        <v>334</v>
      </c>
      <c r="B357" s="228" t="s">
        <v>696</v>
      </c>
      <c r="C357" s="327"/>
      <c r="D357" s="151"/>
      <c r="E357" s="327"/>
      <c r="F357" s="151">
        <f>SUM(C357:E357)</f>
        <v>0</v>
      </c>
    </row>
    <row r="358" spans="1:6" ht="12.75">
      <c r="A358" s="372" t="s">
        <v>336</v>
      </c>
      <c r="B358" s="228" t="s">
        <v>697</v>
      </c>
      <c r="C358" s="262">
        <f>SUM(C359:C365)</f>
        <v>0</v>
      </c>
      <c r="D358" s="262">
        <f>SUM(D359:D365)</f>
        <v>0</v>
      </c>
      <c r="E358" s="262">
        <f>SUM(E359:E365)</f>
        <v>0</v>
      </c>
      <c r="F358" s="155">
        <f>SUM(F359:F365)</f>
        <v>0</v>
      </c>
    </row>
    <row r="359" spans="1:6" ht="12.75">
      <c r="A359" s="372" t="s">
        <v>337</v>
      </c>
      <c r="B359" s="380" t="s">
        <v>698</v>
      </c>
      <c r="C359" s="327"/>
      <c r="D359" s="151"/>
      <c r="E359" s="327"/>
      <c r="F359" s="151">
        <f>SUM(C359:E359)</f>
        <v>0</v>
      </c>
    </row>
    <row r="360" spans="1:6" ht="12.75">
      <c r="A360" s="372" t="s">
        <v>338</v>
      </c>
      <c r="B360" s="380" t="s">
        <v>699</v>
      </c>
      <c r="C360" s="327"/>
      <c r="D360" s="151"/>
      <c r="E360" s="327"/>
      <c r="F360" s="151">
        <f aca="true" t="shared" si="18" ref="F360:F366">SUM(C360:E360)</f>
        <v>0</v>
      </c>
    </row>
    <row r="361" spans="1:6" ht="12.75">
      <c r="A361" s="372" t="s">
        <v>339</v>
      </c>
      <c r="B361" s="380" t="s">
        <v>700</v>
      </c>
      <c r="C361" s="327"/>
      <c r="D361" s="151"/>
      <c r="E361" s="327"/>
      <c r="F361" s="151">
        <f t="shared" si="18"/>
        <v>0</v>
      </c>
    </row>
    <row r="362" spans="1:6" ht="12.75">
      <c r="A362" s="372" t="s">
        <v>340</v>
      </c>
      <c r="B362" s="380" t="s">
        <v>701</v>
      </c>
      <c r="C362" s="327"/>
      <c r="D362" s="151"/>
      <c r="E362" s="327"/>
      <c r="F362" s="151">
        <f t="shared" si="18"/>
        <v>0</v>
      </c>
    </row>
    <row r="363" spans="1:6" ht="12.75">
      <c r="A363" s="372" t="s">
        <v>341</v>
      </c>
      <c r="B363" s="834" t="s">
        <v>702</v>
      </c>
      <c r="C363" s="327"/>
      <c r="D363" s="151"/>
      <c r="E363" s="327"/>
      <c r="F363" s="151">
        <f t="shared" si="18"/>
        <v>0</v>
      </c>
    </row>
    <row r="364" spans="1:6" ht="12.75">
      <c r="A364" s="372" t="s">
        <v>342</v>
      </c>
      <c r="B364" s="309" t="s">
        <v>703</v>
      </c>
      <c r="C364" s="327"/>
      <c r="D364" s="151"/>
      <c r="E364" s="327"/>
      <c r="F364" s="151">
        <f t="shared" si="18"/>
        <v>0</v>
      </c>
    </row>
    <row r="365" spans="1:6" ht="12.75">
      <c r="A365" s="372" t="s">
        <v>343</v>
      </c>
      <c r="B365" s="1091" t="s">
        <v>704</v>
      </c>
      <c r="C365" s="327"/>
      <c r="D365" s="151"/>
      <c r="E365" s="327"/>
      <c r="F365" s="151">
        <f t="shared" si="18"/>
        <v>0</v>
      </c>
    </row>
    <row r="366" spans="1:6" ht="12.75">
      <c r="A366" s="372" t="s">
        <v>344</v>
      </c>
      <c r="B366" s="228"/>
      <c r="C366" s="327"/>
      <c r="D366" s="151"/>
      <c r="E366" s="327"/>
      <c r="F366" s="151">
        <f t="shared" si="18"/>
        <v>0</v>
      </c>
    </row>
    <row r="367" spans="1:6" ht="13.5" thickBot="1">
      <c r="A367" s="372" t="s">
        <v>345</v>
      </c>
      <c r="B367" s="230"/>
      <c r="C367" s="330">
        <f>-C342</f>
        <v>0</v>
      </c>
      <c r="D367" s="330">
        <f>-D342</f>
        <v>0</v>
      </c>
      <c r="E367" s="330">
        <f>-E342</f>
        <v>0</v>
      </c>
      <c r="F367" s="152">
        <f>-F342</f>
        <v>0</v>
      </c>
    </row>
    <row r="368" spans="1:6" ht="13.5" thickBot="1">
      <c r="A368" s="615" t="s">
        <v>346</v>
      </c>
      <c r="B368" s="616" t="s">
        <v>7</v>
      </c>
      <c r="C368" s="624">
        <f>C356+C357+C358+C366+C367</f>
        <v>22878</v>
      </c>
      <c r="D368" s="624">
        <f>D356+D357+D358+D366+D367</f>
        <v>0</v>
      </c>
      <c r="E368" s="624">
        <f>E356+E357+E358+E366+E367</f>
        <v>0</v>
      </c>
      <c r="F368" s="625">
        <f>F356+F357+F358+F366+F367</f>
        <v>22878</v>
      </c>
    </row>
    <row r="369" spans="1:6" ht="27" thickBot="1" thickTop="1">
      <c r="A369" s="615" t="s">
        <v>347</v>
      </c>
      <c r="B369" s="620" t="s">
        <v>503</v>
      </c>
      <c r="C369" s="627">
        <f>C353+C368</f>
        <v>242516</v>
      </c>
      <c r="D369" s="627">
        <f>D353+D368</f>
        <v>0</v>
      </c>
      <c r="E369" s="627">
        <f>E353+E368</f>
        <v>0</v>
      </c>
      <c r="F369" s="628">
        <f>F353+F368</f>
        <v>242516</v>
      </c>
    </row>
    <row r="370" spans="1:6" ht="7.5" customHeight="1" thickTop="1">
      <c r="A370" s="604"/>
      <c r="B370" s="848"/>
      <c r="C370" s="267"/>
      <c r="D370" s="267"/>
      <c r="E370" s="267"/>
      <c r="F370" s="272"/>
    </row>
    <row r="371" spans="1:6" ht="12.75">
      <c r="A371" s="372" t="s">
        <v>348</v>
      </c>
      <c r="B371" s="485" t="s">
        <v>504</v>
      </c>
      <c r="C371" s="626"/>
      <c r="D371" s="154"/>
      <c r="E371" s="329"/>
      <c r="F371" s="206"/>
    </row>
    <row r="372" spans="1:6" ht="12.75">
      <c r="A372" s="371" t="s">
        <v>349</v>
      </c>
      <c r="B372" s="229" t="s">
        <v>726</v>
      </c>
      <c r="C372" s="332"/>
      <c r="D372" s="151"/>
      <c r="E372" s="327"/>
      <c r="F372" s="151">
        <f aca="true" t="shared" si="19" ref="F372:F379">SUM(C372:E372)</f>
        <v>0</v>
      </c>
    </row>
    <row r="373" spans="1:6" ht="12.75">
      <c r="A373" s="371" t="s">
        <v>350</v>
      </c>
      <c r="B373" s="697" t="s">
        <v>724</v>
      </c>
      <c r="C373" s="841"/>
      <c r="D373" s="156"/>
      <c r="E373" s="328"/>
      <c r="F373" s="151">
        <f t="shared" si="19"/>
        <v>0</v>
      </c>
    </row>
    <row r="374" spans="1:6" ht="12.75">
      <c r="A374" s="371" t="s">
        <v>351</v>
      </c>
      <c r="B374" s="697" t="s">
        <v>723</v>
      </c>
      <c r="C374" s="841"/>
      <c r="D374" s="156"/>
      <c r="E374" s="328"/>
      <c r="F374" s="151">
        <f t="shared" si="19"/>
        <v>0</v>
      </c>
    </row>
    <row r="375" spans="1:6" ht="12.75">
      <c r="A375" s="371" t="s">
        <v>352</v>
      </c>
      <c r="B375" s="697" t="s">
        <v>725</v>
      </c>
      <c r="C375" s="841"/>
      <c r="D375" s="156"/>
      <c r="E375" s="328"/>
      <c r="F375" s="151">
        <f t="shared" si="19"/>
        <v>0</v>
      </c>
    </row>
    <row r="376" spans="1:6" ht="12.75">
      <c r="A376" s="371" t="s">
        <v>353</v>
      </c>
      <c r="B376" s="836" t="s">
        <v>727</v>
      </c>
      <c r="C376" s="841"/>
      <c r="D376" s="156"/>
      <c r="E376" s="328"/>
      <c r="F376" s="151">
        <f t="shared" si="19"/>
        <v>0</v>
      </c>
    </row>
    <row r="377" spans="1:6" ht="12.75">
      <c r="A377" s="371" t="s">
        <v>354</v>
      </c>
      <c r="B377" s="837" t="s">
        <v>730</v>
      </c>
      <c r="C377" s="841"/>
      <c r="D377" s="156"/>
      <c r="E377" s="328"/>
      <c r="F377" s="151">
        <f t="shared" si="19"/>
        <v>0</v>
      </c>
    </row>
    <row r="378" spans="1:6" ht="12.75">
      <c r="A378" s="371" t="s">
        <v>355</v>
      </c>
      <c r="B378" s="838" t="s">
        <v>729</v>
      </c>
      <c r="C378" s="841"/>
      <c r="D378" s="156"/>
      <c r="E378" s="328"/>
      <c r="F378" s="151">
        <f t="shared" si="19"/>
        <v>0</v>
      </c>
    </row>
    <row r="379" spans="1:6" ht="13.5" thickBot="1">
      <c r="A379" s="371" t="s">
        <v>356</v>
      </c>
      <c r="B379" s="382" t="s">
        <v>728</v>
      </c>
      <c r="C379" s="841"/>
      <c r="D379" s="156"/>
      <c r="E379" s="328"/>
      <c r="F379" s="151">
        <f t="shared" si="19"/>
        <v>0</v>
      </c>
    </row>
    <row r="380" spans="1:6" ht="13.5" thickBot="1">
      <c r="A380" s="395" t="s">
        <v>357</v>
      </c>
      <c r="B380" s="315" t="s">
        <v>505</v>
      </c>
      <c r="C380" s="842">
        <f>SUM(C372:C379)</f>
        <v>0</v>
      </c>
      <c r="D380" s="842">
        <f>SUM(D372:D379)</f>
        <v>0</v>
      </c>
      <c r="E380" s="842">
        <f>SUM(E372:E379)</f>
        <v>0</v>
      </c>
      <c r="F380" s="948">
        <f>SUM(F372:F379)</f>
        <v>0</v>
      </c>
    </row>
    <row r="381" spans="1:6" ht="12.75">
      <c r="A381" s="604"/>
      <c r="B381" s="44"/>
      <c r="C381" s="854"/>
      <c r="D381" s="856"/>
      <c r="E381" s="816"/>
      <c r="F381" s="693"/>
    </row>
    <row r="382" spans="1:6" ht="13.5" thickBot="1">
      <c r="A382" s="456" t="s">
        <v>358</v>
      </c>
      <c r="B382" s="1379" t="s">
        <v>506</v>
      </c>
      <c r="C382" s="994">
        <f>C369+C380</f>
        <v>242516</v>
      </c>
      <c r="D382" s="995">
        <f>D369+D380</f>
        <v>0</v>
      </c>
      <c r="E382" s="994">
        <f>E369+E380</f>
        <v>0</v>
      </c>
      <c r="F382" s="994">
        <f>F369+F380</f>
        <v>242516</v>
      </c>
    </row>
    <row r="383" spans="1:6" ht="12.75">
      <c r="A383" s="393"/>
      <c r="B383" s="827"/>
      <c r="C383" s="695"/>
      <c r="D383" s="695"/>
      <c r="E383" s="695"/>
      <c r="F383" s="695"/>
    </row>
    <row r="384" spans="1:6" ht="12.75">
      <c r="A384" s="1675">
        <v>8</v>
      </c>
      <c r="B384" s="1675"/>
      <c r="C384" s="1675"/>
      <c r="D384" s="1675"/>
      <c r="E384" s="1675"/>
      <c r="F384" s="1675"/>
    </row>
    <row r="385" spans="1:5" ht="12.75">
      <c r="A385" s="1654" t="s">
        <v>1456</v>
      </c>
      <c r="B385" s="1654"/>
      <c r="C385" s="1654"/>
      <c r="D385" s="1654"/>
      <c r="E385" s="1654"/>
    </row>
    <row r="386" spans="1:5" ht="12.75">
      <c r="A386" s="384"/>
      <c r="B386" s="384"/>
      <c r="C386" s="384"/>
      <c r="D386" s="384"/>
      <c r="E386" s="384"/>
    </row>
    <row r="387" spans="1:6" ht="14.25">
      <c r="A387" s="1809" t="s">
        <v>1098</v>
      </c>
      <c r="B387" s="1810"/>
      <c r="C387" s="1810"/>
      <c r="D387" s="1810"/>
      <c r="E387" s="1810"/>
      <c r="F387" s="1810"/>
    </row>
    <row r="388" spans="2:5" ht="12.75" customHeight="1">
      <c r="B388" s="21"/>
      <c r="C388" s="21"/>
      <c r="D388" s="21"/>
      <c r="E388" s="21"/>
    </row>
    <row r="389" spans="1:5" ht="15.75">
      <c r="A389" s="1674" t="s">
        <v>1000</v>
      </c>
      <c r="B389" s="1678"/>
      <c r="C389" s="1678"/>
      <c r="D389" s="21"/>
      <c r="E389" s="21"/>
    </row>
    <row r="390" spans="2:5" ht="13.5" thickBot="1">
      <c r="B390" s="1"/>
      <c r="C390" s="1"/>
      <c r="D390" s="1"/>
      <c r="E390" s="22" t="s">
        <v>8</v>
      </c>
    </row>
    <row r="391" spans="1:6" ht="48.75" thickBot="1">
      <c r="A391" s="399" t="s">
        <v>311</v>
      </c>
      <c r="B391" s="610" t="s">
        <v>13</v>
      </c>
      <c r="C391" s="387" t="s">
        <v>540</v>
      </c>
      <c r="D391" s="388" t="s">
        <v>541</v>
      </c>
      <c r="E391" s="387" t="s">
        <v>536</v>
      </c>
      <c r="F391" s="388" t="s">
        <v>535</v>
      </c>
    </row>
    <row r="392" spans="1:6" ht="12.75">
      <c r="A392" s="611" t="s">
        <v>312</v>
      </c>
      <c r="B392" s="612" t="s">
        <v>313</v>
      </c>
      <c r="C392" s="621" t="s">
        <v>314</v>
      </c>
      <c r="D392" s="622" t="s">
        <v>315</v>
      </c>
      <c r="E392" s="796" t="s">
        <v>335</v>
      </c>
      <c r="F392" s="797" t="s">
        <v>360</v>
      </c>
    </row>
    <row r="393" spans="1:6" ht="12.75">
      <c r="A393" s="372" t="s">
        <v>316</v>
      </c>
      <c r="B393" s="379" t="s">
        <v>256</v>
      </c>
      <c r="C393" s="327"/>
      <c r="D393" s="151"/>
      <c r="E393" s="327"/>
      <c r="F393" s="136"/>
    </row>
    <row r="394" spans="1:6" ht="12.75">
      <c r="A394" s="371" t="s">
        <v>317</v>
      </c>
      <c r="B394" s="199" t="s">
        <v>681</v>
      </c>
      <c r="C394" s="327"/>
      <c r="D394" s="151"/>
      <c r="E394" s="327"/>
      <c r="F394" s="151">
        <f>SUM(C394:E394)</f>
        <v>0</v>
      </c>
    </row>
    <row r="395" spans="1:6" ht="12.75">
      <c r="A395" s="371" t="s">
        <v>318</v>
      </c>
      <c r="B395" s="228" t="s">
        <v>683</v>
      </c>
      <c r="C395" s="327">
        <f>'4_sz_ melléklet'!D129</f>
        <v>0</v>
      </c>
      <c r="D395" s="151"/>
      <c r="E395" s="327"/>
      <c r="F395" s="151">
        <f>SUM(C395:E395)</f>
        <v>0</v>
      </c>
    </row>
    <row r="396" spans="1:6" ht="12.75">
      <c r="A396" s="371" t="s">
        <v>319</v>
      </c>
      <c r="B396" s="228" t="s">
        <v>682</v>
      </c>
      <c r="C396" s="327">
        <f>'4_sz_ melléklet'!D130</f>
        <v>0</v>
      </c>
      <c r="D396" s="151"/>
      <c r="E396" s="327"/>
      <c r="F396" s="151">
        <f>SUM(C396:E396)</f>
        <v>0</v>
      </c>
    </row>
    <row r="397" spans="1:6" ht="12.75">
      <c r="A397" s="371" t="s">
        <v>320</v>
      </c>
      <c r="B397" s="228" t="s">
        <v>684</v>
      </c>
      <c r="C397" s="327"/>
      <c r="D397" s="151"/>
      <c r="E397" s="327"/>
      <c r="F397" s="151">
        <f>SUM(C397:E397)</f>
        <v>0</v>
      </c>
    </row>
    <row r="398" spans="1:6" ht="12.75">
      <c r="A398" s="371" t="s">
        <v>321</v>
      </c>
      <c r="B398" s="228" t="s">
        <v>685</v>
      </c>
      <c r="C398" s="327"/>
      <c r="D398" s="151"/>
      <c r="E398" s="327"/>
      <c r="F398" s="151">
        <f>SUM(C398:E398)</f>
        <v>0</v>
      </c>
    </row>
    <row r="399" spans="1:6" ht="12.75">
      <c r="A399" s="371" t="s">
        <v>322</v>
      </c>
      <c r="B399" s="228" t="s">
        <v>686</v>
      </c>
      <c r="C399" s="327">
        <f>C400+C401+C402+C403+C404+C405+C406</f>
        <v>0</v>
      </c>
      <c r="D399" s="327">
        <f>D400+D401+D402+D403+D404+D405+D406</f>
        <v>0</v>
      </c>
      <c r="E399" s="327">
        <f>E400+E401+E402+E403+E404+E405+E406</f>
        <v>0</v>
      </c>
      <c r="F399" s="151">
        <f>F400+F401+F402+F403+F404+F405+F406</f>
        <v>0</v>
      </c>
    </row>
    <row r="400" spans="1:6" ht="12.75">
      <c r="A400" s="371" t="s">
        <v>323</v>
      </c>
      <c r="B400" s="228" t="s">
        <v>690</v>
      </c>
      <c r="C400" s="327">
        <v>0</v>
      </c>
      <c r="D400" s="151">
        <v>0</v>
      </c>
      <c r="E400" s="327">
        <v>0</v>
      </c>
      <c r="F400" s="151">
        <f>E400+D400+C400</f>
        <v>0</v>
      </c>
    </row>
    <row r="401" spans="1:6" ht="12.75">
      <c r="A401" s="371" t="s">
        <v>324</v>
      </c>
      <c r="B401" s="228" t="s">
        <v>691</v>
      </c>
      <c r="C401" s="327"/>
      <c r="D401" s="151"/>
      <c r="E401" s="327"/>
      <c r="F401" s="151">
        <f aca="true" t="shared" si="20" ref="F401:F407">E401+D401+C401</f>
        <v>0</v>
      </c>
    </row>
    <row r="402" spans="1:6" ht="12.75">
      <c r="A402" s="371" t="s">
        <v>325</v>
      </c>
      <c r="B402" s="228" t="s">
        <v>692</v>
      </c>
      <c r="C402" s="327"/>
      <c r="D402" s="151"/>
      <c r="E402" s="327"/>
      <c r="F402" s="151">
        <f t="shared" si="20"/>
        <v>0</v>
      </c>
    </row>
    <row r="403" spans="1:6" ht="12.75">
      <c r="A403" s="371" t="s">
        <v>326</v>
      </c>
      <c r="B403" s="380" t="s">
        <v>688</v>
      </c>
      <c r="C403" s="262"/>
      <c r="D403" s="155"/>
      <c r="E403" s="327"/>
      <c r="F403" s="151">
        <f t="shared" si="20"/>
        <v>0</v>
      </c>
    </row>
    <row r="404" spans="1:6" ht="12.75">
      <c r="A404" s="371" t="s">
        <v>327</v>
      </c>
      <c r="B404" s="834" t="s">
        <v>689</v>
      </c>
      <c r="C404" s="330"/>
      <c r="D404" s="152"/>
      <c r="E404" s="327"/>
      <c r="F404" s="151">
        <f t="shared" si="20"/>
        <v>0</v>
      </c>
    </row>
    <row r="405" spans="1:6" ht="12.75">
      <c r="A405" s="371" t="s">
        <v>328</v>
      </c>
      <c r="B405" s="835" t="s">
        <v>687</v>
      </c>
      <c r="C405" s="330"/>
      <c r="D405" s="152"/>
      <c r="E405" s="327"/>
      <c r="F405" s="151">
        <f t="shared" si="20"/>
        <v>0</v>
      </c>
    </row>
    <row r="406" spans="1:6" ht="12.75">
      <c r="A406" s="371" t="s">
        <v>329</v>
      </c>
      <c r="B406" s="309" t="s">
        <v>957</v>
      </c>
      <c r="C406" s="330"/>
      <c r="D406" s="152"/>
      <c r="E406" s="327"/>
      <c r="F406" s="156"/>
    </row>
    <row r="407" spans="1:6" ht="13.5" thickBot="1">
      <c r="A407" s="371" t="s">
        <v>330</v>
      </c>
      <c r="B407" s="230" t="s">
        <v>694</v>
      </c>
      <c r="C407" s="328"/>
      <c r="D407" s="156"/>
      <c r="E407" s="327"/>
      <c r="F407" s="325">
        <f t="shared" si="20"/>
        <v>0</v>
      </c>
    </row>
    <row r="408" spans="1:6" ht="13.5" thickBot="1">
      <c r="A408" s="615" t="s">
        <v>331</v>
      </c>
      <c r="B408" s="616" t="s">
        <v>6</v>
      </c>
      <c r="C408" s="624">
        <f>C394+C395+C396+C397+C399+C407</f>
        <v>0</v>
      </c>
      <c r="D408" s="624">
        <f>D394+D395+D396+D397+D399+D407</f>
        <v>0</v>
      </c>
      <c r="E408" s="624">
        <f>E394+E395+E396+E397+E399+E407</f>
        <v>0</v>
      </c>
      <c r="F408" s="625">
        <f>F394+F395+F396+F397+F399+F407</f>
        <v>0</v>
      </c>
    </row>
    <row r="409" spans="1:6" ht="7.5" customHeight="1" thickTop="1">
      <c r="A409" s="604"/>
      <c r="B409" s="379"/>
      <c r="C409" s="261"/>
      <c r="D409" s="261"/>
      <c r="E409" s="261"/>
      <c r="F409" s="159"/>
    </row>
    <row r="410" spans="1:6" ht="12.75">
      <c r="A410" s="372" t="s">
        <v>332</v>
      </c>
      <c r="B410" s="381" t="s">
        <v>257</v>
      </c>
      <c r="C410" s="329"/>
      <c r="D410" s="154"/>
      <c r="E410" s="329"/>
      <c r="F410" s="206"/>
    </row>
    <row r="411" spans="1:6" ht="12.75">
      <c r="A411" s="372" t="s">
        <v>333</v>
      </c>
      <c r="B411" s="228" t="s">
        <v>695</v>
      </c>
      <c r="C411" s="327">
        <f>'4_sz_ melléklet'!D145</f>
        <v>60809</v>
      </c>
      <c r="D411" s="151"/>
      <c r="E411" s="327"/>
      <c r="F411" s="151">
        <f>SUM(C411:E411)</f>
        <v>60809</v>
      </c>
    </row>
    <row r="412" spans="1:6" ht="12.75">
      <c r="A412" s="372" t="s">
        <v>334</v>
      </c>
      <c r="B412" s="228" t="s">
        <v>696</v>
      </c>
      <c r="C412" s="327">
        <f>'4_sz_ melléklet'!D146</f>
        <v>15833</v>
      </c>
      <c r="D412" s="151"/>
      <c r="E412" s="327"/>
      <c r="F412" s="151">
        <f>SUM(C412:E412)</f>
        <v>15833</v>
      </c>
    </row>
    <row r="413" spans="1:6" ht="12.75">
      <c r="A413" s="372" t="s">
        <v>336</v>
      </c>
      <c r="B413" s="228" t="s">
        <v>697</v>
      </c>
      <c r="C413" s="262">
        <f>C414+C415+C416+C417+C418+C419+C420</f>
        <v>0</v>
      </c>
      <c r="D413" s="262">
        <f>D414+D415+D416+D417+D418+D419+D420</f>
        <v>0</v>
      </c>
      <c r="E413" s="262">
        <f>E414+E415+E416+E417+E418+E419+E420</f>
        <v>0</v>
      </c>
      <c r="F413" s="155">
        <f>F414+F415+F416+F417+F418+F419+F420</f>
        <v>0</v>
      </c>
    </row>
    <row r="414" spans="1:6" ht="12.75">
      <c r="A414" s="372" t="s">
        <v>337</v>
      </c>
      <c r="B414" s="380" t="s">
        <v>698</v>
      </c>
      <c r="C414" s="327"/>
      <c r="D414" s="151"/>
      <c r="E414" s="327"/>
      <c r="F414" s="151">
        <f>SUM(C414:E414)</f>
        <v>0</v>
      </c>
    </row>
    <row r="415" spans="1:6" ht="12.75">
      <c r="A415" s="372" t="s">
        <v>338</v>
      </c>
      <c r="B415" s="380" t="s">
        <v>699</v>
      </c>
      <c r="C415" s="327"/>
      <c r="D415" s="151"/>
      <c r="E415" s="327"/>
      <c r="F415" s="151">
        <f aca="true" t="shared" si="21" ref="F415:F421">SUM(C415:E415)</f>
        <v>0</v>
      </c>
    </row>
    <row r="416" spans="1:6" ht="12.75">
      <c r="A416" s="372" t="s">
        <v>339</v>
      </c>
      <c r="B416" s="380" t="s">
        <v>700</v>
      </c>
      <c r="C416" s="327"/>
      <c r="D416" s="151"/>
      <c r="E416" s="327"/>
      <c r="F416" s="151">
        <f t="shared" si="21"/>
        <v>0</v>
      </c>
    </row>
    <row r="417" spans="1:6" ht="12.75">
      <c r="A417" s="372" t="s">
        <v>340</v>
      </c>
      <c r="B417" s="380" t="s">
        <v>701</v>
      </c>
      <c r="C417" s="327"/>
      <c r="D417" s="151"/>
      <c r="E417" s="327"/>
      <c r="F417" s="151">
        <f t="shared" si="21"/>
        <v>0</v>
      </c>
    </row>
    <row r="418" spans="1:6" ht="12.75">
      <c r="A418" s="372" t="s">
        <v>341</v>
      </c>
      <c r="B418" s="834" t="s">
        <v>702</v>
      </c>
      <c r="C418" s="327"/>
      <c r="D418" s="151"/>
      <c r="E418" s="327"/>
      <c r="F418" s="151">
        <f t="shared" si="21"/>
        <v>0</v>
      </c>
    </row>
    <row r="419" spans="1:6" ht="12.75">
      <c r="A419" s="372" t="s">
        <v>342</v>
      </c>
      <c r="B419" s="309" t="s">
        <v>703</v>
      </c>
      <c r="C419" s="327"/>
      <c r="D419" s="151"/>
      <c r="E419" s="327"/>
      <c r="F419" s="151">
        <f t="shared" si="21"/>
        <v>0</v>
      </c>
    </row>
    <row r="420" spans="1:6" ht="12.75">
      <c r="A420" s="372" t="s">
        <v>343</v>
      </c>
      <c r="B420" s="1091" t="s">
        <v>704</v>
      </c>
      <c r="C420" s="327"/>
      <c r="D420" s="151"/>
      <c r="E420" s="327"/>
      <c r="F420" s="151">
        <f t="shared" si="21"/>
        <v>0</v>
      </c>
    </row>
    <row r="421" spans="1:6" ht="12.75">
      <c r="A421" s="372" t="s">
        <v>344</v>
      </c>
      <c r="B421" s="228"/>
      <c r="C421" s="327"/>
      <c r="D421" s="151"/>
      <c r="E421" s="327"/>
      <c r="F421" s="151">
        <f t="shared" si="21"/>
        <v>0</v>
      </c>
    </row>
    <row r="422" spans="1:6" ht="13.5" thickBot="1">
      <c r="A422" s="372" t="s">
        <v>345</v>
      </c>
      <c r="B422" s="230"/>
      <c r="C422" s="330">
        <f>-C397</f>
        <v>0</v>
      </c>
      <c r="D422" s="330">
        <f>-D397</f>
        <v>0</v>
      </c>
      <c r="E422" s="330">
        <f>-E397</f>
        <v>0</v>
      </c>
      <c r="F422" s="152">
        <f>-F397</f>
        <v>0</v>
      </c>
    </row>
    <row r="423" spans="1:6" ht="13.5" thickBot="1">
      <c r="A423" s="615" t="s">
        <v>346</v>
      </c>
      <c r="B423" s="616" t="s">
        <v>7</v>
      </c>
      <c r="C423" s="624">
        <f>C411+C412+C413+C421+C422</f>
        <v>76642</v>
      </c>
      <c r="D423" s="624">
        <f>D411+D412+D413+D421+D422</f>
        <v>0</v>
      </c>
      <c r="E423" s="624">
        <f>E411+E412+E413+E421+E422</f>
        <v>0</v>
      </c>
      <c r="F423" s="625">
        <f>F411+F412+F413+F421+F422</f>
        <v>76642</v>
      </c>
    </row>
    <row r="424" spans="1:6" ht="27" thickBot="1" thickTop="1">
      <c r="A424" s="615" t="s">
        <v>347</v>
      </c>
      <c r="B424" s="620" t="s">
        <v>503</v>
      </c>
      <c r="C424" s="627">
        <f>C408+C423</f>
        <v>76642</v>
      </c>
      <c r="D424" s="627">
        <f>D408+D423</f>
        <v>0</v>
      </c>
      <c r="E424" s="627">
        <f>E408+E423</f>
        <v>0</v>
      </c>
      <c r="F424" s="628">
        <f>F408+F423</f>
        <v>76642</v>
      </c>
    </row>
    <row r="425" spans="1:6" ht="11.25" customHeight="1" thickTop="1">
      <c r="A425" s="604"/>
      <c r="B425" s="848"/>
      <c r="C425" s="267"/>
      <c r="D425" s="267"/>
      <c r="E425" s="267"/>
      <c r="F425" s="272"/>
    </row>
    <row r="426" spans="1:6" ht="12.75">
      <c r="A426" s="372" t="s">
        <v>348</v>
      </c>
      <c r="B426" s="485" t="s">
        <v>504</v>
      </c>
      <c r="C426" s="626"/>
      <c r="D426" s="154"/>
      <c r="E426" s="329"/>
      <c r="F426" s="206"/>
    </row>
    <row r="427" spans="1:6" ht="12.75">
      <c r="A427" s="371" t="s">
        <v>349</v>
      </c>
      <c r="B427" s="229" t="s">
        <v>726</v>
      </c>
      <c r="C427" s="332"/>
      <c r="D427" s="151"/>
      <c r="E427" s="327"/>
      <c r="F427" s="151">
        <f aca="true" t="shared" si="22" ref="F427:F434">SUM(C427:E427)</f>
        <v>0</v>
      </c>
    </row>
    <row r="428" spans="1:6" ht="12.75">
      <c r="A428" s="371" t="s">
        <v>350</v>
      </c>
      <c r="B428" s="697" t="s">
        <v>724</v>
      </c>
      <c r="C428" s="841"/>
      <c r="D428" s="156"/>
      <c r="E428" s="328"/>
      <c r="F428" s="151">
        <f t="shared" si="22"/>
        <v>0</v>
      </c>
    </row>
    <row r="429" spans="1:6" ht="12.75">
      <c r="A429" s="371" t="s">
        <v>351</v>
      </c>
      <c r="B429" s="697" t="s">
        <v>723</v>
      </c>
      <c r="C429" s="841"/>
      <c r="D429" s="156"/>
      <c r="E429" s="328"/>
      <c r="F429" s="151">
        <f t="shared" si="22"/>
        <v>0</v>
      </c>
    </row>
    <row r="430" spans="1:6" ht="12.75">
      <c r="A430" s="371" t="s">
        <v>352</v>
      </c>
      <c r="B430" s="697" t="s">
        <v>725</v>
      </c>
      <c r="C430" s="841"/>
      <c r="D430" s="156"/>
      <c r="E430" s="328"/>
      <c r="F430" s="151">
        <f t="shared" si="22"/>
        <v>0</v>
      </c>
    </row>
    <row r="431" spans="1:6" ht="12.75">
      <c r="A431" s="371" t="s">
        <v>353</v>
      </c>
      <c r="B431" s="836" t="s">
        <v>727</v>
      </c>
      <c r="C431" s="841"/>
      <c r="D431" s="156"/>
      <c r="E431" s="328"/>
      <c r="F431" s="151">
        <f t="shared" si="22"/>
        <v>0</v>
      </c>
    </row>
    <row r="432" spans="1:6" ht="12.75">
      <c r="A432" s="371" t="s">
        <v>354</v>
      </c>
      <c r="B432" s="837" t="s">
        <v>730</v>
      </c>
      <c r="C432" s="841"/>
      <c r="D432" s="156"/>
      <c r="E432" s="328"/>
      <c r="F432" s="151">
        <f t="shared" si="22"/>
        <v>0</v>
      </c>
    </row>
    <row r="433" spans="1:6" ht="12.75">
      <c r="A433" s="371" t="s">
        <v>355</v>
      </c>
      <c r="B433" s="838" t="s">
        <v>729</v>
      </c>
      <c r="C433" s="841"/>
      <c r="D433" s="156"/>
      <c r="E433" s="328"/>
      <c r="F433" s="151">
        <f t="shared" si="22"/>
        <v>0</v>
      </c>
    </row>
    <row r="434" spans="1:6" ht="13.5" thickBot="1">
      <c r="A434" s="371" t="s">
        <v>356</v>
      </c>
      <c r="B434" s="382" t="s">
        <v>728</v>
      </c>
      <c r="C434" s="841"/>
      <c r="D434" s="156"/>
      <c r="E434" s="328"/>
      <c r="F434" s="151">
        <f t="shared" si="22"/>
        <v>0</v>
      </c>
    </row>
    <row r="435" spans="1:6" ht="13.5" thickBot="1">
      <c r="A435" s="395" t="s">
        <v>357</v>
      </c>
      <c r="B435" s="315" t="s">
        <v>505</v>
      </c>
      <c r="C435" s="842">
        <f>SUM(C427:C434)</f>
        <v>0</v>
      </c>
      <c r="D435" s="842">
        <f>SUM(D427:D434)</f>
        <v>0</v>
      </c>
      <c r="E435" s="842">
        <f>SUM(E427:E434)</f>
        <v>0</v>
      </c>
      <c r="F435" s="948">
        <f>SUM(F427:F434)</f>
        <v>0</v>
      </c>
    </row>
    <row r="436" spans="1:6" ht="12.75">
      <c r="A436" s="604"/>
      <c r="B436" s="44"/>
      <c r="C436" s="854"/>
      <c r="D436" s="856"/>
      <c r="E436" s="816"/>
      <c r="F436" s="693"/>
    </row>
    <row r="437" spans="1:6" ht="13.5" thickBot="1">
      <c r="A437" s="456" t="s">
        <v>358</v>
      </c>
      <c r="B437" s="1379" t="s">
        <v>506</v>
      </c>
      <c r="C437" s="994">
        <f>C424+C435</f>
        <v>76642</v>
      </c>
      <c r="D437" s="995">
        <f>D424+D435</f>
        <v>0</v>
      </c>
      <c r="E437" s="994">
        <f>E424+E435</f>
        <v>0</v>
      </c>
      <c r="F437" s="994">
        <f>F424+F435</f>
        <v>76642</v>
      </c>
    </row>
    <row r="438" spans="1:6" ht="12.75">
      <c r="A438" s="393"/>
      <c r="B438" s="827"/>
      <c r="C438" s="695"/>
      <c r="D438" s="695"/>
      <c r="E438" s="695"/>
      <c r="F438" s="695"/>
    </row>
    <row r="439" spans="1:6" ht="12.75">
      <c r="A439" s="1675">
        <v>9</v>
      </c>
      <c r="B439" s="1675"/>
      <c r="C439" s="1675"/>
      <c r="D439" s="1675"/>
      <c r="E439" s="1675"/>
      <c r="F439" s="1675"/>
    </row>
    <row r="440" spans="1:5" ht="12.75">
      <c r="A440" s="1654" t="s">
        <v>1456</v>
      </c>
      <c r="B440" s="1654"/>
      <c r="C440" s="1654"/>
      <c r="D440" s="1654"/>
      <c r="E440" s="1654"/>
    </row>
    <row r="441" spans="1:5" ht="12.75">
      <c r="A441" s="384"/>
      <c r="B441" s="384"/>
      <c r="C441" s="384"/>
      <c r="D441" s="384"/>
      <c r="E441" s="384"/>
    </row>
    <row r="442" spans="1:6" ht="14.25">
      <c r="A442" s="1809" t="s">
        <v>1098</v>
      </c>
      <c r="B442" s="1810"/>
      <c r="C442" s="1810"/>
      <c r="D442" s="1810"/>
      <c r="E442" s="1810"/>
      <c r="F442" s="1810"/>
    </row>
    <row r="443" spans="2:5" ht="12" customHeight="1">
      <c r="B443" s="21"/>
      <c r="C443" s="21"/>
      <c r="D443" s="21"/>
      <c r="E443" s="21"/>
    </row>
    <row r="444" spans="2:5" ht="15.75">
      <c r="B444" s="21" t="s">
        <v>549</v>
      </c>
      <c r="C444" s="21"/>
      <c r="D444" s="21"/>
      <c r="E444" s="21"/>
    </row>
    <row r="445" spans="2:5" ht="13.5" thickBot="1">
      <c r="B445" s="1"/>
      <c r="C445" s="1"/>
      <c r="D445" s="1"/>
      <c r="E445" s="22" t="s">
        <v>8</v>
      </c>
    </row>
    <row r="446" spans="1:6" ht="48.75" thickBot="1">
      <c r="A446" s="399" t="s">
        <v>311</v>
      </c>
      <c r="B446" s="610" t="s">
        <v>13</v>
      </c>
      <c r="C446" s="387" t="s">
        <v>540</v>
      </c>
      <c r="D446" s="388" t="s">
        <v>541</v>
      </c>
      <c r="E446" s="387" t="s">
        <v>536</v>
      </c>
      <c r="F446" s="388" t="s">
        <v>535</v>
      </c>
    </row>
    <row r="447" spans="1:6" ht="12.75">
      <c r="A447" s="611" t="s">
        <v>312</v>
      </c>
      <c r="B447" s="612" t="s">
        <v>313</v>
      </c>
      <c r="C447" s="621" t="s">
        <v>314</v>
      </c>
      <c r="D447" s="622" t="s">
        <v>315</v>
      </c>
      <c r="E447" s="796" t="s">
        <v>335</v>
      </c>
      <c r="F447" s="797" t="s">
        <v>360</v>
      </c>
    </row>
    <row r="448" spans="1:6" ht="12.75">
      <c r="A448" s="372" t="s">
        <v>316</v>
      </c>
      <c r="B448" s="379" t="s">
        <v>256</v>
      </c>
      <c r="C448" s="327"/>
      <c r="D448" s="151"/>
      <c r="E448" s="327"/>
      <c r="F448" s="136"/>
    </row>
    <row r="449" spans="1:6" ht="12.75">
      <c r="A449" s="371" t="s">
        <v>317</v>
      </c>
      <c r="B449" s="199" t="s">
        <v>681</v>
      </c>
      <c r="C449" s="327"/>
      <c r="D449" s="151"/>
      <c r="E449" s="327"/>
      <c r="F449" s="151">
        <f>SUM(C449:E449)</f>
        <v>0</v>
      </c>
    </row>
    <row r="450" spans="1:6" ht="12.75">
      <c r="A450" s="371" t="s">
        <v>318</v>
      </c>
      <c r="B450" s="228" t="s">
        <v>683</v>
      </c>
      <c r="C450" s="327"/>
      <c r="D450" s="151"/>
      <c r="E450" s="327"/>
      <c r="F450" s="151">
        <f>SUM(C450:E450)</f>
        <v>0</v>
      </c>
    </row>
    <row r="451" spans="1:6" ht="12.75">
      <c r="A451" s="371" t="s">
        <v>319</v>
      </c>
      <c r="B451" s="228" t="s">
        <v>682</v>
      </c>
      <c r="C451" s="327">
        <v>41879</v>
      </c>
      <c r="D451" s="151"/>
      <c r="E451" s="327"/>
      <c r="F451" s="151">
        <f>SUM(C451:E451)</f>
        <v>41879</v>
      </c>
    </row>
    <row r="452" spans="1:6" ht="12.75">
      <c r="A452" s="371" t="s">
        <v>320</v>
      </c>
      <c r="B452" s="228" t="s">
        <v>684</v>
      </c>
      <c r="C452" s="327"/>
      <c r="D452" s="151"/>
      <c r="E452" s="327"/>
      <c r="F452" s="151">
        <f>SUM(C452:E452)</f>
        <v>0</v>
      </c>
    </row>
    <row r="453" spans="1:6" ht="12.75">
      <c r="A453" s="371" t="s">
        <v>321</v>
      </c>
      <c r="B453" s="228" t="s">
        <v>685</v>
      </c>
      <c r="C453" s="327"/>
      <c r="D453" s="151"/>
      <c r="E453" s="327"/>
      <c r="F453" s="151">
        <f>SUM(C453:E453)</f>
        <v>0</v>
      </c>
    </row>
    <row r="454" spans="1:6" ht="12.75">
      <c r="A454" s="371" t="s">
        <v>322</v>
      </c>
      <c r="B454" s="228" t="s">
        <v>686</v>
      </c>
      <c r="C454" s="327">
        <f>C455+C456+C457+C458+C459+C460+C461</f>
        <v>0</v>
      </c>
      <c r="D454" s="327">
        <f>D455+D456+D457+D458+D459+D460+D461</f>
        <v>0</v>
      </c>
      <c r="E454" s="327">
        <f>E455+E456+E457+E458+E459+E460+E461</f>
        <v>0</v>
      </c>
      <c r="F454" s="151">
        <f>F455+F456+F457+F458+F459+F460+F461</f>
        <v>0</v>
      </c>
    </row>
    <row r="455" spans="1:6" ht="12.75">
      <c r="A455" s="371" t="s">
        <v>323</v>
      </c>
      <c r="B455" s="228" t="s">
        <v>690</v>
      </c>
      <c r="C455" s="327">
        <v>0</v>
      </c>
      <c r="D455" s="151">
        <v>0</v>
      </c>
      <c r="E455" s="327">
        <v>0</v>
      </c>
      <c r="F455" s="151">
        <f>E455+D455+C455</f>
        <v>0</v>
      </c>
    </row>
    <row r="456" spans="1:6" ht="12.75">
      <c r="A456" s="371" t="s">
        <v>324</v>
      </c>
      <c r="B456" s="228" t="s">
        <v>691</v>
      </c>
      <c r="C456" s="327"/>
      <c r="D456" s="151"/>
      <c r="E456" s="327"/>
      <c r="F456" s="151">
        <f aca="true" t="shared" si="23" ref="F456:F462">E456+D456+C456</f>
        <v>0</v>
      </c>
    </row>
    <row r="457" spans="1:6" ht="12.75">
      <c r="A457" s="371" t="s">
        <v>325</v>
      </c>
      <c r="B457" s="228" t="s">
        <v>692</v>
      </c>
      <c r="C457" s="327"/>
      <c r="D457" s="151"/>
      <c r="E457" s="327"/>
      <c r="F457" s="151">
        <f t="shared" si="23"/>
        <v>0</v>
      </c>
    </row>
    <row r="458" spans="1:6" ht="12.75">
      <c r="A458" s="371" t="s">
        <v>326</v>
      </c>
      <c r="B458" s="380" t="s">
        <v>688</v>
      </c>
      <c r="C458" s="262"/>
      <c r="D458" s="155"/>
      <c r="E458" s="327"/>
      <c r="F458" s="151">
        <f t="shared" si="23"/>
        <v>0</v>
      </c>
    </row>
    <row r="459" spans="1:6" ht="12.75">
      <c r="A459" s="371" t="s">
        <v>327</v>
      </c>
      <c r="B459" s="834" t="s">
        <v>689</v>
      </c>
      <c r="C459" s="330"/>
      <c r="D459" s="152"/>
      <c r="E459" s="327"/>
      <c r="F459" s="151">
        <f t="shared" si="23"/>
        <v>0</v>
      </c>
    </row>
    <row r="460" spans="1:6" ht="12.75">
      <c r="A460" s="371" t="s">
        <v>328</v>
      </c>
      <c r="B460" s="835" t="s">
        <v>687</v>
      </c>
      <c r="C460" s="330"/>
      <c r="D460" s="152"/>
      <c r="E460" s="327"/>
      <c r="F460" s="151">
        <f t="shared" si="23"/>
        <v>0</v>
      </c>
    </row>
    <row r="461" spans="1:6" ht="12.75">
      <c r="A461" s="371" t="s">
        <v>329</v>
      </c>
      <c r="B461" s="309" t="s">
        <v>957</v>
      </c>
      <c r="C461" s="330"/>
      <c r="D461" s="152"/>
      <c r="E461" s="327"/>
      <c r="F461" s="156"/>
    </row>
    <row r="462" spans="1:6" ht="13.5" thickBot="1">
      <c r="A462" s="371" t="s">
        <v>330</v>
      </c>
      <c r="B462" s="230" t="s">
        <v>694</v>
      </c>
      <c r="C462" s="328"/>
      <c r="D462" s="156"/>
      <c r="E462" s="327"/>
      <c r="F462" s="325">
        <f t="shared" si="23"/>
        <v>0</v>
      </c>
    </row>
    <row r="463" spans="1:6" ht="13.5" thickBot="1">
      <c r="A463" s="615" t="s">
        <v>331</v>
      </c>
      <c r="B463" s="616" t="s">
        <v>6</v>
      </c>
      <c r="C463" s="624">
        <f>C449+C450+C451+C452+C454+C462</f>
        <v>41879</v>
      </c>
      <c r="D463" s="624">
        <f>D449+D450+D451+D452+D454+D462</f>
        <v>0</v>
      </c>
      <c r="E463" s="624">
        <f>E449+E450+E451+E452+E454+E462</f>
        <v>0</v>
      </c>
      <c r="F463" s="625">
        <f>F449+F450+F451+F452+F454+F462</f>
        <v>41879</v>
      </c>
    </row>
    <row r="464" spans="1:6" ht="7.5" customHeight="1" thickTop="1">
      <c r="A464" s="604"/>
      <c r="B464" s="379"/>
      <c r="C464" s="261"/>
      <c r="D464" s="261"/>
      <c r="E464" s="261"/>
      <c r="F464" s="159"/>
    </row>
    <row r="465" spans="1:6" ht="12.75">
      <c r="A465" s="372" t="s">
        <v>332</v>
      </c>
      <c r="B465" s="381" t="s">
        <v>257</v>
      </c>
      <c r="C465" s="329"/>
      <c r="D465" s="154"/>
      <c r="E465" s="329"/>
      <c r="F465" s="206"/>
    </row>
    <row r="466" spans="1:6" ht="12.75">
      <c r="A466" s="372" t="s">
        <v>333</v>
      </c>
      <c r="B466" s="228" t="s">
        <v>695</v>
      </c>
      <c r="C466" s="327"/>
      <c r="D466" s="151"/>
      <c r="E466" s="327"/>
      <c r="F466" s="151">
        <f>SUM(C466:E466)</f>
        <v>0</v>
      </c>
    </row>
    <row r="467" spans="1:6" ht="12.75">
      <c r="A467" s="372" t="s">
        <v>334</v>
      </c>
      <c r="B467" s="228" t="s">
        <v>696</v>
      </c>
      <c r="C467" s="327"/>
      <c r="D467" s="151"/>
      <c r="E467" s="327"/>
      <c r="F467" s="151">
        <f>SUM(C467:E467)</f>
        <v>0</v>
      </c>
    </row>
    <row r="468" spans="1:6" ht="12.75">
      <c r="A468" s="372" t="s">
        <v>336</v>
      </c>
      <c r="B468" s="228" t="s">
        <v>697</v>
      </c>
      <c r="C468" s="262">
        <f>C469+C470+C471+C472+C473+C474+C475</f>
        <v>0</v>
      </c>
      <c r="D468" s="262">
        <f>D469+D470+D471+D472+D473+D474+D475</f>
        <v>0</v>
      </c>
      <c r="E468" s="262">
        <f>E469+E470+E471+E472+E473+E474+E475</f>
        <v>0</v>
      </c>
      <c r="F468" s="155">
        <f>F469+F470+F471+F472+F473+F474+F475</f>
        <v>0</v>
      </c>
    </row>
    <row r="469" spans="1:6" ht="12.75">
      <c r="A469" s="372" t="s">
        <v>337</v>
      </c>
      <c r="B469" s="380" t="s">
        <v>698</v>
      </c>
      <c r="C469" s="327"/>
      <c r="D469" s="151"/>
      <c r="E469" s="327"/>
      <c r="F469" s="151">
        <f>SUM(C469:E469)</f>
        <v>0</v>
      </c>
    </row>
    <row r="470" spans="1:6" ht="12.75">
      <c r="A470" s="372" t="s">
        <v>338</v>
      </c>
      <c r="B470" s="380" t="s">
        <v>699</v>
      </c>
      <c r="C470" s="327"/>
      <c r="D470" s="151"/>
      <c r="E470" s="327"/>
      <c r="F470" s="151">
        <f aca="true" t="shared" si="24" ref="F470:F475">SUM(C470:E470)</f>
        <v>0</v>
      </c>
    </row>
    <row r="471" spans="1:6" ht="12.75">
      <c r="A471" s="372" t="s">
        <v>339</v>
      </c>
      <c r="B471" s="380" t="s">
        <v>700</v>
      </c>
      <c r="C471" s="327"/>
      <c r="D471" s="151"/>
      <c r="E471" s="327"/>
      <c r="F471" s="151">
        <f t="shared" si="24"/>
        <v>0</v>
      </c>
    </row>
    <row r="472" spans="1:6" ht="12.75">
      <c r="A472" s="372" t="s">
        <v>340</v>
      </c>
      <c r="B472" s="380" t="s">
        <v>701</v>
      </c>
      <c r="C472" s="327"/>
      <c r="D472" s="151"/>
      <c r="E472" s="327"/>
      <c r="F472" s="151">
        <f t="shared" si="24"/>
        <v>0</v>
      </c>
    </row>
    <row r="473" spans="1:6" ht="12.75">
      <c r="A473" s="372" t="s">
        <v>341</v>
      </c>
      <c r="B473" s="834" t="s">
        <v>702</v>
      </c>
      <c r="C473" s="327"/>
      <c r="D473" s="151"/>
      <c r="E473" s="327"/>
      <c r="F473" s="151">
        <f t="shared" si="24"/>
        <v>0</v>
      </c>
    </row>
    <row r="474" spans="1:6" ht="12.75">
      <c r="A474" s="372" t="s">
        <v>342</v>
      </c>
      <c r="B474" s="309" t="s">
        <v>703</v>
      </c>
      <c r="C474" s="327"/>
      <c r="D474" s="151"/>
      <c r="E474" s="327"/>
      <c r="F474" s="151">
        <f t="shared" si="24"/>
        <v>0</v>
      </c>
    </row>
    <row r="475" spans="1:6" ht="12.75">
      <c r="A475" s="372" t="s">
        <v>343</v>
      </c>
      <c r="B475" s="1091" t="s">
        <v>704</v>
      </c>
      <c r="C475" s="327"/>
      <c r="D475" s="151"/>
      <c r="E475" s="327"/>
      <c r="F475" s="151">
        <f t="shared" si="24"/>
        <v>0</v>
      </c>
    </row>
    <row r="476" spans="1:6" ht="12.75">
      <c r="A476" s="372" t="s">
        <v>344</v>
      </c>
      <c r="B476" s="228"/>
      <c r="C476" s="327"/>
      <c r="D476" s="151"/>
      <c r="E476" s="327"/>
      <c r="F476" s="151"/>
    </row>
    <row r="477" spans="1:6" ht="13.5" thickBot="1">
      <c r="A477" s="372" t="s">
        <v>345</v>
      </c>
      <c r="B477" s="230"/>
      <c r="C477" s="330"/>
      <c r="D477" s="330"/>
      <c r="E477" s="330"/>
      <c r="F477" s="152"/>
    </row>
    <row r="478" spans="1:6" ht="13.5" thickBot="1">
      <c r="A478" s="615" t="s">
        <v>346</v>
      </c>
      <c r="B478" s="616" t="s">
        <v>7</v>
      </c>
      <c r="C478" s="624">
        <f>C466+C467+C468+C476+C477</f>
        <v>0</v>
      </c>
      <c r="D478" s="624">
        <f>D466+D467+D468+D476+D477</f>
        <v>0</v>
      </c>
      <c r="E478" s="624">
        <f>E466+E467+E468+E476+E477</f>
        <v>0</v>
      </c>
      <c r="F478" s="625">
        <f>F466+F467+F468+F476+F477</f>
        <v>0</v>
      </c>
    </row>
    <row r="479" spans="1:6" ht="27" thickBot="1" thickTop="1">
      <c r="A479" s="615" t="s">
        <v>347</v>
      </c>
      <c r="B479" s="620" t="s">
        <v>503</v>
      </c>
      <c r="C479" s="627">
        <f>C463+C478</f>
        <v>41879</v>
      </c>
      <c r="D479" s="627">
        <f>D463+D478</f>
        <v>0</v>
      </c>
      <c r="E479" s="627">
        <f>E463+E478</f>
        <v>0</v>
      </c>
      <c r="F479" s="628">
        <f>F463+F478</f>
        <v>41879</v>
      </c>
    </row>
    <row r="480" spans="1:6" ht="9.75" customHeight="1" thickTop="1">
      <c r="A480" s="604"/>
      <c r="B480" s="848"/>
      <c r="C480" s="267"/>
      <c r="D480" s="267"/>
      <c r="E480" s="267"/>
      <c r="F480" s="272"/>
    </row>
    <row r="481" spans="1:6" ht="12.75">
      <c r="A481" s="372" t="s">
        <v>348</v>
      </c>
      <c r="B481" s="485" t="s">
        <v>504</v>
      </c>
      <c r="C481" s="626"/>
      <c r="D481" s="154"/>
      <c r="E481" s="329"/>
      <c r="F481" s="206"/>
    </row>
    <row r="482" spans="1:6" ht="12.75">
      <c r="A482" s="371" t="s">
        <v>349</v>
      </c>
      <c r="B482" s="229" t="s">
        <v>726</v>
      </c>
      <c r="C482" s="332"/>
      <c r="D482" s="151"/>
      <c r="E482" s="327"/>
      <c r="F482" s="151">
        <f>SUM(C482:E482)</f>
        <v>0</v>
      </c>
    </row>
    <row r="483" spans="1:6" ht="12.75">
      <c r="A483" s="371" t="s">
        <v>350</v>
      </c>
      <c r="B483" s="697" t="s">
        <v>724</v>
      </c>
      <c r="C483" s="841"/>
      <c r="D483" s="156"/>
      <c r="E483" s="328"/>
      <c r="F483" s="151">
        <f aca="true" t="shared" si="25" ref="F483:F489">SUM(C483:E483)</f>
        <v>0</v>
      </c>
    </row>
    <row r="484" spans="1:6" ht="12.75">
      <c r="A484" s="371" t="s">
        <v>351</v>
      </c>
      <c r="B484" s="697" t="s">
        <v>723</v>
      </c>
      <c r="C484" s="841"/>
      <c r="D484" s="156"/>
      <c r="E484" s="328"/>
      <c r="F484" s="151">
        <f t="shared" si="25"/>
        <v>0</v>
      </c>
    </row>
    <row r="485" spans="1:6" ht="12.75">
      <c r="A485" s="371" t="s">
        <v>352</v>
      </c>
      <c r="B485" s="697" t="s">
        <v>725</v>
      </c>
      <c r="C485" s="841"/>
      <c r="D485" s="156"/>
      <c r="E485" s="328"/>
      <c r="F485" s="151">
        <f t="shared" si="25"/>
        <v>0</v>
      </c>
    </row>
    <row r="486" spans="1:6" ht="12.75">
      <c r="A486" s="371" t="s">
        <v>353</v>
      </c>
      <c r="B486" s="836" t="s">
        <v>727</v>
      </c>
      <c r="C486" s="841"/>
      <c r="D486" s="156"/>
      <c r="E486" s="328"/>
      <c r="F486" s="151">
        <f t="shared" si="25"/>
        <v>0</v>
      </c>
    </row>
    <row r="487" spans="1:6" ht="12.75">
      <c r="A487" s="371" t="s">
        <v>354</v>
      </c>
      <c r="B487" s="837" t="s">
        <v>730</v>
      </c>
      <c r="C487" s="841"/>
      <c r="D487" s="156"/>
      <c r="E487" s="328"/>
      <c r="F487" s="151">
        <f t="shared" si="25"/>
        <v>0</v>
      </c>
    </row>
    <row r="488" spans="1:6" ht="12.75">
      <c r="A488" s="371" t="s">
        <v>355</v>
      </c>
      <c r="B488" s="838" t="s">
        <v>729</v>
      </c>
      <c r="C488" s="841"/>
      <c r="D488" s="156"/>
      <c r="E488" s="328"/>
      <c r="F488" s="151">
        <f t="shared" si="25"/>
        <v>0</v>
      </c>
    </row>
    <row r="489" spans="1:6" ht="13.5" thickBot="1">
      <c r="A489" s="371" t="s">
        <v>356</v>
      </c>
      <c r="B489" s="382" t="s">
        <v>728</v>
      </c>
      <c r="C489" s="841"/>
      <c r="D489" s="156"/>
      <c r="E489" s="328"/>
      <c r="F489" s="151">
        <f t="shared" si="25"/>
        <v>0</v>
      </c>
    </row>
    <row r="490" spans="1:6" ht="13.5" thickBot="1">
      <c r="A490" s="395" t="s">
        <v>357</v>
      </c>
      <c r="B490" s="315" t="s">
        <v>505</v>
      </c>
      <c r="C490" s="842">
        <f>SUM(C482:C489)</f>
        <v>0</v>
      </c>
      <c r="D490" s="842">
        <f>SUM(D482:D489)</f>
        <v>0</v>
      </c>
      <c r="E490" s="842">
        <f>SUM(E482:E489)</f>
        <v>0</v>
      </c>
      <c r="F490" s="948">
        <f>SUM(F482:F489)</f>
        <v>0</v>
      </c>
    </row>
    <row r="491" spans="1:6" ht="12.75">
      <c r="A491" s="604"/>
      <c r="B491" s="44"/>
      <c r="C491" s="854"/>
      <c r="D491" s="856"/>
      <c r="E491" s="816"/>
      <c r="F491" s="693"/>
    </row>
    <row r="492" spans="1:6" ht="13.5" thickBot="1">
      <c r="A492" s="456" t="s">
        <v>358</v>
      </c>
      <c r="B492" s="1379" t="s">
        <v>506</v>
      </c>
      <c r="C492" s="994">
        <f>C479+C490</f>
        <v>41879</v>
      </c>
      <c r="D492" s="995">
        <f>D479+D490</f>
        <v>0</v>
      </c>
      <c r="E492" s="994">
        <f>E479+E490</f>
        <v>0</v>
      </c>
      <c r="F492" s="994">
        <f>F479+F490</f>
        <v>41879</v>
      </c>
    </row>
    <row r="493" spans="1:6" ht="12.75">
      <c r="A493" s="393"/>
      <c r="B493" s="827"/>
      <c r="C493" s="695"/>
      <c r="D493" s="695"/>
      <c r="E493" s="695"/>
      <c r="F493" s="695"/>
    </row>
    <row r="494" spans="1:6" ht="12.75">
      <c r="A494" s="1675">
        <v>10</v>
      </c>
      <c r="B494" s="1675"/>
      <c r="C494" s="1675"/>
      <c r="D494" s="1675"/>
      <c r="E494" s="1675"/>
      <c r="F494" s="1675"/>
    </row>
    <row r="495" spans="1:5" ht="12.75">
      <c r="A495" s="1654" t="s">
        <v>1456</v>
      </c>
      <c r="B495" s="1654"/>
      <c r="C495" s="1654"/>
      <c r="D495" s="1654"/>
      <c r="E495" s="1654"/>
    </row>
    <row r="496" spans="1:5" ht="12.75">
      <c r="A496" s="384"/>
      <c r="B496" s="384"/>
      <c r="C496" s="384"/>
      <c r="D496" s="384"/>
      <c r="E496" s="384"/>
    </row>
    <row r="497" spans="1:6" ht="14.25">
      <c r="A497" s="1809" t="s">
        <v>1098</v>
      </c>
      <c r="B497" s="1810"/>
      <c r="C497" s="1810"/>
      <c r="D497" s="1810"/>
      <c r="E497" s="1810"/>
      <c r="F497" s="1810"/>
    </row>
    <row r="498" spans="2:5" ht="12.75" customHeight="1">
      <c r="B498" s="21"/>
      <c r="C498" s="21"/>
      <c r="D498" s="21"/>
      <c r="E498" s="21"/>
    </row>
    <row r="499" spans="2:5" ht="15.75">
      <c r="B499" s="21" t="s">
        <v>550</v>
      </c>
      <c r="C499" s="21"/>
      <c r="D499" s="21"/>
      <c r="E499" s="21"/>
    </row>
    <row r="500" spans="2:5" ht="13.5" thickBot="1">
      <c r="B500" s="1"/>
      <c r="C500" s="1"/>
      <c r="D500" s="1"/>
      <c r="E500" s="22" t="s">
        <v>8</v>
      </c>
    </row>
    <row r="501" spans="1:6" ht="48.75" thickBot="1">
      <c r="A501" s="399" t="s">
        <v>311</v>
      </c>
      <c r="B501" s="610" t="s">
        <v>13</v>
      </c>
      <c r="C501" s="387" t="s">
        <v>540</v>
      </c>
      <c r="D501" s="388" t="s">
        <v>541</v>
      </c>
      <c r="E501" s="387" t="s">
        <v>536</v>
      </c>
      <c r="F501" s="388" t="s">
        <v>535</v>
      </c>
    </row>
    <row r="502" spans="1:6" ht="12.75">
      <c r="A502" s="611" t="s">
        <v>312</v>
      </c>
      <c r="B502" s="612" t="s">
        <v>313</v>
      </c>
      <c r="C502" s="621" t="s">
        <v>314</v>
      </c>
      <c r="D502" s="622" t="s">
        <v>315</v>
      </c>
      <c r="E502" s="796" t="s">
        <v>335</v>
      </c>
      <c r="F502" s="797" t="s">
        <v>360</v>
      </c>
    </row>
    <row r="503" spans="1:6" ht="12.75">
      <c r="A503" s="372" t="s">
        <v>316</v>
      </c>
      <c r="B503" s="379" t="s">
        <v>256</v>
      </c>
      <c r="C503" s="327"/>
      <c r="D503" s="151"/>
      <c r="E503" s="327"/>
      <c r="F503" s="136"/>
    </row>
    <row r="504" spans="1:6" ht="12.75">
      <c r="A504" s="371" t="s">
        <v>317</v>
      </c>
      <c r="B504" s="199" t="s">
        <v>681</v>
      </c>
      <c r="C504" s="327"/>
      <c r="D504" s="151"/>
      <c r="E504" s="327"/>
      <c r="F504" s="151">
        <f>SUM(C504:E504)</f>
        <v>0</v>
      </c>
    </row>
    <row r="505" spans="1:6" ht="12.75">
      <c r="A505" s="371" t="s">
        <v>318</v>
      </c>
      <c r="B505" s="228" t="s">
        <v>683</v>
      </c>
      <c r="C505" s="327"/>
      <c r="D505" s="151"/>
      <c r="E505" s="327"/>
      <c r="F505" s="151">
        <f>SUM(C505:E505)</f>
        <v>0</v>
      </c>
    </row>
    <row r="506" spans="1:6" ht="12.75">
      <c r="A506" s="371" t="s">
        <v>319</v>
      </c>
      <c r="B506" s="228" t="s">
        <v>682</v>
      </c>
      <c r="C506" s="327">
        <v>3274</v>
      </c>
      <c r="D506" s="151"/>
      <c r="E506" s="327"/>
      <c r="F506" s="151">
        <f>SUM(C506:E506)</f>
        <v>3274</v>
      </c>
    </row>
    <row r="507" spans="1:6" ht="12.75">
      <c r="A507" s="371" t="s">
        <v>320</v>
      </c>
      <c r="B507" s="228" t="s">
        <v>684</v>
      </c>
      <c r="C507" s="327"/>
      <c r="D507" s="151"/>
      <c r="E507" s="327"/>
      <c r="F507" s="151">
        <f>SUM(C507:E507)</f>
        <v>0</v>
      </c>
    </row>
    <row r="508" spans="1:6" ht="12.75">
      <c r="A508" s="371" t="s">
        <v>321</v>
      </c>
      <c r="B508" s="228" t="s">
        <v>685</v>
      </c>
      <c r="C508" s="327"/>
      <c r="D508" s="151"/>
      <c r="E508" s="327"/>
      <c r="F508" s="151">
        <f>SUM(C508:E508)</f>
        <v>0</v>
      </c>
    </row>
    <row r="509" spans="1:6" ht="12.75">
      <c r="A509" s="371" t="s">
        <v>322</v>
      </c>
      <c r="B509" s="228" t="s">
        <v>686</v>
      </c>
      <c r="C509" s="327">
        <f>C510+C511+C512+C513+C514+C515+C516</f>
        <v>42522</v>
      </c>
      <c r="D509" s="327">
        <f>D510+D511+D512+D513+D514+D515+D516</f>
        <v>0</v>
      </c>
      <c r="E509" s="327">
        <f>E510+E511+E512+E513+E514+E515+E516</f>
        <v>0</v>
      </c>
      <c r="F509" s="151">
        <f>F510+F511+F512+F513+F514+F515+F516</f>
        <v>42522</v>
      </c>
    </row>
    <row r="510" spans="1:6" ht="12.75">
      <c r="A510" s="371" t="s">
        <v>323</v>
      </c>
      <c r="B510" s="228" t="s">
        <v>690</v>
      </c>
      <c r="C510" s="327">
        <v>0</v>
      </c>
      <c r="D510" s="151">
        <v>0</v>
      </c>
      <c r="E510" s="327">
        <v>0</v>
      </c>
      <c r="F510" s="151">
        <f>E510+D510+C510</f>
        <v>0</v>
      </c>
    </row>
    <row r="511" spans="1:6" ht="12.75">
      <c r="A511" s="371" t="s">
        <v>324</v>
      </c>
      <c r="B511" s="228" t="s">
        <v>691</v>
      </c>
      <c r="C511" s="327"/>
      <c r="D511" s="151"/>
      <c r="E511" s="327"/>
      <c r="F511" s="151">
        <f aca="true" t="shared" si="26" ref="F511:F517">E511+D511+C511</f>
        <v>0</v>
      </c>
    </row>
    <row r="512" spans="1:6" ht="12.75">
      <c r="A512" s="371" t="s">
        <v>325</v>
      </c>
      <c r="B512" s="228" t="s">
        <v>692</v>
      </c>
      <c r="C512" s="327"/>
      <c r="D512" s="151"/>
      <c r="E512" s="327"/>
      <c r="F512" s="151">
        <f t="shared" si="26"/>
        <v>0</v>
      </c>
    </row>
    <row r="513" spans="1:6" ht="12.75">
      <c r="A513" s="371" t="s">
        <v>326</v>
      </c>
      <c r="B513" s="380" t="s">
        <v>688</v>
      </c>
      <c r="C513" s="327">
        <f>'6 7_sz_melléklet'!E52</f>
        <v>42522</v>
      </c>
      <c r="D513" s="155"/>
      <c r="E513" s="327"/>
      <c r="F513" s="151">
        <f t="shared" si="26"/>
        <v>42522</v>
      </c>
    </row>
    <row r="514" spans="1:6" ht="12.75">
      <c r="A514" s="371" t="s">
        <v>327</v>
      </c>
      <c r="B514" s="834" t="s">
        <v>689</v>
      </c>
      <c r="C514" s="330"/>
      <c r="D514" s="152"/>
      <c r="E514" s="327"/>
      <c r="F514" s="151">
        <f t="shared" si="26"/>
        <v>0</v>
      </c>
    </row>
    <row r="515" spans="1:6" ht="12.75">
      <c r="A515" s="371" t="s">
        <v>328</v>
      </c>
      <c r="B515" s="835" t="s">
        <v>687</v>
      </c>
      <c r="C515" s="330"/>
      <c r="D515" s="152"/>
      <c r="E515" s="327"/>
      <c r="F515" s="151">
        <f t="shared" si="26"/>
        <v>0</v>
      </c>
    </row>
    <row r="516" spans="1:6" ht="12.75">
      <c r="A516" s="371" t="s">
        <v>329</v>
      </c>
      <c r="B516" s="309" t="s">
        <v>957</v>
      </c>
      <c r="C516" s="330"/>
      <c r="D516" s="152"/>
      <c r="E516" s="327"/>
      <c r="F516" s="156"/>
    </row>
    <row r="517" spans="1:6" ht="13.5" thickBot="1">
      <c r="A517" s="371" t="s">
        <v>330</v>
      </c>
      <c r="B517" s="230" t="s">
        <v>694</v>
      </c>
      <c r="C517" s="328"/>
      <c r="D517" s="156"/>
      <c r="E517" s="327"/>
      <c r="F517" s="325">
        <f t="shared" si="26"/>
        <v>0</v>
      </c>
    </row>
    <row r="518" spans="1:6" ht="13.5" thickBot="1">
      <c r="A518" s="615" t="s">
        <v>331</v>
      </c>
      <c r="B518" s="616" t="s">
        <v>6</v>
      </c>
      <c r="C518" s="624">
        <f>C504+C505+C506+C507+C509+C517</f>
        <v>45796</v>
      </c>
      <c r="D518" s="624">
        <f>D504+D505+D506+D507+D509+D517</f>
        <v>0</v>
      </c>
      <c r="E518" s="624">
        <f>E504+E505+E506+E507+E509+E517</f>
        <v>0</v>
      </c>
      <c r="F518" s="625">
        <f>F504+F505+F506+F507+F509+F517</f>
        <v>45796</v>
      </c>
    </row>
    <row r="519" spans="1:6" ht="8.25" customHeight="1" thickTop="1">
      <c r="A519" s="604"/>
      <c r="B519" s="379"/>
      <c r="C519" s="261"/>
      <c r="D519" s="261"/>
      <c r="E519" s="261"/>
      <c r="F519" s="159"/>
    </row>
    <row r="520" spans="1:6" ht="12.75">
      <c r="A520" s="372" t="s">
        <v>332</v>
      </c>
      <c r="B520" s="381" t="s">
        <v>257</v>
      </c>
      <c r="C520" s="329"/>
      <c r="D520" s="154"/>
      <c r="E520" s="329"/>
      <c r="F520" s="206"/>
    </row>
    <row r="521" spans="1:6" ht="12.75">
      <c r="A521" s="372" t="s">
        <v>333</v>
      </c>
      <c r="B521" s="228" t="s">
        <v>695</v>
      </c>
      <c r="C521" s="327">
        <f>'33_sz_ melléklet'!C104</f>
        <v>5271</v>
      </c>
      <c r="D521" s="151"/>
      <c r="E521" s="327"/>
      <c r="F521" s="151">
        <f>SUM(C521:E521)</f>
        <v>5271</v>
      </c>
    </row>
    <row r="522" spans="1:6" ht="12.75">
      <c r="A522" s="372" t="s">
        <v>334</v>
      </c>
      <c r="B522" s="228" t="s">
        <v>696</v>
      </c>
      <c r="C522" s="327">
        <f>'32_sz_ melléklet'!C39</f>
        <v>69224</v>
      </c>
      <c r="D522" s="151"/>
      <c r="E522" s="327"/>
      <c r="F522" s="151">
        <f>SUM(C522:E522)</f>
        <v>69224</v>
      </c>
    </row>
    <row r="523" spans="1:6" ht="12.75">
      <c r="A523" s="372" t="s">
        <v>336</v>
      </c>
      <c r="B523" s="228" t="s">
        <v>697</v>
      </c>
      <c r="C523" s="262">
        <f>C524+C525+C526+C527+C528+C529+C530</f>
        <v>0</v>
      </c>
      <c r="D523" s="262">
        <f>D524+D525+D526+D527+D528+D529+D530</f>
        <v>0</v>
      </c>
      <c r="E523" s="262">
        <f>E524+E525+E526+E527+E528+E529+E530</f>
        <v>0</v>
      </c>
      <c r="F523" s="155">
        <f>F524+F525+F526+F527+F528+F529+F530</f>
        <v>0</v>
      </c>
    </row>
    <row r="524" spans="1:6" ht="12.75">
      <c r="A524" s="372" t="s">
        <v>337</v>
      </c>
      <c r="B524" s="380" t="s">
        <v>698</v>
      </c>
      <c r="C524" s="327"/>
      <c r="D524" s="151"/>
      <c r="E524" s="327"/>
      <c r="F524" s="151">
        <f>SUM(C524:E524)</f>
        <v>0</v>
      </c>
    </row>
    <row r="525" spans="1:6" ht="12.75">
      <c r="A525" s="372" t="s">
        <v>338</v>
      </c>
      <c r="B525" s="380" t="s">
        <v>699</v>
      </c>
      <c r="C525" s="327"/>
      <c r="D525" s="151"/>
      <c r="E525" s="327"/>
      <c r="F525" s="151">
        <f aca="true" t="shared" si="27" ref="F525:F530">SUM(C525:E525)</f>
        <v>0</v>
      </c>
    </row>
    <row r="526" spans="1:6" ht="12.75">
      <c r="A526" s="372" t="s">
        <v>339</v>
      </c>
      <c r="B526" s="380" t="s">
        <v>700</v>
      </c>
      <c r="C526" s="327"/>
      <c r="D526" s="151"/>
      <c r="E526" s="327"/>
      <c r="F526" s="151">
        <f t="shared" si="27"/>
        <v>0</v>
      </c>
    </row>
    <row r="527" spans="1:6" ht="12.75">
      <c r="A527" s="372" t="s">
        <v>340</v>
      </c>
      <c r="B527" s="380" t="s">
        <v>701</v>
      </c>
      <c r="C527" s="327"/>
      <c r="D527" s="151"/>
      <c r="E527" s="327"/>
      <c r="F527" s="151">
        <f t="shared" si="27"/>
        <v>0</v>
      </c>
    </row>
    <row r="528" spans="1:6" ht="12.75">
      <c r="A528" s="372" t="s">
        <v>341</v>
      </c>
      <c r="B528" s="834" t="s">
        <v>702</v>
      </c>
      <c r="C528" s="327"/>
      <c r="D528" s="151"/>
      <c r="E528" s="327"/>
      <c r="F528" s="151">
        <f t="shared" si="27"/>
        <v>0</v>
      </c>
    </row>
    <row r="529" spans="1:6" ht="12.75">
      <c r="A529" s="372" t="s">
        <v>342</v>
      </c>
      <c r="B529" s="309" t="s">
        <v>703</v>
      </c>
      <c r="C529" s="327"/>
      <c r="D529" s="151"/>
      <c r="E529" s="327"/>
      <c r="F529" s="151">
        <f t="shared" si="27"/>
        <v>0</v>
      </c>
    </row>
    <row r="530" spans="1:6" ht="12.75">
      <c r="A530" s="372" t="s">
        <v>343</v>
      </c>
      <c r="B530" s="1091" t="s">
        <v>704</v>
      </c>
      <c r="C530" s="327"/>
      <c r="D530" s="151"/>
      <c r="E530" s="327"/>
      <c r="F530" s="151">
        <f t="shared" si="27"/>
        <v>0</v>
      </c>
    </row>
    <row r="531" spans="1:6" ht="12.75">
      <c r="A531" s="372" t="s">
        <v>344</v>
      </c>
      <c r="B531" s="228"/>
      <c r="C531" s="327"/>
      <c r="D531" s="151"/>
      <c r="E531" s="327"/>
      <c r="F531" s="151"/>
    </row>
    <row r="532" spans="1:6" ht="13.5" thickBot="1">
      <c r="A532" s="372" t="s">
        <v>345</v>
      </c>
      <c r="B532" s="230"/>
      <c r="C532" s="330"/>
      <c r="D532" s="330"/>
      <c r="E532" s="330"/>
      <c r="F532" s="152"/>
    </row>
    <row r="533" spans="1:6" ht="13.5" thickBot="1">
      <c r="A533" s="615" t="s">
        <v>346</v>
      </c>
      <c r="B533" s="616" t="s">
        <v>7</v>
      </c>
      <c r="C533" s="624">
        <f>C521+C522+C523+C531+C532</f>
        <v>74495</v>
      </c>
      <c r="D533" s="624">
        <f>D521+D522+D523+D531+D532</f>
        <v>0</v>
      </c>
      <c r="E533" s="624">
        <f>E521+E522+E523+E531+E532</f>
        <v>0</v>
      </c>
      <c r="F533" s="625">
        <f>F521+F522+F523+F531+F532</f>
        <v>74495</v>
      </c>
    </row>
    <row r="534" spans="1:6" ht="27" thickBot="1" thickTop="1">
      <c r="A534" s="615" t="s">
        <v>347</v>
      </c>
      <c r="B534" s="620" t="s">
        <v>503</v>
      </c>
      <c r="C534" s="627">
        <f>C518+C533</f>
        <v>120291</v>
      </c>
      <c r="D534" s="627">
        <f>D518+D533</f>
        <v>0</v>
      </c>
      <c r="E534" s="627">
        <f>E518+E533</f>
        <v>0</v>
      </c>
      <c r="F534" s="628">
        <f>F518+F533</f>
        <v>120291</v>
      </c>
    </row>
    <row r="535" spans="1:6" ht="9.75" customHeight="1" thickTop="1">
      <c r="A535" s="604"/>
      <c r="B535" s="848"/>
      <c r="C535" s="267"/>
      <c r="D535" s="267"/>
      <c r="E535" s="267"/>
      <c r="F535" s="272"/>
    </row>
    <row r="536" spans="1:6" ht="12.75">
      <c r="A536" s="372" t="s">
        <v>348</v>
      </c>
      <c r="B536" s="485" t="s">
        <v>504</v>
      </c>
      <c r="C536" s="626"/>
      <c r="D536" s="154"/>
      <c r="E536" s="329"/>
      <c r="F536" s="206"/>
    </row>
    <row r="537" spans="1:6" ht="12.75">
      <c r="A537" s="371" t="s">
        <v>349</v>
      </c>
      <c r="B537" s="229" t="s">
        <v>726</v>
      </c>
      <c r="C537" s="332"/>
      <c r="D537" s="151"/>
      <c r="E537" s="327"/>
      <c r="F537" s="151">
        <f>SUM(C537:E537)</f>
        <v>0</v>
      </c>
    </row>
    <row r="538" spans="1:6" ht="12.75">
      <c r="A538" s="371" t="s">
        <v>350</v>
      </c>
      <c r="B538" s="697" t="s">
        <v>724</v>
      </c>
      <c r="C538" s="841"/>
      <c r="D538" s="156"/>
      <c r="E538" s="328"/>
      <c r="F538" s="151">
        <f aca="true" t="shared" si="28" ref="F538:F544">SUM(C538:E538)</f>
        <v>0</v>
      </c>
    </row>
    <row r="539" spans="1:6" ht="12.75">
      <c r="A539" s="371" t="s">
        <v>351</v>
      </c>
      <c r="B539" s="697" t="s">
        <v>723</v>
      </c>
      <c r="C539" s="841"/>
      <c r="D539" s="156"/>
      <c r="E539" s="328"/>
      <c r="F539" s="151">
        <f t="shared" si="28"/>
        <v>0</v>
      </c>
    </row>
    <row r="540" spans="1:6" ht="12.75">
      <c r="A540" s="371" t="s">
        <v>352</v>
      </c>
      <c r="B540" s="697" t="s">
        <v>725</v>
      </c>
      <c r="C540" s="841"/>
      <c r="D540" s="156"/>
      <c r="E540" s="328"/>
      <c r="F540" s="151">
        <f t="shared" si="28"/>
        <v>0</v>
      </c>
    </row>
    <row r="541" spans="1:6" ht="12.75">
      <c r="A541" s="371" t="s">
        <v>353</v>
      </c>
      <c r="B541" s="836" t="s">
        <v>727</v>
      </c>
      <c r="C541" s="841"/>
      <c r="D541" s="156"/>
      <c r="E541" s="328"/>
      <c r="F541" s="151">
        <f t="shared" si="28"/>
        <v>0</v>
      </c>
    </row>
    <row r="542" spans="1:6" ht="12.75">
      <c r="A542" s="371" t="s">
        <v>354</v>
      </c>
      <c r="B542" s="837" t="s">
        <v>730</v>
      </c>
      <c r="C542" s="841"/>
      <c r="D542" s="156"/>
      <c r="E542" s="328"/>
      <c r="F542" s="151">
        <f t="shared" si="28"/>
        <v>0</v>
      </c>
    </row>
    <row r="543" spans="1:6" ht="12.75">
      <c r="A543" s="371" t="s">
        <v>355</v>
      </c>
      <c r="B543" s="838" t="s">
        <v>729</v>
      </c>
      <c r="C543" s="841"/>
      <c r="D543" s="156"/>
      <c r="E543" s="328"/>
      <c r="F543" s="151">
        <f t="shared" si="28"/>
        <v>0</v>
      </c>
    </row>
    <row r="544" spans="1:6" ht="13.5" thickBot="1">
      <c r="A544" s="371" t="s">
        <v>356</v>
      </c>
      <c r="B544" s="382" t="s">
        <v>728</v>
      </c>
      <c r="C544" s="841"/>
      <c r="D544" s="156"/>
      <c r="E544" s="328"/>
      <c r="F544" s="151">
        <f t="shared" si="28"/>
        <v>0</v>
      </c>
    </row>
    <row r="545" spans="1:6" ht="13.5" thickBot="1">
      <c r="A545" s="395" t="s">
        <v>357</v>
      </c>
      <c r="B545" s="315" t="s">
        <v>505</v>
      </c>
      <c r="C545" s="842">
        <f>SUM(C537:C544)</f>
        <v>0</v>
      </c>
      <c r="D545" s="842">
        <f>SUM(D537:D544)</f>
        <v>0</v>
      </c>
      <c r="E545" s="842">
        <f>SUM(E537:E544)</f>
        <v>0</v>
      </c>
      <c r="F545" s="948">
        <f>SUM(F537:F544)</f>
        <v>0</v>
      </c>
    </row>
    <row r="546" spans="1:6" ht="9.75" customHeight="1">
      <c r="A546" s="604"/>
      <c r="B546" s="44"/>
      <c r="C546" s="854"/>
      <c r="D546" s="856"/>
      <c r="E546" s="816"/>
      <c r="F546" s="693"/>
    </row>
    <row r="547" spans="1:6" ht="13.5" thickBot="1">
      <c r="A547" s="456" t="s">
        <v>358</v>
      </c>
      <c r="B547" s="1379" t="s">
        <v>506</v>
      </c>
      <c r="C547" s="994">
        <f>C534+C545</f>
        <v>120291</v>
      </c>
      <c r="D547" s="995">
        <f>D534+D545</f>
        <v>0</v>
      </c>
      <c r="E547" s="994">
        <f>E534+E545</f>
        <v>0</v>
      </c>
      <c r="F547" s="994">
        <f>F534+F545</f>
        <v>120291</v>
      </c>
    </row>
    <row r="548" spans="1:6" ht="12.75">
      <c r="A548" s="393"/>
      <c r="B548" s="827"/>
      <c r="C548" s="695"/>
      <c r="D548" s="695"/>
      <c r="E548" s="695"/>
      <c r="F548" s="695"/>
    </row>
    <row r="549" spans="1:6" ht="12.75">
      <c r="A549" s="1675">
        <v>11</v>
      </c>
      <c r="B549" s="1675"/>
      <c r="C549" s="1675"/>
      <c r="D549" s="1675"/>
      <c r="E549" s="1675"/>
      <c r="F549" s="1675"/>
    </row>
    <row r="550" spans="1:5" ht="12.75">
      <c r="A550" s="1654" t="s">
        <v>1456</v>
      </c>
      <c r="B550" s="1654"/>
      <c r="C550" s="1654"/>
      <c r="D550" s="1654"/>
      <c r="E550" s="1654"/>
    </row>
    <row r="551" spans="1:5" ht="12.75">
      <c r="A551" s="384"/>
      <c r="B551" s="384"/>
      <c r="C551" s="384"/>
      <c r="D551" s="384"/>
      <c r="E551" s="384"/>
    </row>
    <row r="552" spans="1:6" ht="14.25">
      <c r="A552" s="1809" t="s">
        <v>1098</v>
      </c>
      <c r="B552" s="1810"/>
      <c r="C552" s="1810"/>
      <c r="D552" s="1810"/>
      <c r="E552" s="1810"/>
      <c r="F552" s="1810"/>
    </row>
    <row r="553" spans="2:5" ht="10.5" customHeight="1">
      <c r="B553" s="21"/>
      <c r="C553" s="21"/>
      <c r="D553" s="21"/>
      <c r="E553" s="21"/>
    </row>
    <row r="554" spans="2:5" ht="15.75">
      <c r="B554" s="21" t="s">
        <v>551</v>
      </c>
      <c r="C554" s="21"/>
      <c r="D554" s="21"/>
      <c r="E554" s="21"/>
    </row>
    <row r="555" spans="2:5" ht="13.5" thickBot="1">
      <c r="B555" s="1"/>
      <c r="C555" s="1"/>
      <c r="D555" s="1"/>
      <c r="E555" s="22" t="s">
        <v>8</v>
      </c>
    </row>
    <row r="556" spans="1:6" ht="48.75" thickBot="1">
      <c r="A556" s="399" t="s">
        <v>311</v>
      </c>
      <c r="B556" s="610" t="s">
        <v>13</v>
      </c>
      <c r="C556" s="387" t="s">
        <v>540</v>
      </c>
      <c r="D556" s="388" t="s">
        <v>541</v>
      </c>
      <c r="E556" s="387" t="s">
        <v>536</v>
      </c>
      <c r="F556" s="388" t="s">
        <v>535</v>
      </c>
    </row>
    <row r="557" spans="1:6" ht="12.75">
      <c r="A557" s="611" t="s">
        <v>312</v>
      </c>
      <c r="B557" s="612" t="s">
        <v>313</v>
      </c>
      <c r="C557" s="621" t="s">
        <v>314</v>
      </c>
      <c r="D557" s="622" t="s">
        <v>315</v>
      </c>
      <c r="E557" s="796" t="s">
        <v>335</v>
      </c>
      <c r="F557" s="797" t="s">
        <v>360</v>
      </c>
    </row>
    <row r="558" spans="1:6" ht="12.75">
      <c r="A558" s="372" t="s">
        <v>316</v>
      </c>
      <c r="B558" s="379" t="s">
        <v>256</v>
      </c>
      <c r="C558" s="327"/>
      <c r="D558" s="151"/>
      <c r="E558" s="327"/>
      <c r="F558" s="136"/>
    </row>
    <row r="559" spans="1:6" ht="12.75">
      <c r="A559" s="371" t="s">
        <v>317</v>
      </c>
      <c r="B559" s="199" t="s">
        <v>681</v>
      </c>
      <c r="C559" s="327"/>
      <c r="D559" s="151"/>
      <c r="E559" s="327"/>
      <c r="F559" s="151">
        <f>SUM(C559:E559)</f>
        <v>0</v>
      </c>
    </row>
    <row r="560" spans="1:6" ht="12.75">
      <c r="A560" s="371" t="s">
        <v>318</v>
      </c>
      <c r="B560" s="228" t="s">
        <v>683</v>
      </c>
      <c r="C560" s="327"/>
      <c r="D560" s="151"/>
      <c r="E560" s="327"/>
      <c r="F560" s="151">
        <f>SUM(C560:E560)</f>
        <v>0</v>
      </c>
    </row>
    <row r="561" spans="1:6" ht="12.75">
      <c r="A561" s="371" t="s">
        <v>319</v>
      </c>
      <c r="B561" s="228" t="s">
        <v>682</v>
      </c>
      <c r="C561" s="327">
        <f>'4_sz_ melléklet'!D189</f>
        <v>818</v>
      </c>
      <c r="D561" s="151"/>
      <c r="E561" s="327"/>
      <c r="F561" s="151">
        <f>SUM(C561:E561)</f>
        <v>818</v>
      </c>
    </row>
    <row r="562" spans="1:6" ht="12.75">
      <c r="A562" s="371" t="s">
        <v>320</v>
      </c>
      <c r="B562" s="228" t="s">
        <v>684</v>
      </c>
      <c r="C562" s="327"/>
      <c r="D562" s="151"/>
      <c r="E562" s="327"/>
      <c r="F562" s="151">
        <f>SUM(C562:E562)</f>
        <v>0</v>
      </c>
    </row>
    <row r="563" spans="1:6" ht="12.75">
      <c r="A563" s="371" t="s">
        <v>321</v>
      </c>
      <c r="B563" s="228" t="s">
        <v>685</v>
      </c>
      <c r="C563" s="327"/>
      <c r="D563" s="151"/>
      <c r="E563" s="327"/>
      <c r="F563" s="151">
        <f>SUM(C563:E563)</f>
        <v>0</v>
      </c>
    </row>
    <row r="564" spans="1:6" ht="12.75">
      <c r="A564" s="371" t="s">
        <v>322</v>
      </c>
      <c r="B564" s="228" t="s">
        <v>686</v>
      </c>
      <c r="C564" s="327">
        <f>C565+C566+C567+C568+C569+C570+C571</f>
        <v>0</v>
      </c>
      <c r="D564" s="327">
        <f>D565+D566+D567+D568+D569+D570+D571</f>
        <v>0</v>
      </c>
      <c r="E564" s="327">
        <f>E565+E566+E567+E568+E569+E570+E571</f>
        <v>0</v>
      </c>
      <c r="F564" s="151">
        <f>F565+F566+F567+F568+F569+F570+F571</f>
        <v>0</v>
      </c>
    </row>
    <row r="565" spans="1:6" ht="12.75">
      <c r="A565" s="371" t="s">
        <v>323</v>
      </c>
      <c r="B565" s="228" t="s">
        <v>690</v>
      </c>
      <c r="C565" s="327">
        <v>0</v>
      </c>
      <c r="D565" s="151">
        <v>0</v>
      </c>
      <c r="E565" s="327">
        <v>0</v>
      </c>
      <c r="F565" s="151">
        <f>E565+D565+C565</f>
        <v>0</v>
      </c>
    </row>
    <row r="566" spans="1:6" ht="12.75">
      <c r="A566" s="371" t="s">
        <v>324</v>
      </c>
      <c r="B566" s="228" t="s">
        <v>691</v>
      </c>
      <c r="C566" s="327"/>
      <c r="D566" s="151"/>
      <c r="E566" s="327"/>
      <c r="F566" s="151">
        <f aca="true" t="shared" si="29" ref="F566:F572">E566+D566+C566</f>
        <v>0</v>
      </c>
    </row>
    <row r="567" spans="1:6" ht="12.75">
      <c r="A567" s="371" t="s">
        <v>325</v>
      </c>
      <c r="B567" s="228" t="s">
        <v>692</v>
      </c>
      <c r="C567" s="327"/>
      <c r="D567" s="151"/>
      <c r="E567" s="327"/>
      <c r="F567" s="151">
        <f t="shared" si="29"/>
        <v>0</v>
      </c>
    </row>
    <row r="568" spans="1:6" ht="12.75">
      <c r="A568" s="371" t="s">
        <v>326</v>
      </c>
      <c r="B568" s="380" t="s">
        <v>688</v>
      </c>
      <c r="C568" s="262"/>
      <c r="D568" s="155"/>
      <c r="E568" s="327"/>
      <c r="F568" s="151">
        <f t="shared" si="29"/>
        <v>0</v>
      </c>
    </row>
    <row r="569" spans="1:6" ht="12.75">
      <c r="A569" s="371" t="s">
        <v>327</v>
      </c>
      <c r="B569" s="834" t="s">
        <v>689</v>
      </c>
      <c r="C569" s="330"/>
      <c r="D569" s="152"/>
      <c r="E569" s="327"/>
      <c r="F569" s="151">
        <f t="shared" si="29"/>
        <v>0</v>
      </c>
    </row>
    <row r="570" spans="1:6" ht="12.75">
      <c r="A570" s="371" t="s">
        <v>328</v>
      </c>
      <c r="B570" s="835" t="s">
        <v>687</v>
      </c>
      <c r="C570" s="330"/>
      <c r="D570" s="152"/>
      <c r="E570" s="327"/>
      <c r="F570" s="151">
        <f t="shared" si="29"/>
        <v>0</v>
      </c>
    </row>
    <row r="571" spans="1:6" ht="12.75">
      <c r="A571" s="371" t="s">
        <v>329</v>
      </c>
      <c r="B571" s="309" t="s">
        <v>957</v>
      </c>
      <c r="C571" s="330"/>
      <c r="D571" s="152"/>
      <c r="E571" s="327"/>
      <c r="F571" s="156"/>
    </row>
    <row r="572" spans="1:6" ht="13.5" thickBot="1">
      <c r="A572" s="371" t="s">
        <v>330</v>
      </c>
      <c r="B572" s="230" t="s">
        <v>694</v>
      </c>
      <c r="C572" s="328"/>
      <c r="D572" s="156"/>
      <c r="E572" s="327"/>
      <c r="F572" s="325">
        <f t="shared" si="29"/>
        <v>0</v>
      </c>
    </row>
    <row r="573" spans="1:6" ht="13.5" thickBot="1">
      <c r="A573" s="615" t="s">
        <v>331</v>
      </c>
      <c r="B573" s="616" t="s">
        <v>6</v>
      </c>
      <c r="C573" s="624">
        <f>C559+C560+C561+C562+C564+C572</f>
        <v>818</v>
      </c>
      <c r="D573" s="624">
        <f>D559+D560+D561+D562+D564+D572</f>
        <v>0</v>
      </c>
      <c r="E573" s="624">
        <f>E559+E560+E561+E562+E564+E572</f>
        <v>0</v>
      </c>
      <c r="F573" s="625">
        <f>F559+F560+F561+F562+F564+F572</f>
        <v>818</v>
      </c>
    </row>
    <row r="574" spans="1:6" ht="9.75" customHeight="1" thickTop="1">
      <c r="A574" s="604"/>
      <c r="B574" s="379"/>
      <c r="C574" s="261"/>
      <c r="D574" s="261"/>
      <c r="E574" s="261"/>
      <c r="F574" s="159"/>
    </row>
    <row r="575" spans="1:6" ht="12.75">
      <c r="A575" s="372" t="s">
        <v>332</v>
      </c>
      <c r="B575" s="381" t="s">
        <v>257</v>
      </c>
      <c r="C575" s="329"/>
      <c r="D575" s="154"/>
      <c r="E575" s="329"/>
      <c r="F575" s="206"/>
    </row>
    <row r="576" spans="1:6" ht="12.75">
      <c r="A576" s="372" t="s">
        <v>333</v>
      </c>
      <c r="B576" s="228" t="s">
        <v>695</v>
      </c>
      <c r="C576" s="327">
        <f>'33_sz_ melléklet'!C165</f>
        <v>18765</v>
      </c>
      <c r="D576" s="151"/>
      <c r="E576" s="327"/>
      <c r="F576" s="151">
        <f>SUM(C576:E576)</f>
        <v>18765</v>
      </c>
    </row>
    <row r="577" spans="1:6" ht="12.75">
      <c r="A577" s="372" t="s">
        <v>334</v>
      </c>
      <c r="B577" s="228" t="s">
        <v>696</v>
      </c>
      <c r="C577" s="327"/>
      <c r="D577" s="151"/>
      <c r="E577" s="327"/>
      <c r="F577" s="151">
        <f>SUM(C577:E577)</f>
        <v>0</v>
      </c>
    </row>
    <row r="578" spans="1:6" ht="12.75">
      <c r="A578" s="372" t="s">
        <v>336</v>
      </c>
      <c r="B578" s="228" t="s">
        <v>697</v>
      </c>
      <c r="C578" s="327">
        <f>C579+C580+C581+C582+C583+C584+C585</f>
        <v>19552</v>
      </c>
      <c r="D578" s="262">
        <f>D579+D580+D581+D582+D583+D584+D585</f>
        <v>0</v>
      </c>
      <c r="E578" s="262">
        <f>E579+E580+E581+E582+E583+E584+E585</f>
        <v>0</v>
      </c>
      <c r="F578" s="151">
        <f>SUM(C578:E578)</f>
        <v>19552</v>
      </c>
    </row>
    <row r="579" spans="1:6" ht="12.75">
      <c r="A579" s="372" t="s">
        <v>337</v>
      </c>
      <c r="B579" s="380" t="s">
        <v>698</v>
      </c>
      <c r="C579" s="327"/>
      <c r="D579" s="151"/>
      <c r="E579" s="327"/>
      <c r="F579" s="151">
        <f>SUM(C579:E579)</f>
        <v>0</v>
      </c>
    </row>
    <row r="580" spans="1:6" ht="12.75">
      <c r="A580" s="372" t="s">
        <v>338</v>
      </c>
      <c r="B580" s="380" t="s">
        <v>699</v>
      </c>
      <c r="C580" s="327"/>
      <c r="D580" s="151"/>
      <c r="E580" s="327"/>
      <c r="F580" s="151">
        <f aca="true" t="shared" si="30" ref="F580:F585">SUM(C580:E580)</f>
        <v>0</v>
      </c>
    </row>
    <row r="581" spans="1:6" ht="12.75">
      <c r="A581" s="372" t="s">
        <v>339</v>
      </c>
      <c r="B581" s="380" t="s">
        <v>700</v>
      </c>
      <c r="C581" s="327"/>
      <c r="D581" s="151"/>
      <c r="E581" s="327"/>
      <c r="F581" s="151">
        <f t="shared" si="30"/>
        <v>0</v>
      </c>
    </row>
    <row r="582" spans="1:6" ht="12.75">
      <c r="A582" s="372" t="s">
        <v>340</v>
      </c>
      <c r="B582" s="380" t="s">
        <v>701</v>
      </c>
      <c r="C582" s="327">
        <v>19552</v>
      </c>
      <c r="D582" s="151"/>
      <c r="E582" s="327"/>
      <c r="F582" s="151">
        <f t="shared" si="30"/>
        <v>19552</v>
      </c>
    </row>
    <row r="583" spans="1:6" ht="12.75">
      <c r="A583" s="372" t="s">
        <v>341</v>
      </c>
      <c r="B583" s="834" t="s">
        <v>702</v>
      </c>
      <c r="C583" s="327"/>
      <c r="D583" s="151"/>
      <c r="E583" s="327"/>
      <c r="F583" s="151">
        <f t="shared" si="30"/>
        <v>0</v>
      </c>
    </row>
    <row r="584" spans="1:6" ht="12.75">
      <c r="A584" s="372" t="s">
        <v>342</v>
      </c>
      <c r="B584" s="309" t="s">
        <v>703</v>
      </c>
      <c r="C584" s="327"/>
      <c r="D584" s="151"/>
      <c r="E584" s="327"/>
      <c r="F584" s="151">
        <f t="shared" si="30"/>
        <v>0</v>
      </c>
    </row>
    <row r="585" spans="1:6" ht="12.75">
      <c r="A585" s="372" t="s">
        <v>343</v>
      </c>
      <c r="B585" s="1091" t="s">
        <v>704</v>
      </c>
      <c r="C585" s="327"/>
      <c r="D585" s="151"/>
      <c r="E585" s="327"/>
      <c r="F585" s="151">
        <f t="shared" si="30"/>
        <v>0</v>
      </c>
    </row>
    <row r="586" spans="1:6" ht="12.75">
      <c r="A586" s="372" t="s">
        <v>344</v>
      </c>
      <c r="B586" s="228"/>
      <c r="C586" s="327"/>
      <c r="D586" s="151"/>
      <c r="E586" s="327"/>
      <c r="F586" s="151"/>
    </row>
    <row r="587" spans="1:6" ht="13.5" thickBot="1">
      <c r="A587" s="372" t="s">
        <v>345</v>
      </c>
      <c r="B587" s="230"/>
      <c r="C587" s="328"/>
      <c r="D587" s="328"/>
      <c r="E587" s="328"/>
      <c r="F587" s="156"/>
    </row>
    <row r="588" spans="1:6" ht="13.5" thickBot="1">
      <c r="A588" s="615" t="s">
        <v>346</v>
      </c>
      <c r="B588" s="616" t="s">
        <v>7</v>
      </c>
      <c r="C588" s="624">
        <f>C576+C577+C578+C586+C587</f>
        <v>38317</v>
      </c>
      <c r="D588" s="624">
        <f>D576+D577+D578+D586+D587</f>
        <v>0</v>
      </c>
      <c r="E588" s="624">
        <f>E576+E577+E578+E586+E587</f>
        <v>0</v>
      </c>
      <c r="F588" s="625">
        <f>F576+F577+F578+F586+F587</f>
        <v>38317</v>
      </c>
    </row>
    <row r="589" spans="1:6" ht="27" thickBot="1" thickTop="1">
      <c r="A589" s="615" t="s">
        <v>347</v>
      </c>
      <c r="B589" s="620" t="s">
        <v>503</v>
      </c>
      <c r="C589" s="627">
        <f>C573+C588</f>
        <v>39135</v>
      </c>
      <c r="D589" s="627">
        <f>D573+D588</f>
        <v>0</v>
      </c>
      <c r="E589" s="627">
        <f>E573+E588</f>
        <v>0</v>
      </c>
      <c r="F589" s="628">
        <f>F573+F588</f>
        <v>39135</v>
      </c>
    </row>
    <row r="590" spans="1:6" ht="7.5" customHeight="1" thickTop="1">
      <c r="A590" s="604"/>
      <c r="B590" s="848"/>
      <c r="C590" s="267"/>
      <c r="D590" s="267"/>
      <c r="E590" s="267"/>
      <c r="F590" s="272"/>
    </row>
    <row r="591" spans="1:6" ht="12.75">
      <c r="A591" s="372" t="s">
        <v>348</v>
      </c>
      <c r="B591" s="485" t="s">
        <v>504</v>
      </c>
      <c r="C591" s="626"/>
      <c r="D591" s="154"/>
      <c r="E591" s="329"/>
      <c r="F591" s="206"/>
    </row>
    <row r="592" spans="1:6" ht="12.75">
      <c r="A592" s="371" t="s">
        <v>349</v>
      </c>
      <c r="B592" s="229" t="s">
        <v>726</v>
      </c>
      <c r="C592" s="332"/>
      <c r="D592" s="151"/>
      <c r="E592" s="327"/>
      <c r="F592" s="151">
        <f>SUM(C592:E592)</f>
        <v>0</v>
      </c>
    </row>
    <row r="593" spans="1:6" ht="12.75">
      <c r="A593" s="371" t="s">
        <v>350</v>
      </c>
      <c r="B593" s="697" t="s">
        <v>724</v>
      </c>
      <c r="C593" s="841"/>
      <c r="D593" s="156"/>
      <c r="E593" s="328"/>
      <c r="F593" s="151">
        <f aca="true" t="shared" si="31" ref="F593:F599">SUM(C593:E593)</f>
        <v>0</v>
      </c>
    </row>
    <row r="594" spans="1:6" ht="12.75">
      <c r="A594" s="371" t="s">
        <v>351</v>
      </c>
      <c r="B594" s="697" t="s">
        <v>723</v>
      </c>
      <c r="C594" s="841"/>
      <c r="D594" s="156"/>
      <c r="E594" s="328"/>
      <c r="F594" s="151">
        <f t="shared" si="31"/>
        <v>0</v>
      </c>
    </row>
    <row r="595" spans="1:6" ht="12.75">
      <c r="A595" s="371" t="s">
        <v>352</v>
      </c>
      <c r="B595" s="697" t="s">
        <v>725</v>
      </c>
      <c r="C595" s="841"/>
      <c r="D595" s="156"/>
      <c r="E595" s="328"/>
      <c r="F595" s="151">
        <f t="shared" si="31"/>
        <v>0</v>
      </c>
    </row>
    <row r="596" spans="1:6" ht="12.75">
      <c r="A596" s="371" t="s">
        <v>353</v>
      </c>
      <c r="B596" s="836" t="s">
        <v>727</v>
      </c>
      <c r="C596" s="841"/>
      <c r="D596" s="156"/>
      <c r="E596" s="328"/>
      <c r="F596" s="151">
        <f t="shared" si="31"/>
        <v>0</v>
      </c>
    </row>
    <row r="597" spans="1:6" ht="12.75">
      <c r="A597" s="371" t="s">
        <v>354</v>
      </c>
      <c r="B597" s="837" t="s">
        <v>730</v>
      </c>
      <c r="C597" s="841"/>
      <c r="D597" s="156"/>
      <c r="E597" s="328"/>
      <c r="F597" s="151">
        <f t="shared" si="31"/>
        <v>0</v>
      </c>
    </row>
    <row r="598" spans="1:6" ht="12.75">
      <c r="A598" s="371" t="s">
        <v>355</v>
      </c>
      <c r="B598" s="838" t="s">
        <v>729</v>
      </c>
      <c r="C598" s="841"/>
      <c r="D598" s="156"/>
      <c r="E598" s="328"/>
      <c r="F598" s="151">
        <f t="shared" si="31"/>
        <v>0</v>
      </c>
    </row>
    <row r="599" spans="1:6" ht="13.5" thickBot="1">
      <c r="A599" s="371" t="s">
        <v>356</v>
      </c>
      <c r="B599" s="382" t="s">
        <v>728</v>
      </c>
      <c r="C599" s="841"/>
      <c r="D599" s="156"/>
      <c r="E599" s="328"/>
      <c r="F599" s="151">
        <f t="shared" si="31"/>
        <v>0</v>
      </c>
    </row>
    <row r="600" spans="1:6" ht="13.5" thickBot="1">
      <c r="A600" s="395" t="s">
        <v>357</v>
      </c>
      <c r="B600" s="315" t="s">
        <v>505</v>
      </c>
      <c r="C600" s="842">
        <f>SUM(C592:C599)</f>
        <v>0</v>
      </c>
      <c r="D600" s="842">
        <f>SUM(D592:D599)</f>
        <v>0</v>
      </c>
      <c r="E600" s="842">
        <f>SUM(E592:E599)</f>
        <v>0</v>
      </c>
      <c r="F600" s="948">
        <f>SUM(F592:F599)</f>
        <v>0</v>
      </c>
    </row>
    <row r="601" spans="1:6" ht="12.75">
      <c r="A601" s="604"/>
      <c r="B601" s="44"/>
      <c r="C601" s="854"/>
      <c r="D601" s="856"/>
      <c r="E601" s="816"/>
      <c r="F601" s="693"/>
    </row>
    <row r="602" spans="1:6" ht="13.5" thickBot="1">
      <c r="A602" s="456" t="s">
        <v>358</v>
      </c>
      <c r="B602" s="1379" t="s">
        <v>506</v>
      </c>
      <c r="C602" s="994">
        <f>C589+C600</f>
        <v>39135</v>
      </c>
      <c r="D602" s="995">
        <f>D589+D600</f>
        <v>0</v>
      </c>
      <c r="E602" s="994">
        <f>E589+E600</f>
        <v>0</v>
      </c>
      <c r="F602" s="994">
        <f>F589+F600</f>
        <v>39135</v>
      </c>
    </row>
    <row r="603" spans="1:6" ht="12.75">
      <c r="A603" s="393"/>
      <c r="B603" s="827"/>
      <c r="C603" s="695"/>
      <c r="D603" s="695"/>
      <c r="E603" s="695"/>
      <c r="F603" s="695"/>
    </row>
    <row r="604" spans="1:6" ht="12.75">
      <c r="A604" s="1675">
        <v>12</v>
      </c>
      <c r="B604" s="1675"/>
      <c r="C604" s="1675"/>
      <c r="D604" s="1675"/>
      <c r="E604" s="1675"/>
      <c r="F604" s="1675"/>
    </row>
    <row r="605" spans="1:5" ht="12.75">
      <c r="A605" s="1654" t="s">
        <v>1456</v>
      </c>
      <c r="B605" s="1654"/>
      <c r="C605" s="1654"/>
      <c r="D605" s="1654"/>
      <c r="E605" s="1654"/>
    </row>
    <row r="606" spans="1:5" ht="12.75">
      <c r="A606" s="384"/>
      <c r="B606" s="384"/>
      <c r="C606" s="384"/>
      <c r="D606" s="384"/>
      <c r="E606" s="384"/>
    </row>
    <row r="607" spans="1:6" ht="14.25">
      <c r="A607" s="1809" t="s">
        <v>1098</v>
      </c>
      <c r="B607" s="1810"/>
      <c r="C607" s="1810"/>
      <c r="D607" s="1810"/>
      <c r="E607" s="1810"/>
      <c r="F607" s="1810"/>
    </row>
    <row r="608" spans="2:5" ht="8.25" customHeight="1">
      <c r="B608" s="21"/>
      <c r="C608" s="21"/>
      <c r="D608" s="21"/>
      <c r="E608" s="21"/>
    </row>
    <row r="609" spans="2:5" ht="15.75">
      <c r="B609" s="21" t="s">
        <v>497</v>
      </c>
      <c r="C609" s="21"/>
      <c r="D609" s="21"/>
      <c r="E609" s="21"/>
    </row>
    <row r="610" spans="2:5" ht="13.5" thickBot="1">
      <c r="B610" s="1"/>
      <c r="C610" s="1"/>
      <c r="D610" s="1"/>
      <c r="E610" s="22" t="s">
        <v>8</v>
      </c>
    </row>
    <row r="611" spans="1:6" ht="48.75" thickBot="1">
      <c r="A611" s="399" t="s">
        <v>311</v>
      </c>
      <c r="B611" s="610" t="s">
        <v>13</v>
      </c>
      <c r="C611" s="387" t="s">
        <v>540</v>
      </c>
      <c r="D611" s="388" t="s">
        <v>541</v>
      </c>
      <c r="E611" s="387" t="s">
        <v>536</v>
      </c>
      <c r="F611" s="388" t="s">
        <v>535</v>
      </c>
    </row>
    <row r="612" spans="1:6" ht="12.75">
      <c r="A612" s="611" t="s">
        <v>312</v>
      </c>
      <c r="B612" s="612" t="s">
        <v>313</v>
      </c>
      <c r="C612" s="621" t="s">
        <v>314</v>
      </c>
      <c r="D612" s="622" t="s">
        <v>315</v>
      </c>
      <c r="E612" s="796" t="s">
        <v>335</v>
      </c>
      <c r="F612" s="797" t="s">
        <v>360</v>
      </c>
    </row>
    <row r="613" spans="1:6" ht="12.75">
      <c r="A613" s="372" t="s">
        <v>316</v>
      </c>
      <c r="B613" s="379" t="s">
        <v>256</v>
      </c>
      <c r="C613" s="327"/>
      <c r="D613" s="151"/>
      <c r="E613" s="327"/>
      <c r="F613" s="136"/>
    </row>
    <row r="614" spans="1:6" ht="12.75">
      <c r="A614" s="371" t="s">
        <v>317</v>
      </c>
      <c r="B614" s="199" t="s">
        <v>681</v>
      </c>
      <c r="C614" s="327"/>
      <c r="D614" s="151"/>
      <c r="E614" s="327"/>
      <c r="F614" s="151">
        <f>SUM(C614:E614)</f>
        <v>0</v>
      </c>
    </row>
    <row r="615" spans="1:6" ht="12.75">
      <c r="A615" s="371" t="s">
        <v>318</v>
      </c>
      <c r="B615" s="228" t="s">
        <v>683</v>
      </c>
      <c r="C615" s="327"/>
      <c r="D615" s="151"/>
      <c r="E615" s="327"/>
      <c r="F615" s="151">
        <f>SUM(C615:E615)</f>
        <v>0</v>
      </c>
    </row>
    <row r="616" spans="1:6" ht="12.75">
      <c r="A616" s="371" t="s">
        <v>319</v>
      </c>
      <c r="B616" s="228" t="s">
        <v>682</v>
      </c>
      <c r="C616" s="327">
        <f>'4_sz_ melléklet'!E189</f>
        <v>35817</v>
      </c>
      <c r="D616" s="151"/>
      <c r="E616" s="327"/>
      <c r="F616" s="151">
        <f>SUM(C616:E616)</f>
        <v>35817</v>
      </c>
    </row>
    <row r="617" spans="1:6" ht="12.75">
      <c r="A617" s="371" t="s">
        <v>320</v>
      </c>
      <c r="B617" s="228" t="s">
        <v>684</v>
      </c>
      <c r="C617" s="327"/>
      <c r="D617" s="151"/>
      <c r="E617" s="327"/>
      <c r="F617" s="151">
        <f>SUM(C617:E617)</f>
        <v>0</v>
      </c>
    </row>
    <row r="618" spans="1:6" ht="12.75">
      <c r="A618" s="371" t="s">
        <v>321</v>
      </c>
      <c r="B618" s="228" t="s">
        <v>685</v>
      </c>
      <c r="C618" s="327"/>
      <c r="D618" s="151"/>
      <c r="E618" s="327"/>
      <c r="F618" s="151">
        <f>SUM(C618:E618)</f>
        <v>0</v>
      </c>
    </row>
    <row r="619" spans="1:6" ht="12.75">
      <c r="A619" s="371" t="s">
        <v>322</v>
      </c>
      <c r="B619" s="228" t="s">
        <v>686</v>
      </c>
      <c r="C619" s="327">
        <f>C620+C621+C622+C623+C624+C625+C626</f>
        <v>0</v>
      </c>
      <c r="D619" s="327">
        <f>D620+D621+D622+D623+D624+D625+D626</f>
        <v>0</v>
      </c>
      <c r="E619" s="327">
        <f>E620+E621+E622+E623+E624+E625+E626</f>
        <v>0</v>
      </c>
      <c r="F619" s="151">
        <f>F620+F621+F622+F623+F624+F625+F626</f>
        <v>0</v>
      </c>
    </row>
    <row r="620" spans="1:6" ht="12.75">
      <c r="A620" s="371" t="s">
        <v>323</v>
      </c>
      <c r="B620" s="228" t="s">
        <v>690</v>
      </c>
      <c r="C620" s="327">
        <v>0</v>
      </c>
      <c r="D620" s="151">
        <v>0</v>
      </c>
      <c r="E620" s="327">
        <v>0</v>
      </c>
      <c r="F620" s="151">
        <f>E620+D620+C620</f>
        <v>0</v>
      </c>
    </row>
    <row r="621" spans="1:6" ht="12.75">
      <c r="A621" s="371" t="s">
        <v>324</v>
      </c>
      <c r="B621" s="228" t="s">
        <v>691</v>
      </c>
      <c r="C621" s="327"/>
      <c r="D621" s="151"/>
      <c r="E621" s="327"/>
      <c r="F621" s="151">
        <f aca="true" t="shared" si="32" ref="F621:F627">E621+D621+C621</f>
        <v>0</v>
      </c>
    </row>
    <row r="622" spans="1:6" ht="12.75">
      <c r="A622" s="371" t="s">
        <v>325</v>
      </c>
      <c r="B622" s="228" t="s">
        <v>692</v>
      </c>
      <c r="C622" s="327"/>
      <c r="D622" s="151"/>
      <c r="E622" s="327"/>
      <c r="F622" s="151">
        <f t="shared" si="32"/>
        <v>0</v>
      </c>
    </row>
    <row r="623" spans="1:6" ht="12.75">
      <c r="A623" s="371" t="s">
        <v>326</v>
      </c>
      <c r="B623" s="380" t="s">
        <v>688</v>
      </c>
      <c r="C623" s="262"/>
      <c r="D623" s="155"/>
      <c r="E623" s="327"/>
      <c r="F623" s="151">
        <f t="shared" si="32"/>
        <v>0</v>
      </c>
    </row>
    <row r="624" spans="1:6" ht="12.75">
      <c r="A624" s="371" t="s">
        <v>327</v>
      </c>
      <c r="B624" s="834" t="s">
        <v>689</v>
      </c>
      <c r="C624" s="330"/>
      <c r="D624" s="152"/>
      <c r="E624" s="327"/>
      <c r="F624" s="151">
        <f t="shared" si="32"/>
        <v>0</v>
      </c>
    </row>
    <row r="625" spans="1:6" ht="12.75">
      <c r="A625" s="371" t="s">
        <v>328</v>
      </c>
      <c r="B625" s="835" t="s">
        <v>687</v>
      </c>
      <c r="C625" s="330"/>
      <c r="D625" s="152"/>
      <c r="E625" s="327"/>
      <c r="F625" s="151">
        <f t="shared" si="32"/>
        <v>0</v>
      </c>
    </row>
    <row r="626" spans="1:6" ht="12.75">
      <c r="A626" s="371" t="s">
        <v>329</v>
      </c>
      <c r="B626" s="309" t="s">
        <v>957</v>
      </c>
      <c r="C626" s="330"/>
      <c r="D626" s="152"/>
      <c r="E626" s="327"/>
      <c r="F626" s="156"/>
    </row>
    <row r="627" spans="1:6" ht="13.5" thickBot="1">
      <c r="A627" s="371" t="s">
        <v>330</v>
      </c>
      <c r="B627" s="230" t="s">
        <v>694</v>
      </c>
      <c r="C627" s="328"/>
      <c r="D627" s="156"/>
      <c r="E627" s="327"/>
      <c r="F627" s="325">
        <f t="shared" si="32"/>
        <v>0</v>
      </c>
    </row>
    <row r="628" spans="1:6" ht="13.5" thickBot="1">
      <c r="A628" s="615" t="s">
        <v>331</v>
      </c>
      <c r="B628" s="616" t="s">
        <v>6</v>
      </c>
      <c r="C628" s="624">
        <f>C614+C615+C616+C617+C619+C627</f>
        <v>35817</v>
      </c>
      <c r="D628" s="624">
        <f>D614+D615+D616+D617+D619+D627</f>
        <v>0</v>
      </c>
      <c r="E628" s="624">
        <f>E614+E615+E616+E617+E619+E627</f>
        <v>0</v>
      </c>
      <c r="F628" s="625">
        <f>F614+F615+F616+F617+F619+F627</f>
        <v>35817</v>
      </c>
    </row>
    <row r="629" spans="1:6" ht="8.25" customHeight="1" thickTop="1">
      <c r="A629" s="604"/>
      <c r="B629" s="379"/>
      <c r="C629" s="261"/>
      <c r="D629" s="261"/>
      <c r="E629" s="261"/>
      <c r="F629" s="159"/>
    </row>
    <row r="630" spans="1:6" ht="12.75">
      <c r="A630" s="372" t="s">
        <v>332</v>
      </c>
      <c r="B630" s="381" t="s">
        <v>257</v>
      </c>
      <c r="C630" s="329"/>
      <c r="D630" s="154"/>
      <c r="E630" s="329"/>
      <c r="F630" s="206"/>
    </row>
    <row r="631" spans="1:6" ht="12.75">
      <c r="A631" s="372" t="s">
        <v>333</v>
      </c>
      <c r="B631" s="228" t="s">
        <v>695</v>
      </c>
      <c r="C631" s="327">
        <f>'33_sz_ melléklet'!C74</f>
        <v>4517</v>
      </c>
      <c r="D631" s="151"/>
      <c r="E631" s="327"/>
      <c r="F631" s="151">
        <f>SUM(C631:E631)</f>
        <v>4517</v>
      </c>
    </row>
    <row r="632" spans="1:6" ht="12.75">
      <c r="A632" s="372" t="s">
        <v>334</v>
      </c>
      <c r="B632" s="228" t="s">
        <v>696</v>
      </c>
      <c r="C632" s="327"/>
      <c r="D632" s="151"/>
      <c r="E632" s="327"/>
      <c r="F632" s="151">
        <f>SUM(C632:E632)</f>
        <v>0</v>
      </c>
    </row>
    <row r="633" spans="1:6" ht="12.75">
      <c r="A633" s="372" t="s">
        <v>336</v>
      </c>
      <c r="B633" s="228" t="s">
        <v>697</v>
      </c>
      <c r="C633" s="327">
        <f>C634+C635+C636+C637+C638+C639+C640</f>
        <v>0</v>
      </c>
      <c r="D633" s="327">
        <f>D634+D635+D636+D637+D638+D639+D640</f>
        <v>0</v>
      </c>
      <c r="E633" s="327">
        <f>E634+E635+E636+E637+E638+E639+E640</f>
        <v>0</v>
      </c>
      <c r="F633" s="151">
        <f>F634+F635+F636+F637+F638+F639+F640</f>
        <v>0</v>
      </c>
    </row>
    <row r="634" spans="1:6" ht="12.75">
      <c r="A634" s="372" t="s">
        <v>337</v>
      </c>
      <c r="B634" s="380" t="s">
        <v>698</v>
      </c>
      <c r="C634" s="327"/>
      <c r="D634" s="151"/>
      <c r="E634" s="327"/>
      <c r="F634" s="151">
        <f>SUM(C634:E634)</f>
        <v>0</v>
      </c>
    </row>
    <row r="635" spans="1:6" ht="12.75">
      <c r="A635" s="372" t="s">
        <v>338</v>
      </c>
      <c r="B635" s="380" t="s">
        <v>699</v>
      </c>
      <c r="C635" s="327"/>
      <c r="D635" s="151"/>
      <c r="E635" s="327"/>
      <c r="F635" s="151">
        <f aca="true" t="shared" si="33" ref="F635:F640">SUM(C635:E635)</f>
        <v>0</v>
      </c>
    </row>
    <row r="636" spans="1:6" ht="12.75">
      <c r="A636" s="372" t="s">
        <v>339</v>
      </c>
      <c r="B636" s="380" t="s">
        <v>700</v>
      </c>
      <c r="C636" s="327"/>
      <c r="D636" s="151"/>
      <c r="E636" s="327"/>
      <c r="F636" s="151">
        <f t="shared" si="33"/>
        <v>0</v>
      </c>
    </row>
    <row r="637" spans="1:6" ht="12.75">
      <c r="A637" s="372" t="s">
        <v>340</v>
      </c>
      <c r="B637" s="380" t="s">
        <v>701</v>
      </c>
      <c r="C637" s="327"/>
      <c r="D637" s="151"/>
      <c r="E637" s="327"/>
      <c r="F637" s="151">
        <f t="shared" si="33"/>
        <v>0</v>
      </c>
    </row>
    <row r="638" spans="1:6" ht="12.75">
      <c r="A638" s="372" t="s">
        <v>341</v>
      </c>
      <c r="B638" s="834" t="s">
        <v>702</v>
      </c>
      <c r="C638" s="327"/>
      <c r="D638" s="151"/>
      <c r="E638" s="327"/>
      <c r="F638" s="151">
        <f t="shared" si="33"/>
        <v>0</v>
      </c>
    </row>
    <row r="639" spans="1:6" ht="12.75">
      <c r="A639" s="372" t="s">
        <v>342</v>
      </c>
      <c r="B639" s="309" t="s">
        <v>703</v>
      </c>
      <c r="C639" s="327"/>
      <c r="D639" s="151"/>
      <c r="E639" s="327"/>
      <c r="F639" s="151">
        <f t="shared" si="33"/>
        <v>0</v>
      </c>
    </row>
    <row r="640" spans="1:6" ht="12.75">
      <c r="A640" s="372" t="s">
        <v>343</v>
      </c>
      <c r="B640" s="1091" t="s">
        <v>704</v>
      </c>
      <c r="C640" s="327"/>
      <c r="D640" s="151"/>
      <c r="E640" s="327"/>
      <c r="F640" s="151">
        <f t="shared" si="33"/>
        <v>0</v>
      </c>
    </row>
    <row r="641" spans="1:6" ht="12.75">
      <c r="A641" s="372" t="s">
        <v>344</v>
      </c>
      <c r="B641" s="228"/>
      <c r="C641" s="327"/>
      <c r="D641" s="151"/>
      <c r="E641" s="327"/>
      <c r="F641" s="151"/>
    </row>
    <row r="642" spans="1:6" ht="13.5" thickBot="1">
      <c r="A642" s="372" t="s">
        <v>345</v>
      </c>
      <c r="B642" s="230"/>
      <c r="C642" s="330"/>
      <c r="D642" s="330"/>
      <c r="E642" s="330"/>
      <c r="F642" s="152"/>
    </row>
    <row r="643" spans="1:6" ht="13.5" thickBot="1">
      <c r="A643" s="615" t="s">
        <v>346</v>
      </c>
      <c r="B643" s="616" t="s">
        <v>7</v>
      </c>
      <c r="C643" s="624">
        <f>C631+C632+C633+C641+C642</f>
        <v>4517</v>
      </c>
      <c r="D643" s="624">
        <f>D631+D632+D633+D641+D642</f>
        <v>0</v>
      </c>
      <c r="E643" s="624">
        <f>E631+E632+E633+E641+E642</f>
        <v>0</v>
      </c>
      <c r="F643" s="625">
        <f>F631+F632+F633+F641+F642</f>
        <v>4517</v>
      </c>
    </row>
    <row r="644" spans="1:6" ht="27" thickBot="1" thickTop="1">
      <c r="A644" s="615" t="s">
        <v>347</v>
      </c>
      <c r="B644" s="620" t="s">
        <v>503</v>
      </c>
      <c r="C644" s="627">
        <f>C628+C643</f>
        <v>40334</v>
      </c>
      <c r="D644" s="627">
        <f>D628+D643</f>
        <v>0</v>
      </c>
      <c r="E644" s="627">
        <f>E628+E643</f>
        <v>0</v>
      </c>
      <c r="F644" s="628">
        <f>F628+F643</f>
        <v>40334</v>
      </c>
    </row>
    <row r="645" spans="1:6" ht="9" customHeight="1" thickTop="1">
      <c r="A645" s="604"/>
      <c r="B645" s="848"/>
      <c r="C645" s="267"/>
      <c r="D645" s="267"/>
      <c r="E645" s="267"/>
      <c r="F645" s="272"/>
    </row>
    <row r="646" spans="1:6" ht="12.75">
      <c r="A646" s="372" t="s">
        <v>348</v>
      </c>
      <c r="B646" s="485" t="s">
        <v>504</v>
      </c>
      <c r="C646" s="626"/>
      <c r="D646" s="154"/>
      <c r="E646" s="329"/>
      <c r="F646" s="206"/>
    </row>
    <row r="647" spans="1:6" ht="12.75">
      <c r="A647" s="371" t="s">
        <v>349</v>
      </c>
      <c r="B647" s="229" t="s">
        <v>726</v>
      </c>
      <c r="C647" s="332"/>
      <c r="D647" s="151"/>
      <c r="E647" s="327"/>
      <c r="F647" s="151">
        <f>SUM(C647:E647)</f>
        <v>0</v>
      </c>
    </row>
    <row r="648" spans="1:6" ht="12.75">
      <c r="A648" s="371" t="s">
        <v>350</v>
      </c>
      <c r="B648" s="697" t="s">
        <v>724</v>
      </c>
      <c r="C648" s="841"/>
      <c r="D648" s="156"/>
      <c r="E648" s="328"/>
      <c r="F648" s="151">
        <f aca="true" t="shared" si="34" ref="F648:F654">SUM(C648:E648)</f>
        <v>0</v>
      </c>
    </row>
    <row r="649" spans="1:6" ht="12.75">
      <c r="A649" s="371" t="s">
        <v>351</v>
      </c>
      <c r="B649" s="697" t="s">
        <v>723</v>
      </c>
      <c r="C649" s="841"/>
      <c r="D649" s="156"/>
      <c r="E649" s="328"/>
      <c r="F649" s="151">
        <f t="shared" si="34"/>
        <v>0</v>
      </c>
    </row>
    <row r="650" spans="1:6" ht="12.75">
      <c r="A650" s="371" t="s">
        <v>352</v>
      </c>
      <c r="B650" s="697" t="s">
        <v>725</v>
      </c>
      <c r="C650" s="841"/>
      <c r="D650" s="156"/>
      <c r="E650" s="328"/>
      <c r="F650" s="151">
        <f t="shared" si="34"/>
        <v>0</v>
      </c>
    </row>
    <row r="651" spans="1:6" ht="12.75">
      <c r="A651" s="371" t="s">
        <v>353</v>
      </c>
      <c r="B651" s="836" t="s">
        <v>727</v>
      </c>
      <c r="C651" s="841"/>
      <c r="D651" s="156"/>
      <c r="E651" s="328"/>
      <c r="F651" s="151">
        <f t="shared" si="34"/>
        <v>0</v>
      </c>
    </row>
    <row r="652" spans="1:6" ht="12.75">
      <c r="A652" s="371" t="s">
        <v>354</v>
      </c>
      <c r="B652" s="837" t="s">
        <v>730</v>
      </c>
      <c r="C652" s="841"/>
      <c r="D652" s="156"/>
      <c r="E652" s="328"/>
      <c r="F652" s="151">
        <f t="shared" si="34"/>
        <v>0</v>
      </c>
    </row>
    <row r="653" spans="1:6" ht="12.75">
      <c r="A653" s="371" t="s">
        <v>355</v>
      </c>
      <c r="B653" s="838" t="s">
        <v>729</v>
      </c>
      <c r="C653" s="841"/>
      <c r="D653" s="156"/>
      <c r="E653" s="328"/>
      <c r="F653" s="151">
        <f t="shared" si="34"/>
        <v>0</v>
      </c>
    </row>
    <row r="654" spans="1:6" ht="13.5" thickBot="1">
      <c r="A654" s="371" t="s">
        <v>356</v>
      </c>
      <c r="B654" s="382" t="s">
        <v>728</v>
      </c>
      <c r="C654" s="841"/>
      <c r="D654" s="156"/>
      <c r="E654" s="328"/>
      <c r="F654" s="151">
        <f t="shared" si="34"/>
        <v>0</v>
      </c>
    </row>
    <row r="655" spans="1:6" ht="13.5" thickBot="1">
      <c r="A655" s="395" t="s">
        <v>357</v>
      </c>
      <c r="B655" s="315" t="s">
        <v>505</v>
      </c>
      <c r="C655" s="842">
        <f>SUM(C647:C654)</f>
        <v>0</v>
      </c>
      <c r="D655" s="842">
        <f>SUM(D647:D654)</f>
        <v>0</v>
      </c>
      <c r="E655" s="842">
        <f>SUM(E647:E654)</f>
        <v>0</v>
      </c>
      <c r="F655" s="948">
        <f>SUM(F647:F654)</f>
        <v>0</v>
      </c>
    </row>
    <row r="656" spans="1:6" ht="12.75">
      <c r="A656" s="604"/>
      <c r="B656" s="44"/>
      <c r="C656" s="854"/>
      <c r="D656" s="856"/>
      <c r="E656" s="816"/>
      <c r="F656" s="693"/>
    </row>
    <row r="657" spans="1:6" ht="13.5" thickBot="1">
      <c r="A657" s="456" t="s">
        <v>358</v>
      </c>
      <c r="B657" s="1379" t="s">
        <v>506</v>
      </c>
      <c r="C657" s="994">
        <f>C644+C655</f>
        <v>40334</v>
      </c>
      <c r="D657" s="995">
        <f>D644+D655</f>
        <v>0</v>
      </c>
      <c r="E657" s="994">
        <f>E644+E655</f>
        <v>0</v>
      </c>
      <c r="F657" s="994">
        <f>F644+F655</f>
        <v>40334</v>
      </c>
    </row>
    <row r="658" spans="1:6" ht="12.75">
      <c r="A658" s="393"/>
      <c r="B658" s="827"/>
      <c r="C658" s="695"/>
      <c r="D658" s="695"/>
      <c r="E658" s="695"/>
      <c r="F658" s="695"/>
    </row>
    <row r="659" spans="1:6" ht="12.75">
      <c r="A659" s="1675">
        <v>13</v>
      </c>
      <c r="B659" s="1675"/>
      <c r="C659" s="1675"/>
      <c r="D659" s="1675"/>
      <c r="E659" s="1675"/>
      <c r="F659" s="1675"/>
    </row>
    <row r="660" spans="1:5" ht="12.75">
      <c r="A660" s="1654" t="s">
        <v>1456</v>
      </c>
      <c r="B660" s="1654"/>
      <c r="C660" s="1654"/>
      <c r="D660" s="1654"/>
      <c r="E660" s="1654"/>
    </row>
    <row r="661" spans="1:5" ht="12.75">
      <c r="A661" s="384"/>
      <c r="B661" s="384"/>
      <c r="C661" s="384"/>
      <c r="D661" s="384"/>
      <c r="E661" s="384"/>
    </row>
    <row r="662" spans="1:6" ht="14.25">
      <c r="A662" s="1809" t="s">
        <v>1098</v>
      </c>
      <c r="B662" s="1810"/>
      <c r="C662" s="1810"/>
      <c r="D662" s="1810"/>
      <c r="E662" s="1810"/>
      <c r="F662" s="1810"/>
    </row>
    <row r="663" spans="2:5" ht="12" customHeight="1">
      <c r="B663" s="21"/>
      <c r="C663" s="21"/>
      <c r="D663" s="21"/>
      <c r="E663" s="21"/>
    </row>
    <row r="664" spans="2:5" ht="15.75">
      <c r="B664" s="21" t="s">
        <v>944</v>
      </c>
      <c r="C664" s="21"/>
      <c r="D664" s="21"/>
      <c r="E664" s="21"/>
    </row>
    <row r="665" spans="2:5" ht="13.5" thickBot="1">
      <c r="B665" s="1"/>
      <c r="C665" s="1"/>
      <c r="D665" s="1"/>
      <c r="E665" s="22" t="s">
        <v>8</v>
      </c>
    </row>
    <row r="666" spans="1:6" ht="48.75" thickBot="1">
      <c r="A666" s="399" t="s">
        <v>311</v>
      </c>
      <c r="B666" s="610" t="s">
        <v>13</v>
      </c>
      <c r="C666" s="387" t="s">
        <v>540</v>
      </c>
      <c r="D666" s="388" t="s">
        <v>541</v>
      </c>
      <c r="E666" s="387" t="s">
        <v>536</v>
      </c>
      <c r="F666" s="388" t="s">
        <v>535</v>
      </c>
    </row>
    <row r="667" spans="1:6" ht="12.75">
      <c r="A667" s="611" t="s">
        <v>312</v>
      </c>
      <c r="B667" s="612" t="s">
        <v>313</v>
      </c>
      <c r="C667" s="621" t="s">
        <v>314</v>
      </c>
      <c r="D667" s="622" t="s">
        <v>315</v>
      </c>
      <c r="E667" s="796" t="s">
        <v>335</v>
      </c>
      <c r="F667" s="797" t="s">
        <v>360</v>
      </c>
    </row>
    <row r="668" spans="1:6" ht="12.75">
      <c r="A668" s="372" t="s">
        <v>316</v>
      </c>
      <c r="B668" s="379" t="s">
        <v>256</v>
      </c>
      <c r="C668" s="327"/>
      <c r="D668" s="151"/>
      <c r="E668" s="327"/>
      <c r="F668" s="136"/>
    </row>
    <row r="669" spans="1:6" ht="12.75">
      <c r="A669" s="371" t="s">
        <v>317</v>
      </c>
      <c r="B669" s="199" t="s">
        <v>681</v>
      </c>
      <c r="C669" s="327"/>
      <c r="D669" s="151"/>
      <c r="E669" s="327"/>
      <c r="F669" s="151">
        <f>SUM(C669:E669)</f>
        <v>0</v>
      </c>
    </row>
    <row r="670" spans="1:6" ht="12.75">
      <c r="A670" s="371" t="s">
        <v>318</v>
      </c>
      <c r="B670" s="228" t="s">
        <v>683</v>
      </c>
      <c r="C670" s="327"/>
      <c r="D670" s="151"/>
      <c r="E670" s="327"/>
      <c r="F670" s="151">
        <f>SUM(C670:E670)</f>
        <v>0</v>
      </c>
    </row>
    <row r="671" spans="1:6" ht="12.75">
      <c r="A671" s="371" t="s">
        <v>319</v>
      </c>
      <c r="B671" s="228" t="s">
        <v>682</v>
      </c>
      <c r="C671" s="327">
        <f>'4_sz_ melléklet'!C248</f>
        <v>68768.74</v>
      </c>
      <c r="D671" s="151"/>
      <c r="E671" s="327"/>
      <c r="F671" s="151">
        <f>SUM(C671:E671)</f>
        <v>68768.74</v>
      </c>
    </row>
    <row r="672" spans="1:6" ht="12.75">
      <c r="A672" s="371" t="s">
        <v>320</v>
      </c>
      <c r="B672" s="228" t="s">
        <v>684</v>
      </c>
      <c r="C672" s="327"/>
      <c r="D672" s="151"/>
      <c r="E672" s="327"/>
      <c r="F672" s="151">
        <f>SUM(C672:E672)</f>
        <v>0</v>
      </c>
    </row>
    <row r="673" spans="1:6" ht="12.75">
      <c r="A673" s="371" t="s">
        <v>321</v>
      </c>
      <c r="B673" s="228" t="s">
        <v>685</v>
      </c>
      <c r="C673" s="327"/>
      <c r="D673" s="151"/>
      <c r="E673" s="327"/>
      <c r="F673" s="151">
        <f>SUM(C673:E673)</f>
        <v>0</v>
      </c>
    </row>
    <row r="674" spans="1:6" ht="12.75">
      <c r="A674" s="371" t="s">
        <v>322</v>
      </c>
      <c r="B674" s="228" t="s">
        <v>686</v>
      </c>
      <c r="C674" s="327">
        <f>C675+C676+C677+C678+C679+C680+C681</f>
        <v>0</v>
      </c>
      <c r="D674" s="327">
        <f>D675+D676+D677+D678+D679+D680+D681</f>
        <v>0</v>
      </c>
      <c r="E674" s="327">
        <f>E675+E676+E677+E678+E679+E680+E681</f>
        <v>0</v>
      </c>
      <c r="F674" s="151">
        <f>F675+F676+F677+F678+F679+F680+F681</f>
        <v>0</v>
      </c>
    </row>
    <row r="675" spans="1:6" ht="12.75">
      <c r="A675" s="371" t="s">
        <v>323</v>
      </c>
      <c r="B675" s="228" t="s">
        <v>690</v>
      </c>
      <c r="C675" s="327">
        <v>0</v>
      </c>
      <c r="D675" s="151">
        <v>0</v>
      </c>
      <c r="E675" s="327">
        <v>0</v>
      </c>
      <c r="F675" s="151">
        <f>E675+D675+C675</f>
        <v>0</v>
      </c>
    </row>
    <row r="676" spans="1:6" ht="12.75">
      <c r="A676" s="371" t="s">
        <v>324</v>
      </c>
      <c r="B676" s="228" t="s">
        <v>691</v>
      </c>
      <c r="C676" s="327"/>
      <c r="D676" s="151"/>
      <c r="E676" s="327"/>
      <c r="F676" s="151">
        <f aca="true" t="shared" si="35" ref="F676:F682">E676+D676+C676</f>
        <v>0</v>
      </c>
    </row>
    <row r="677" spans="1:6" ht="12.75">
      <c r="A677" s="371" t="s">
        <v>325</v>
      </c>
      <c r="B677" s="228" t="s">
        <v>692</v>
      </c>
      <c r="C677" s="327"/>
      <c r="D677" s="151"/>
      <c r="E677" s="327"/>
      <c r="F677" s="151">
        <f t="shared" si="35"/>
        <v>0</v>
      </c>
    </row>
    <row r="678" spans="1:6" ht="12.75">
      <c r="A678" s="371" t="s">
        <v>326</v>
      </c>
      <c r="B678" s="380" t="s">
        <v>688</v>
      </c>
      <c r="C678" s="262"/>
      <c r="D678" s="155"/>
      <c r="E678" s="327"/>
      <c r="F678" s="151">
        <f t="shared" si="35"/>
        <v>0</v>
      </c>
    </row>
    <row r="679" spans="1:6" ht="12.75">
      <c r="A679" s="371" t="s">
        <v>327</v>
      </c>
      <c r="B679" s="834" t="s">
        <v>689</v>
      </c>
      <c r="C679" s="330"/>
      <c r="D679" s="152"/>
      <c r="E679" s="327"/>
      <c r="F679" s="151">
        <f t="shared" si="35"/>
        <v>0</v>
      </c>
    </row>
    <row r="680" spans="1:6" ht="12.75">
      <c r="A680" s="371" t="s">
        <v>328</v>
      </c>
      <c r="B680" s="835" t="s">
        <v>687</v>
      </c>
      <c r="C680" s="330"/>
      <c r="D680" s="152"/>
      <c r="E680" s="327"/>
      <c r="F680" s="151">
        <f t="shared" si="35"/>
        <v>0</v>
      </c>
    </row>
    <row r="681" spans="1:6" ht="12.75">
      <c r="A681" s="371" t="s">
        <v>329</v>
      </c>
      <c r="B681" s="309" t="s">
        <v>957</v>
      </c>
      <c r="C681" s="330"/>
      <c r="D681" s="152"/>
      <c r="E681" s="327"/>
      <c r="F681" s="156"/>
    </row>
    <row r="682" spans="1:6" ht="13.5" thickBot="1">
      <c r="A682" s="371" t="s">
        <v>330</v>
      </c>
      <c r="B682" s="230" t="s">
        <v>694</v>
      </c>
      <c r="C682" s="328"/>
      <c r="D682" s="156"/>
      <c r="E682" s="327"/>
      <c r="F682" s="325">
        <f t="shared" si="35"/>
        <v>0</v>
      </c>
    </row>
    <row r="683" spans="1:6" ht="13.5" thickBot="1">
      <c r="A683" s="615" t="s">
        <v>331</v>
      </c>
      <c r="B683" s="616" t="s">
        <v>6</v>
      </c>
      <c r="C683" s="624">
        <f>C669+C670+C671+C672+C674+C682</f>
        <v>68768.74</v>
      </c>
      <c r="D683" s="624">
        <f>D669+D670+D671+D672+D674+D682</f>
        <v>0</v>
      </c>
      <c r="E683" s="624">
        <f>E669+E670+E671+E672+E674+E682</f>
        <v>0</v>
      </c>
      <c r="F683" s="625">
        <f>F669+F670+F671+F672+F674+F682</f>
        <v>68768.74</v>
      </c>
    </row>
    <row r="684" spans="1:6" ht="9" customHeight="1" thickTop="1">
      <c r="A684" s="604"/>
      <c r="B684" s="379"/>
      <c r="C684" s="261"/>
      <c r="D684" s="261"/>
      <c r="E684" s="261"/>
      <c r="F684" s="159"/>
    </row>
    <row r="685" spans="1:6" ht="12.75">
      <c r="A685" s="372" t="s">
        <v>332</v>
      </c>
      <c r="B685" s="381" t="s">
        <v>257</v>
      </c>
      <c r="C685" s="329"/>
      <c r="D685" s="154"/>
      <c r="E685" s="329"/>
      <c r="F685" s="206"/>
    </row>
    <row r="686" spans="1:6" ht="12.75">
      <c r="A686" s="372" t="s">
        <v>333</v>
      </c>
      <c r="B686" s="228" t="s">
        <v>695</v>
      </c>
      <c r="C686" s="327">
        <f>'33_sz_ melléklet'!C86</f>
        <v>5588</v>
      </c>
      <c r="D686" s="151"/>
      <c r="E686" s="327"/>
      <c r="F686" s="151">
        <f>SUM(C686:E686)</f>
        <v>5588</v>
      </c>
    </row>
    <row r="687" spans="1:6" ht="12.75">
      <c r="A687" s="372" t="s">
        <v>334</v>
      </c>
      <c r="B687" s="228" t="s">
        <v>696</v>
      </c>
      <c r="C687" s="327">
        <f>'4_sz_ melléklet'!C264</f>
        <v>91746</v>
      </c>
      <c r="D687" s="151"/>
      <c r="E687" s="327"/>
      <c r="F687" s="151">
        <f>SUM(C687:E687)</f>
        <v>91746</v>
      </c>
    </row>
    <row r="688" spans="1:6" ht="12.75">
      <c r="A688" s="372" t="s">
        <v>336</v>
      </c>
      <c r="B688" s="228" t="s">
        <v>697</v>
      </c>
      <c r="C688" s="327">
        <f>C689+C690+C691+C692+C693+C694+C695</f>
        <v>0</v>
      </c>
      <c r="D688" s="327">
        <f>D689+D690+D691+D692+D693+D694+D695</f>
        <v>0</v>
      </c>
      <c r="E688" s="327">
        <f>E689+E690+E691+E692+E693+E694+E695</f>
        <v>0</v>
      </c>
      <c r="F688" s="151">
        <f>F689+F690+F691+F692+F693+F694+F695</f>
        <v>0</v>
      </c>
    </row>
    <row r="689" spans="1:6" ht="12.75">
      <c r="A689" s="372" t="s">
        <v>337</v>
      </c>
      <c r="B689" s="380" t="s">
        <v>698</v>
      </c>
      <c r="C689" s="327"/>
      <c r="D689" s="151"/>
      <c r="E689" s="327"/>
      <c r="F689" s="151">
        <f>SUM(C689:E689)</f>
        <v>0</v>
      </c>
    </row>
    <row r="690" spans="1:6" ht="12.75">
      <c r="A690" s="372" t="s">
        <v>338</v>
      </c>
      <c r="B690" s="380" t="s">
        <v>699</v>
      </c>
      <c r="C690" s="327"/>
      <c r="D690" s="151"/>
      <c r="E690" s="327"/>
      <c r="F690" s="151">
        <f aca="true" t="shared" si="36" ref="F690:F695">SUM(C690:E690)</f>
        <v>0</v>
      </c>
    </row>
    <row r="691" spans="1:6" ht="12.75">
      <c r="A691" s="372" t="s">
        <v>339</v>
      </c>
      <c r="B691" s="380" t="s">
        <v>700</v>
      </c>
      <c r="C691" s="327"/>
      <c r="D691" s="151"/>
      <c r="E691" s="327"/>
      <c r="F691" s="151">
        <f t="shared" si="36"/>
        <v>0</v>
      </c>
    </row>
    <row r="692" spans="1:6" ht="12.75">
      <c r="A692" s="372" t="s">
        <v>340</v>
      </c>
      <c r="B692" s="380" t="s">
        <v>701</v>
      </c>
      <c r="C692" s="327"/>
      <c r="D692" s="151"/>
      <c r="E692" s="327"/>
      <c r="F692" s="151">
        <f t="shared" si="36"/>
        <v>0</v>
      </c>
    </row>
    <row r="693" spans="1:6" ht="12.75">
      <c r="A693" s="372" t="s">
        <v>341</v>
      </c>
      <c r="B693" s="834" t="s">
        <v>702</v>
      </c>
      <c r="C693" s="327"/>
      <c r="D693" s="151"/>
      <c r="E693" s="327"/>
      <c r="F693" s="151">
        <f t="shared" si="36"/>
        <v>0</v>
      </c>
    </row>
    <row r="694" spans="1:6" ht="12.75">
      <c r="A694" s="372" t="s">
        <v>342</v>
      </c>
      <c r="B694" s="309" t="s">
        <v>703</v>
      </c>
      <c r="C694" s="327"/>
      <c r="D694" s="151"/>
      <c r="E694" s="327"/>
      <c r="F694" s="151">
        <f t="shared" si="36"/>
        <v>0</v>
      </c>
    </row>
    <row r="695" spans="1:6" ht="12.75">
      <c r="A695" s="372" t="s">
        <v>343</v>
      </c>
      <c r="B695" s="1091" t="s">
        <v>704</v>
      </c>
      <c r="C695" s="327"/>
      <c r="D695" s="151"/>
      <c r="E695" s="327"/>
      <c r="F695" s="151">
        <f t="shared" si="36"/>
        <v>0</v>
      </c>
    </row>
    <row r="696" spans="1:6" ht="12.75">
      <c r="A696" s="372" t="s">
        <v>344</v>
      </c>
      <c r="B696" s="228"/>
      <c r="C696" s="327"/>
      <c r="D696" s="151"/>
      <c r="E696" s="327"/>
      <c r="F696" s="151"/>
    </row>
    <row r="697" spans="1:6" ht="13.5" thickBot="1">
      <c r="A697" s="372" t="s">
        <v>345</v>
      </c>
      <c r="B697" s="230"/>
      <c r="C697" s="330"/>
      <c r="D697" s="330"/>
      <c r="E697" s="330"/>
      <c r="F697" s="152"/>
    </row>
    <row r="698" spans="1:6" ht="13.5" thickBot="1">
      <c r="A698" s="615" t="s">
        <v>346</v>
      </c>
      <c r="B698" s="616" t="s">
        <v>7</v>
      </c>
      <c r="C698" s="624">
        <f>C686+C687+C688+C696+C697</f>
        <v>97334</v>
      </c>
      <c r="D698" s="624">
        <f>D686+D687+D688+D696+D697</f>
        <v>0</v>
      </c>
      <c r="E698" s="624">
        <f>E686+E687+E688+E696+E697</f>
        <v>0</v>
      </c>
      <c r="F698" s="625">
        <f>F686+F687+F688+F696+F697</f>
        <v>97334</v>
      </c>
    </row>
    <row r="699" spans="1:6" ht="27" thickBot="1" thickTop="1">
      <c r="A699" s="615" t="s">
        <v>347</v>
      </c>
      <c r="B699" s="620" t="s">
        <v>503</v>
      </c>
      <c r="C699" s="627">
        <f>C683+C698</f>
        <v>166102.74</v>
      </c>
      <c r="D699" s="627">
        <f>D683+D698</f>
        <v>0</v>
      </c>
      <c r="E699" s="627">
        <f>E683+E698</f>
        <v>0</v>
      </c>
      <c r="F699" s="628">
        <f>F683+F698</f>
        <v>166102.74</v>
      </c>
    </row>
    <row r="700" spans="1:6" ht="8.25" customHeight="1" thickTop="1">
      <c r="A700" s="604"/>
      <c r="B700" s="848"/>
      <c r="C700" s="267"/>
      <c r="D700" s="267"/>
      <c r="E700" s="267"/>
      <c r="F700" s="272"/>
    </row>
    <row r="701" spans="1:6" ht="12.75">
      <c r="A701" s="372" t="s">
        <v>348</v>
      </c>
      <c r="B701" s="485" t="s">
        <v>504</v>
      </c>
      <c r="C701" s="626"/>
      <c r="D701" s="154"/>
      <c r="E701" s="329"/>
      <c r="F701" s="206"/>
    </row>
    <row r="702" spans="1:6" ht="12.75">
      <c r="A702" s="371" t="s">
        <v>349</v>
      </c>
      <c r="B702" s="229" t="s">
        <v>726</v>
      </c>
      <c r="C702" s="332"/>
      <c r="D702" s="151"/>
      <c r="E702" s="327"/>
      <c r="F702" s="151">
        <f>SUM(C702:E702)</f>
        <v>0</v>
      </c>
    </row>
    <row r="703" spans="1:6" ht="12.75">
      <c r="A703" s="371" t="s">
        <v>350</v>
      </c>
      <c r="B703" s="697" t="s">
        <v>724</v>
      </c>
      <c r="C703" s="841"/>
      <c r="D703" s="156"/>
      <c r="E703" s="328"/>
      <c r="F703" s="151">
        <f aca="true" t="shared" si="37" ref="F703:F709">SUM(C703:E703)</f>
        <v>0</v>
      </c>
    </row>
    <row r="704" spans="1:6" ht="12.75">
      <c r="A704" s="371" t="s">
        <v>351</v>
      </c>
      <c r="B704" s="697" t="s">
        <v>723</v>
      </c>
      <c r="C704" s="841"/>
      <c r="D704" s="156"/>
      <c r="E704" s="328"/>
      <c r="F704" s="151">
        <f t="shared" si="37"/>
        <v>0</v>
      </c>
    </row>
    <row r="705" spans="1:6" ht="12.75">
      <c r="A705" s="371" t="s">
        <v>352</v>
      </c>
      <c r="B705" s="697" t="s">
        <v>725</v>
      </c>
      <c r="C705" s="841"/>
      <c r="D705" s="156"/>
      <c r="E705" s="328"/>
      <c r="F705" s="151">
        <f t="shared" si="37"/>
        <v>0</v>
      </c>
    </row>
    <row r="706" spans="1:6" ht="12.75">
      <c r="A706" s="371" t="s">
        <v>353</v>
      </c>
      <c r="B706" s="836" t="s">
        <v>727</v>
      </c>
      <c r="C706" s="841"/>
      <c r="D706" s="156"/>
      <c r="E706" s="328"/>
      <c r="F706" s="151">
        <f t="shared" si="37"/>
        <v>0</v>
      </c>
    </row>
    <row r="707" spans="1:6" ht="12.75">
      <c r="A707" s="371" t="s">
        <v>354</v>
      </c>
      <c r="B707" s="837" t="s">
        <v>730</v>
      </c>
      <c r="C707" s="841"/>
      <c r="D707" s="156"/>
      <c r="E707" s="328"/>
      <c r="F707" s="151">
        <f t="shared" si="37"/>
        <v>0</v>
      </c>
    </row>
    <row r="708" spans="1:6" ht="12.75">
      <c r="A708" s="371" t="s">
        <v>355</v>
      </c>
      <c r="B708" s="838" t="s">
        <v>729</v>
      </c>
      <c r="C708" s="841"/>
      <c r="D708" s="156"/>
      <c r="E708" s="328"/>
      <c r="F708" s="151">
        <f t="shared" si="37"/>
        <v>0</v>
      </c>
    </row>
    <row r="709" spans="1:6" ht="13.5" thickBot="1">
      <c r="A709" s="371" t="s">
        <v>356</v>
      </c>
      <c r="B709" s="382" t="s">
        <v>728</v>
      </c>
      <c r="C709" s="841"/>
      <c r="D709" s="156"/>
      <c r="E709" s="328"/>
      <c r="F709" s="151">
        <f t="shared" si="37"/>
        <v>0</v>
      </c>
    </row>
    <row r="710" spans="1:6" ht="13.5" thickBot="1">
      <c r="A710" s="395" t="s">
        <v>357</v>
      </c>
      <c r="B710" s="315" t="s">
        <v>505</v>
      </c>
      <c r="C710" s="842">
        <f>SUM(C702:C709)</f>
        <v>0</v>
      </c>
      <c r="D710" s="842">
        <f>SUM(D702:D709)</f>
        <v>0</v>
      </c>
      <c r="E710" s="842">
        <f>SUM(E702:E709)</f>
        <v>0</v>
      </c>
      <c r="F710" s="948">
        <f>SUM(F702:F709)</f>
        <v>0</v>
      </c>
    </row>
    <row r="711" spans="1:6" ht="12.75">
      <c r="A711" s="604"/>
      <c r="B711" s="44"/>
      <c r="C711" s="854"/>
      <c r="D711" s="856"/>
      <c r="E711" s="816"/>
      <c r="F711" s="693"/>
    </row>
    <row r="712" spans="1:6" ht="13.5" thickBot="1">
      <c r="A712" s="456" t="s">
        <v>358</v>
      </c>
      <c r="B712" s="1379" t="s">
        <v>506</v>
      </c>
      <c r="C712" s="994">
        <f>C699+C710</f>
        <v>166102.74</v>
      </c>
      <c r="D712" s="995">
        <f>D699+D710</f>
        <v>0</v>
      </c>
      <c r="E712" s="994">
        <f>E699+E710</f>
        <v>0</v>
      </c>
      <c r="F712" s="994">
        <f>F699+F710</f>
        <v>166102.74</v>
      </c>
    </row>
    <row r="713" spans="1:6" ht="12.75">
      <c r="A713" s="393"/>
      <c r="B713" s="827"/>
      <c r="C713" s="695"/>
      <c r="D713" s="695"/>
      <c r="E713" s="695"/>
      <c r="F713" s="695"/>
    </row>
    <row r="714" spans="1:6" ht="12.75">
      <c r="A714" s="1675">
        <v>14</v>
      </c>
      <c r="B714" s="1675"/>
      <c r="C714" s="1675"/>
      <c r="D714" s="1675"/>
      <c r="E714" s="1675"/>
      <c r="F714" s="1675"/>
    </row>
    <row r="715" spans="1:5" ht="12.75">
      <c r="A715" s="1654" t="s">
        <v>1456</v>
      </c>
      <c r="B715" s="1654"/>
      <c r="C715" s="1654"/>
      <c r="D715" s="1654"/>
      <c r="E715" s="1654"/>
    </row>
    <row r="716" spans="1:5" ht="12.75">
      <c r="A716" s="384"/>
      <c r="B716" s="384"/>
      <c r="C716" s="384"/>
      <c r="D716" s="384"/>
      <c r="E716" s="384"/>
    </row>
    <row r="717" spans="1:6" ht="14.25">
      <c r="A717" s="1809" t="s">
        <v>1098</v>
      </c>
      <c r="B717" s="1810"/>
      <c r="C717" s="1810"/>
      <c r="D717" s="1810"/>
      <c r="E717" s="1810"/>
      <c r="F717" s="1810"/>
    </row>
    <row r="718" spans="2:5" ht="12" customHeight="1">
      <c r="B718" s="21"/>
      <c r="C718" s="21"/>
      <c r="D718" s="21"/>
      <c r="E718" s="21"/>
    </row>
    <row r="719" spans="2:5" ht="15.75">
      <c r="B719" s="21" t="s">
        <v>554</v>
      </c>
      <c r="C719" s="21"/>
      <c r="D719" s="21"/>
      <c r="E719" s="21"/>
    </row>
    <row r="720" spans="2:5" ht="13.5" thickBot="1">
      <c r="B720" s="1"/>
      <c r="C720" s="1"/>
      <c r="D720" s="1"/>
      <c r="E720" s="22" t="s">
        <v>8</v>
      </c>
    </row>
    <row r="721" spans="1:6" ht="48.75" thickBot="1">
      <c r="A721" s="399" t="s">
        <v>311</v>
      </c>
      <c r="B721" s="610" t="s">
        <v>13</v>
      </c>
      <c r="C721" s="387" t="s">
        <v>552</v>
      </c>
      <c r="D721" s="388" t="s">
        <v>553</v>
      </c>
      <c r="E721" s="387" t="s">
        <v>536</v>
      </c>
      <c r="F721" s="388" t="s">
        <v>535</v>
      </c>
    </row>
    <row r="722" spans="1:6" ht="12.75">
      <c r="A722" s="611" t="s">
        <v>312</v>
      </c>
      <c r="B722" s="612" t="s">
        <v>313</v>
      </c>
      <c r="C722" s="621" t="s">
        <v>314</v>
      </c>
      <c r="D722" s="622" t="s">
        <v>315</v>
      </c>
      <c r="E722" s="796" t="s">
        <v>335</v>
      </c>
      <c r="F722" s="797" t="s">
        <v>360</v>
      </c>
    </row>
    <row r="723" spans="1:6" ht="12.75">
      <c r="A723" s="372" t="s">
        <v>316</v>
      </c>
      <c r="B723" s="379" t="s">
        <v>256</v>
      </c>
      <c r="C723" s="327"/>
      <c r="D723" s="151"/>
      <c r="E723" s="327"/>
      <c r="F723" s="136"/>
    </row>
    <row r="724" spans="1:6" ht="12.75">
      <c r="A724" s="371" t="s">
        <v>317</v>
      </c>
      <c r="B724" s="199" t="s">
        <v>681</v>
      </c>
      <c r="C724" s="327"/>
      <c r="D724" s="151"/>
      <c r="E724" s="327"/>
      <c r="F724" s="151">
        <f>SUM(C724:E724)</f>
        <v>0</v>
      </c>
    </row>
    <row r="725" spans="1:6" ht="12.75">
      <c r="A725" s="371" t="s">
        <v>318</v>
      </c>
      <c r="B725" s="228" t="s">
        <v>683</v>
      </c>
      <c r="C725" s="327"/>
      <c r="D725" s="151"/>
      <c r="E725" s="327"/>
      <c r="F725" s="151">
        <f>SUM(C725:E725)</f>
        <v>0</v>
      </c>
    </row>
    <row r="726" spans="1:6" ht="12.75">
      <c r="A726" s="371" t="s">
        <v>319</v>
      </c>
      <c r="B726" s="228" t="s">
        <v>682</v>
      </c>
      <c r="C726" s="327">
        <v>1599</v>
      </c>
      <c r="D726" s="151">
        <v>936</v>
      </c>
      <c r="E726" s="327"/>
      <c r="F726" s="151">
        <f>SUM(C726:E726)</f>
        <v>2535</v>
      </c>
    </row>
    <row r="727" spans="1:6" ht="12.75">
      <c r="A727" s="371" t="s">
        <v>320</v>
      </c>
      <c r="B727" s="228" t="s">
        <v>684</v>
      </c>
      <c r="C727" s="327"/>
      <c r="D727" s="151"/>
      <c r="E727" s="327"/>
      <c r="F727" s="151">
        <f>SUM(C727:E727)</f>
        <v>0</v>
      </c>
    </row>
    <row r="728" spans="1:6" ht="12.75">
      <c r="A728" s="371" t="s">
        <v>321</v>
      </c>
      <c r="B728" s="228" t="s">
        <v>685</v>
      </c>
      <c r="C728" s="327"/>
      <c r="D728" s="151"/>
      <c r="E728" s="327"/>
      <c r="F728" s="151">
        <f>SUM(C728:E728)</f>
        <v>0</v>
      </c>
    </row>
    <row r="729" spans="1:6" ht="12.75">
      <c r="A729" s="371" t="s">
        <v>322</v>
      </c>
      <c r="B729" s="228" t="s">
        <v>686</v>
      </c>
      <c r="C729" s="327">
        <f>C730+C731+C732+C733+C734+C735+C736</f>
        <v>0</v>
      </c>
      <c r="D729" s="327">
        <f>D730+D731+D732+D733+D734+D735+D736</f>
        <v>0</v>
      </c>
      <c r="E729" s="327">
        <f>E730+E731+E732+E733+E734+E735+E736</f>
        <v>0</v>
      </c>
      <c r="F729" s="151">
        <f>F730+F731+F732+F733+F734+F735+F736</f>
        <v>0</v>
      </c>
    </row>
    <row r="730" spans="1:6" ht="12.75">
      <c r="A730" s="371" t="s">
        <v>323</v>
      </c>
      <c r="B730" s="228" t="s">
        <v>690</v>
      </c>
      <c r="C730" s="327">
        <v>0</v>
      </c>
      <c r="D730" s="151">
        <v>0</v>
      </c>
      <c r="E730" s="327">
        <v>0</v>
      </c>
      <c r="F730" s="151">
        <f>E730+D730+C730</f>
        <v>0</v>
      </c>
    </row>
    <row r="731" spans="1:6" ht="12.75">
      <c r="A731" s="371" t="s">
        <v>324</v>
      </c>
      <c r="B731" s="228" t="s">
        <v>691</v>
      </c>
      <c r="C731" s="327"/>
      <c r="D731" s="151"/>
      <c r="E731" s="327"/>
      <c r="F731" s="151">
        <f aca="true" t="shared" si="38" ref="F731:F737">E731+D731+C731</f>
        <v>0</v>
      </c>
    </row>
    <row r="732" spans="1:6" ht="12.75">
      <c r="A732" s="371" t="s">
        <v>325</v>
      </c>
      <c r="B732" s="228" t="s">
        <v>692</v>
      </c>
      <c r="C732" s="327"/>
      <c r="D732" s="151"/>
      <c r="E732" s="327"/>
      <c r="F732" s="151">
        <f t="shared" si="38"/>
        <v>0</v>
      </c>
    </row>
    <row r="733" spans="1:6" ht="12.75">
      <c r="A733" s="371" t="s">
        <v>326</v>
      </c>
      <c r="B733" s="380" t="s">
        <v>688</v>
      </c>
      <c r="C733" s="262"/>
      <c r="D733" s="155"/>
      <c r="E733" s="327"/>
      <c r="F733" s="151">
        <f t="shared" si="38"/>
        <v>0</v>
      </c>
    </row>
    <row r="734" spans="1:6" ht="12.75">
      <c r="A734" s="371" t="s">
        <v>327</v>
      </c>
      <c r="B734" s="834" t="s">
        <v>689</v>
      </c>
      <c r="C734" s="330"/>
      <c r="D734" s="152"/>
      <c r="E734" s="327"/>
      <c r="F734" s="151">
        <f t="shared" si="38"/>
        <v>0</v>
      </c>
    </row>
    <row r="735" spans="1:6" ht="12.75">
      <c r="A735" s="371" t="s">
        <v>328</v>
      </c>
      <c r="B735" s="835" t="s">
        <v>687</v>
      </c>
      <c r="C735" s="330"/>
      <c r="D735" s="152"/>
      <c r="E735" s="327"/>
      <c r="F735" s="151">
        <f t="shared" si="38"/>
        <v>0</v>
      </c>
    </row>
    <row r="736" spans="1:6" ht="12.75">
      <c r="A736" s="371" t="s">
        <v>329</v>
      </c>
      <c r="B736" s="309" t="s">
        <v>957</v>
      </c>
      <c r="C736" s="330"/>
      <c r="D736" s="152"/>
      <c r="E736" s="327"/>
      <c r="F736" s="156"/>
    </row>
    <row r="737" spans="1:6" ht="13.5" thickBot="1">
      <c r="A737" s="371" t="s">
        <v>330</v>
      </c>
      <c r="B737" s="230" t="s">
        <v>694</v>
      </c>
      <c r="C737" s="328"/>
      <c r="D737" s="156"/>
      <c r="E737" s="327"/>
      <c r="F737" s="325">
        <f t="shared" si="38"/>
        <v>0</v>
      </c>
    </row>
    <row r="738" spans="1:6" ht="13.5" thickBot="1">
      <c r="A738" s="615" t="s">
        <v>331</v>
      </c>
      <c r="B738" s="616" t="s">
        <v>6</v>
      </c>
      <c r="C738" s="624">
        <f>C724+C725+C726+C727+C729+C737</f>
        <v>1599</v>
      </c>
      <c r="D738" s="624">
        <f>D724+D725+D726+D727+D729+D737</f>
        <v>936</v>
      </c>
      <c r="E738" s="624">
        <f>E724+E725+E726+E727+E729+E737</f>
        <v>0</v>
      </c>
      <c r="F738" s="625">
        <f>F724+F725+F726+F727+F729+F737</f>
        <v>2535</v>
      </c>
    </row>
    <row r="739" spans="1:6" ht="9" customHeight="1" thickTop="1">
      <c r="A739" s="604"/>
      <c r="B739" s="379"/>
      <c r="C739" s="261"/>
      <c r="D739" s="261"/>
      <c r="E739" s="261"/>
      <c r="F739" s="159"/>
    </row>
    <row r="740" spans="1:6" ht="12.75">
      <c r="A740" s="372" t="s">
        <v>332</v>
      </c>
      <c r="B740" s="381" t="s">
        <v>257</v>
      </c>
      <c r="C740" s="329"/>
      <c r="D740" s="154"/>
      <c r="E740" s="329"/>
      <c r="F740" s="206"/>
    </row>
    <row r="741" spans="1:6" ht="12.75">
      <c r="A741" s="372" t="s">
        <v>333</v>
      </c>
      <c r="B741" s="228" t="s">
        <v>695</v>
      </c>
      <c r="C741" s="327"/>
      <c r="D741" s="151"/>
      <c r="E741" s="327"/>
      <c r="F741" s="151">
        <f>SUM(C741:E741)</f>
        <v>0</v>
      </c>
    </row>
    <row r="742" spans="1:6" ht="12.75">
      <c r="A742" s="372" t="s">
        <v>334</v>
      </c>
      <c r="B742" s="228" t="s">
        <v>696</v>
      </c>
      <c r="C742" s="327"/>
      <c r="D742" s="151"/>
      <c r="E742" s="327"/>
      <c r="F742" s="151">
        <f>SUM(C742:E742)</f>
        <v>0</v>
      </c>
    </row>
    <row r="743" spans="1:6" ht="12.75">
      <c r="A743" s="372" t="s">
        <v>336</v>
      </c>
      <c r="B743" s="228" t="s">
        <v>697</v>
      </c>
      <c r="C743" s="327">
        <f>C744+C745+C746+C747+C748+C749+C750</f>
        <v>0</v>
      </c>
      <c r="D743" s="327">
        <f>D744+D745+D746+D747+D748+D749+D750</f>
        <v>0</v>
      </c>
      <c r="E743" s="327">
        <f>E744+E745+E746+E747+E748+E749+E750</f>
        <v>0</v>
      </c>
      <c r="F743" s="151">
        <f>F744+F745+F746+F747+F748+F749+F750</f>
        <v>0</v>
      </c>
    </row>
    <row r="744" spans="1:6" ht="12.75">
      <c r="A744" s="372" t="s">
        <v>337</v>
      </c>
      <c r="B744" s="380" t="s">
        <v>698</v>
      </c>
      <c r="C744" s="327"/>
      <c r="D744" s="151"/>
      <c r="E744" s="327"/>
      <c r="F744" s="151">
        <f>SUM(C744:E744)</f>
        <v>0</v>
      </c>
    </row>
    <row r="745" spans="1:6" ht="12.75">
      <c r="A745" s="372" t="s">
        <v>338</v>
      </c>
      <c r="B745" s="380" t="s">
        <v>699</v>
      </c>
      <c r="C745" s="327"/>
      <c r="D745" s="151"/>
      <c r="E745" s="327"/>
      <c r="F745" s="151">
        <f aca="true" t="shared" si="39" ref="F745:F751">SUM(C745:E745)</f>
        <v>0</v>
      </c>
    </row>
    <row r="746" spans="1:6" ht="12.75">
      <c r="A746" s="372" t="s">
        <v>339</v>
      </c>
      <c r="B746" s="380" t="s">
        <v>700</v>
      </c>
      <c r="C746" s="327"/>
      <c r="D746" s="151"/>
      <c r="E746" s="327"/>
      <c r="F746" s="151">
        <f t="shared" si="39"/>
        <v>0</v>
      </c>
    </row>
    <row r="747" spans="1:6" ht="12.75">
      <c r="A747" s="372" t="s">
        <v>340</v>
      </c>
      <c r="B747" s="380" t="s">
        <v>701</v>
      </c>
      <c r="C747" s="327"/>
      <c r="D747" s="151"/>
      <c r="E747" s="327"/>
      <c r="F747" s="151">
        <f t="shared" si="39"/>
        <v>0</v>
      </c>
    </row>
    <row r="748" spans="1:6" ht="12.75">
      <c r="A748" s="372" t="s">
        <v>341</v>
      </c>
      <c r="B748" s="834" t="s">
        <v>702</v>
      </c>
      <c r="C748" s="327"/>
      <c r="D748" s="151"/>
      <c r="E748" s="327"/>
      <c r="F748" s="151">
        <f t="shared" si="39"/>
        <v>0</v>
      </c>
    </row>
    <row r="749" spans="1:6" ht="12.75">
      <c r="A749" s="372" t="s">
        <v>342</v>
      </c>
      <c r="B749" s="309" t="s">
        <v>703</v>
      </c>
      <c r="C749" s="327"/>
      <c r="D749" s="151"/>
      <c r="E749" s="327"/>
      <c r="F749" s="151">
        <f t="shared" si="39"/>
        <v>0</v>
      </c>
    </row>
    <row r="750" spans="1:6" ht="12.75">
      <c r="A750" s="372" t="s">
        <v>343</v>
      </c>
      <c r="B750" s="1091" t="s">
        <v>704</v>
      </c>
      <c r="C750" s="327"/>
      <c r="D750" s="151"/>
      <c r="E750" s="327"/>
      <c r="F750" s="151">
        <f t="shared" si="39"/>
        <v>0</v>
      </c>
    </row>
    <row r="751" spans="1:6" ht="12.75">
      <c r="A751" s="372" t="s">
        <v>344</v>
      </c>
      <c r="B751" s="228"/>
      <c r="C751" s="327"/>
      <c r="D751" s="151"/>
      <c r="E751" s="327"/>
      <c r="F751" s="151">
        <f t="shared" si="39"/>
        <v>0</v>
      </c>
    </row>
    <row r="752" spans="1:6" ht="13.5" thickBot="1">
      <c r="A752" s="372" t="s">
        <v>345</v>
      </c>
      <c r="B752" s="230"/>
      <c r="C752" s="330">
        <f>-C727</f>
        <v>0</v>
      </c>
      <c r="D752" s="330">
        <f>-D727</f>
        <v>0</v>
      </c>
      <c r="E752" s="330">
        <f>-E727</f>
        <v>0</v>
      </c>
      <c r="F752" s="152">
        <f>-F727</f>
        <v>0</v>
      </c>
    </row>
    <row r="753" spans="1:6" ht="13.5" thickBot="1">
      <c r="A753" s="615" t="s">
        <v>346</v>
      </c>
      <c r="B753" s="616" t="s">
        <v>7</v>
      </c>
      <c r="C753" s="624">
        <f>C741+C742+C743+C751+C752</f>
        <v>0</v>
      </c>
      <c r="D753" s="624">
        <f>D741+D742+D743+D751+D752</f>
        <v>0</v>
      </c>
      <c r="E753" s="624">
        <f>E741+E742+E743+E751+E752</f>
        <v>0</v>
      </c>
      <c r="F753" s="625">
        <f>F741+F742+F743+F751+F752</f>
        <v>0</v>
      </c>
    </row>
    <row r="754" spans="1:6" ht="27" thickBot="1" thickTop="1">
      <c r="A754" s="615" t="s">
        <v>347</v>
      </c>
      <c r="B754" s="620" t="s">
        <v>503</v>
      </c>
      <c r="C754" s="627">
        <f>C738+C753</f>
        <v>1599</v>
      </c>
      <c r="D754" s="627">
        <f>D738+D753</f>
        <v>936</v>
      </c>
      <c r="E754" s="627">
        <f>E738+E753</f>
        <v>0</v>
      </c>
      <c r="F754" s="628">
        <f>F738+F753</f>
        <v>2535</v>
      </c>
    </row>
    <row r="755" spans="1:6" ht="9" customHeight="1" thickTop="1">
      <c r="A755" s="604"/>
      <c r="B755" s="848"/>
      <c r="C755" s="267"/>
      <c r="D755" s="267"/>
      <c r="E755" s="267"/>
      <c r="F755" s="272"/>
    </row>
    <row r="756" spans="1:6" ht="12.75">
      <c r="A756" s="372" t="s">
        <v>348</v>
      </c>
      <c r="B756" s="485" t="s">
        <v>504</v>
      </c>
      <c r="C756" s="626"/>
      <c r="D756" s="154"/>
      <c r="E756" s="329"/>
      <c r="F756" s="206"/>
    </row>
    <row r="757" spans="1:6" ht="12.75">
      <c r="A757" s="371" t="s">
        <v>349</v>
      </c>
      <c r="B757" s="229" t="s">
        <v>726</v>
      </c>
      <c r="C757" s="332"/>
      <c r="D757" s="151"/>
      <c r="E757" s="327"/>
      <c r="F757" s="151">
        <f>SUM(C757:E757)</f>
        <v>0</v>
      </c>
    </row>
    <row r="758" spans="1:6" ht="12.75">
      <c r="A758" s="371" t="s">
        <v>350</v>
      </c>
      <c r="B758" s="697" t="s">
        <v>724</v>
      </c>
      <c r="C758" s="841"/>
      <c r="D758" s="156"/>
      <c r="E758" s="328"/>
      <c r="F758" s="151">
        <f aca="true" t="shared" si="40" ref="F758:F764">SUM(C758:E758)</f>
        <v>0</v>
      </c>
    </row>
    <row r="759" spans="1:6" ht="12.75">
      <c r="A759" s="371" t="s">
        <v>351</v>
      </c>
      <c r="B759" s="697" t="s">
        <v>723</v>
      </c>
      <c r="C759" s="841"/>
      <c r="D759" s="156"/>
      <c r="E759" s="328"/>
      <c r="F759" s="151">
        <f t="shared" si="40"/>
        <v>0</v>
      </c>
    </row>
    <row r="760" spans="1:6" ht="12.75">
      <c r="A760" s="371" t="s">
        <v>352</v>
      </c>
      <c r="B760" s="697" t="s">
        <v>725</v>
      </c>
      <c r="C760" s="841"/>
      <c r="D760" s="156"/>
      <c r="E760" s="328"/>
      <c r="F760" s="151">
        <f t="shared" si="40"/>
        <v>0</v>
      </c>
    </row>
    <row r="761" spans="1:6" ht="12.75">
      <c r="A761" s="371" t="s">
        <v>353</v>
      </c>
      <c r="B761" s="836" t="s">
        <v>727</v>
      </c>
      <c r="C761" s="841"/>
      <c r="D761" s="156"/>
      <c r="E761" s="328"/>
      <c r="F761" s="151">
        <f t="shared" si="40"/>
        <v>0</v>
      </c>
    </row>
    <row r="762" spans="1:6" ht="12.75">
      <c r="A762" s="371" t="s">
        <v>354</v>
      </c>
      <c r="B762" s="837" t="s">
        <v>730</v>
      </c>
      <c r="C762" s="841"/>
      <c r="D762" s="156"/>
      <c r="E762" s="328"/>
      <c r="F762" s="151">
        <f t="shared" si="40"/>
        <v>0</v>
      </c>
    </row>
    <row r="763" spans="1:6" ht="12.75">
      <c r="A763" s="371" t="s">
        <v>355</v>
      </c>
      <c r="B763" s="838" t="s">
        <v>729</v>
      </c>
      <c r="C763" s="841"/>
      <c r="D763" s="156"/>
      <c r="E763" s="328"/>
      <c r="F763" s="151">
        <f t="shared" si="40"/>
        <v>0</v>
      </c>
    </row>
    <row r="764" spans="1:6" ht="13.5" thickBot="1">
      <c r="A764" s="371" t="s">
        <v>356</v>
      </c>
      <c r="B764" s="382" t="s">
        <v>728</v>
      </c>
      <c r="C764" s="841"/>
      <c r="D764" s="156"/>
      <c r="E764" s="328"/>
      <c r="F764" s="151">
        <f t="shared" si="40"/>
        <v>0</v>
      </c>
    </row>
    <row r="765" spans="1:6" ht="13.5" thickBot="1">
      <c r="A765" s="395" t="s">
        <v>357</v>
      </c>
      <c r="B765" s="315" t="s">
        <v>505</v>
      </c>
      <c r="C765" s="842">
        <f>SUM(C757:C764)</f>
        <v>0</v>
      </c>
      <c r="D765" s="842">
        <f>SUM(D757:D764)</f>
        <v>0</v>
      </c>
      <c r="E765" s="842">
        <f>SUM(E757:E764)</f>
        <v>0</v>
      </c>
      <c r="F765" s="948">
        <f>SUM(F757:F764)</f>
        <v>0</v>
      </c>
    </row>
    <row r="766" spans="1:6" ht="9" customHeight="1">
      <c r="A766" s="604"/>
      <c r="B766" s="44"/>
      <c r="C766" s="854"/>
      <c r="D766" s="856"/>
      <c r="E766" s="816"/>
      <c r="F766" s="693"/>
    </row>
    <row r="767" spans="1:6" ht="13.5" thickBot="1">
      <c r="A767" s="456" t="s">
        <v>358</v>
      </c>
      <c r="B767" s="1379" t="s">
        <v>506</v>
      </c>
      <c r="C767" s="994">
        <f>C754+C765</f>
        <v>1599</v>
      </c>
      <c r="D767" s="995">
        <f>D754+D765</f>
        <v>936</v>
      </c>
      <c r="E767" s="994">
        <f>E754+E765</f>
        <v>0</v>
      </c>
      <c r="F767" s="994">
        <f>F754+F765</f>
        <v>2535</v>
      </c>
    </row>
    <row r="768" spans="1:6" ht="12.75">
      <c r="A768" s="393"/>
      <c r="B768" s="827"/>
      <c r="C768" s="695"/>
      <c r="D768" s="695"/>
      <c r="E768" s="695"/>
      <c r="F768" s="695"/>
    </row>
    <row r="769" spans="1:6" ht="12.75">
      <c r="A769" s="1675">
        <v>15</v>
      </c>
      <c r="B769" s="1675"/>
      <c r="C769" s="1675"/>
      <c r="D769" s="1675"/>
      <c r="E769" s="1675"/>
      <c r="F769" s="1675"/>
    </row>
    <row r="770" spans="1:5" ht="12.75">
      <c r="A770" s="1654" t="s">
        <v>1456</v>
      </c>
      <c r="B770" s="1654"/>
      <c r="C770" s="1654"/>
      <c r="D770" s="1654"/>
      <c r="E770" s="1654"/>
    </row>
    <row r="771" spans="1:5" ht="12.75">
      <c r="A771" s="384"/>
      <c r="B771" s="384"/>
      <c r="C771" s="384"/>
      <c r="D771" s="384"/>
      <c r="E771" s="384"/>
    </row>
    <row r="772" spans="1:6" ht="14.25">
      <c r="A772" s="1809" t="s">
        <v>1098</v>
      </c>
      <c r="B772" s="1810"/>
      <c r="C772" s="1810"/>
      <c r="D772" s="1810"/>
      <c r="E772" s="1810"/>
      <c r="F772" s="1810"/>
    </row>
    <row r="773" spans="2:5" ht="10.5" customHeight="1">
      <c r="B773" s="21"/>
      <c r="C773" s="21"/>
      <c r="D773" s="21"/>
      <c r="E773" s="21"/>
    </row>
    <row r="774" spans="2:5" ht="15.75">
      <c r="B774" s="21" t="s">
        <v>555</v>
      </c>
      <c r="C774" s="21"/>
      <c r="D774" s="21"/>
      <c r="E774" s="21"/>
    </row>
    <row r="775" spans="2:5" ht="13.5" thickBot="1">
      <c r="B775" s="1"/>
      <c r="C775" s="1"/>
      <c r="D775" s="1"/>
      <c r="E775" s="22" t="s">
        <v>8</v>
      </c>
    </row>
    <row r="776" spans="1:6" ht="48.75" thickBot="1">
      <c r="A776" s="399" t="s">
        <v>311</v>
      </c>
      <c r="B776" s="610" t="s">
        <v>13</v>
      </c>
      <c r="C776" s="387" t="s">
        <v>540</v>
      </c>
      <c r="D776" s="388" t="s">
        <v>541</v>
      </c>
      <c r="E776" s="387" t="s">
        <v>536</v>
      </c>
      <c r="F776" s="388" t="s">
        <v>535</v>
      </c>
    </row>
    <row r="777" spans="1:6" ht="12.75">
      <c r="A777" s="611" t="s">
        <v>312</v>
      </c>
      <c r="B777" s="612" t="s">
        <v>313</v>
      </c>
      <c r="C777" s="621" t="s">
        <v>314</v>
      </c>
      <c r="D777" s="622" t="s">
        <v>315</v>
      </c>
      <c r="E777" s="796" t="s">
        <v>335</v>
      </c>
      <c r="F777" s="797" t="s">
        <v>360</v>
      </c>
    </row>
    <row r="778" spans="1:6" ht="12.75">
      <c r="A778" s="372" t="s">
        <v>316</v>
      </c>
      <c r="B778" s="379" t="s">
        <v>256</v>
      </c>
      <c r="C778" s="327"/>
      <c r="D778" s="151"/>
      <c r="E778" s="327"/>
      <c r="F778" s="136"/>
    </row>
    <row r="779" spans="1:6" ht="12.75">
      <c r="A779" s="371" t="s">
        <v>317</v>
      </c>
      <c r="B779" s="199" t="s">
        <v>681</v>
      </c>
      <c r="C779" s="327">
        <v>1050</v>
      </c>
      <c r="D779" s="151"/>
      <c r="E779" s="327"/>
      <c r="F779" s="151">
        <f>SUM(C779:E779)</f>
        <v>1050</v>
      </c>
    </row>
    <row r="780" spans="1:6" ht="12.75">
      <c r="A780" s="371" t="s">
        <v>318</v>
      </c>
      <c r="B780" s="228" t="s">
        <v>683</v>
      </c>
      <c r="C780" s="327">
        <v>1557</v>
      </c>
      <c r="D780" s="151"/>
      <c r="E780" s="327"/>
      <c r="F780" s="151">
        <f>SUM(C780:E780)</f>
        <v>1557</v>
      </c>
    </row>
    <row r="781" spans="1:6" ht="12.75">
      <c r="A781" s="371" t="s">
        <v>319</v>
      </c>
      <c r="B781" s="228" t="s">
        <v>682</v>
      </c>
      <c r="C781" s="327">
        <v>8679</v>
      </c>
      <c r="D781" s="151"/>
      <c r="E781" s="327"/>
      <c r="F781" s="151">
        <f>SUM(C781:E781)</f>
        <v>8679</v>
      </c>
    </row>
    <row r="782" spans="1:6" ht="12.75">
      <c r="A782" s="371" t="s">
        <v>320</v>
      </c>
      <c r="B782" s="228" t="s">
        <v>684</v>
      </c>
      <c r="C782" s="327"/>
      <c r="D782" s="151"/>
      <c r="E782" s="327"/>
      <c r="F782" s="151">
        <f>SUM(C782:E782)</f>
        <v>0</v>
      </c>
    </row>
    <row r="783" spans="1:6" ht="12.75">
      <c r="A783" s="371" t="s">
        <v>321</v>
      </c>
      <c r="B783" s="228" t="s">
        <v>685</v>
      </c>
      <c r="C783" s="327"/>
      <c r="D783" s="151"/>
      <c r="E783" s="327"/>
      <c r="F783" s="151">
        <f>SUM(C783:E783)</f>
        <v>0</v>
      </c>
    </row>
    <row r="784" spans="1:6" ht="12.75">
      <c r="A784" s="371" t="s">
        <v>322</v>
      </c>
      <c r="B784" s="228" t="s">
        <v>686</v>
      </c>
      <c r="C784" s="327">
        <f>C785+C786+C787+C788+C789+C790+C791</f>
        <v>38115</v>
      </c>
      <c r="D784" s="327">
        <f>D785+D786+D787+D788+D789+D790+D791</f>
        <v>29737</v>
      </c>
      <c r="E784" s="327">
        <f>E785+E786+E787+E788+E789+E790+E791</f>
        <v>0</v>
      </c>
      <c r="F784" s="151">
        <f>F785+F786+F787+F788+F789+F790+F791</f>
        <v>67852</v>
      </c>
    </row>
    <row r="785" spans="1:6" ht="12.75">
      <c r="A785" s="371" t="s">
        <v>323</v>
      </c>
      <c r="B785" s="228" t="s">
        <v>690</v>
      </c>
      <c r="C785" s="327">
        <v>0</v>
      </c>
      <c r="D785" s="151">
        <v>0</v>
      </c>
      <c r="E785" s="327">
        <v>0</v>
      </c>
      <c r="F785" s="151">
        <f>E785+D785+C785</f>
        <v>0</v>
      </c>
    </row>
    <row r="786" spans="1:6" ht="12.75">
      <c r="A786" s="371" t="s">
        <v>324</v>
      </c>
      <c r="B786" s="228" t="s">
        <v>691</v>
      </c>
      <c r="C786" s="327"/>
      <c r="D786" s="151"/>
      <c r="E786" s="327"/>
      <c r="F786" s="151">
        <f aca="true" t="shared" si="41" ref="F786:F792">E786+D786+C786</f>
        <v>0</v>
      </c>
    </row>
    <row r="787" spans="1:6" ht="12.75">
      <c r="A787" s="371" t="s">
        <v>325</v>
      </c>
      <c r="B787" s="228" t="s">
        <v>692</v>
      </c>
      <c r="C787" s="327"/>
      <c r="D787" s="151"/>
      <c r="E787" s="327"/>
      <c r="F787" s="151">
        <f t="shared" si="41"/>
        <v>0</v>
      </c>
    </row>
    <row r="788" spans="1:6" ht="12.75">
      <c r="A788" s="371" t="s">
        <v>326</v>
      </c>
      <c r="B788" s="380" t="s">
        <v>688</v>
      </c>
      <c r="C788" s="327">
        <f>'6 7_sz_melléklet'!E36</f>
        <v>38115</v>
      </c>
      <c r="D788" s="151">
        <f>'6 7_sz_melléklet'!E33+'6 7_sz_melléklet'!E38+'6 7_sz_melléklet'!F51</f>
        <v>29737</v>
      </c>
      <c r="E788" s="327"/>
      <c r="F788" s="151">
        <f t="shared" si="41"/>
        <v>67852</v>
      </c>
    </row>
    <row r="789" spans="1:6" ht="12.75">
      <c r="A789" s="371" t="s">
        <v>327</v>
      </c>
      <c r="B789" s="834" t="s">
        <v>689</v>
      </c>
      <c r="C789" s="328"/>
      <c r="D789" s="156"/>
      <c r="E789" s="327"/>
      <c r="F789" s="151">
        <f t="shared" si="41"/>
        <v>0</v>
      </c>
    </row>
    <row r="790" spans="1:6" ht="12.75">
      <c r="A790" s="371" t="s">
        <v>328</v>
      </c>
      <c r="B790" s="835" t="s">
        <v>687</v>
      </c>
      <c r="C790" s="330"/>
      <c r="D790" s="152"/>
      <c r="E790" s="327"/>
      <c r="F790" s="151">
        <f t="shared" si="41"/>
        <v>0</v>
      </c>
    </row>
    <row r="791" spans="1:6" ht="12.75">
      <c r="A791" s="371" t="s">
        <v>329</v>
      </c>
      <c r="B791" s="309" t="s">
        <v>957</v>
      </c>
      <c r="C791" s="330"/>
      <c r="D791" s="152"/>
      <c r="E791" s="327"/>
      <c r="F791" s="156"/>
    </row>
    <row r="792" spans="1:6" ht="13.5" thickBot="1">
      <c r="A792" s="371" t="s">
        <v>330</v>
      </c>
      <c r="B792" s="230" t="s">
        <v>694</v>
      </c>
      <c r="C792" s="328"/>
      <c r="D792" s="156"/>
      <c r="E792" s="327"/>
      <c r="F792" s="325">
        <f t="shared" si="41"/>
        <v>0</v>
      </c>
    </row>
    <row r="793" spans="1:6" ht="13.5" thickBot="1">
      <c r="A793" s="615" t="s">
        <v>331</v>
      </c>
      <c r="B793" s="616" t="s">
        <v>6</v>
      </c>
      <c r="C793" s="624">
        <f>C779+C780+C781+C782+C784+C792</f>
        <v>49401</v>
      </c>
      <c r="D793" s="624">
        <f>D779+D780+D781+D782+D784+D792</f>
        <v>29737</v>
      </c>
      <c r="E793" s="624">
        <f>E779+E780+E781+E782+E784+E792</f>
        <v>0</v>
      </c>
      <c r="F793" s="625">
        <f>F779+F780+F781+F782+F784+F792</f>
        <v>79138</v>
      </c>
    </row>
    <row r="794" spans="1:6" ht="9.75" customHeight="1" thickTop="1">
      <c r="A794" s="604"/>
      <c r="B794" s="379"/>
      <c r="C794" s="261"/>
      <c r="D794" s="261"/>
      <c r="E794" s="261"/>
      <c r="F794" s="159"/>
    </row>
    <row r="795" spans="1:6" ht="12.75">
      <c r="A795" s="372" t="s">
        <v>332</v>
      </c>
      <c r="B795" s="381" t="s">
        <v>257</v>
      </c>
      <c r="C795" s="329"/>
      <c r="D795" s="154"/>
      <c r="E795" s="329"/>
      <c r="F795" s="206"/>
    </row>
    <row r="796" spans="1:6" ht="12.75">
      <c r="A796" s="372" t="s">
        <v>333</v>
      </c>
      <c r="B796" s="228" t="s">
        <v>695</v>
      </c>
      <c r="C796" s="327"/>
      <c r="D796" s="151"/>
      <c r="E796" s="327"/>
      <c r="F796" s="151">
        <f>SUM(C796:E796)</f>
        <v>0</v>
      </c>
    </row>
    <row r="797" spans="1:6" ht="12.75">
      <c r="A797" s="372" t="s">
        <v>334</v>
      </c>
      <c r="B797" s="228" t="s">
        <v>696</v>
      </c>
      <c r="C797" s="327"/>
      <c r="D797" s="151"/>
      <c r="E797" s="327"/>
      <c r="F797" s="151">
        <f>SUM(C797:E797)</f>
        <v>0</v>
      </c>
    </row>
    <row r="798" spans="1:6" ht="12.75">
      <c r="A798" s="372" t="s">
        <v>336</v>
      </c>
      <c r="B798" s="228" t="s">
        <v>697</v>
      </c>
      <c r="C798" s="327">
        <f>C799+C800+C801+C802+C803+C804+C805</f>
        <v>0</v>
      </c>
      <c r="D798" s="327">
        <f>D799+D800+D801+D802+D803+D804+D805</f>
        <v>0</v>
      </c>
      <c r="E798" s="327">
        <f>E799+E800+E801+E802+E803+E804+E805</f>
        <v>0</v>
      </c>
      <c r="F798" s="151">
        <f>F799+F800+F801+F802+F803+F804+F805</f>
        <v>0</v>
      </c>
    </row>
    <row r="799" spans="1:6" ht="12.75">
      <c r="A799" s="372" t="s">
        <v>337</v>
      </c>
      <c r="B799" s="380" t="s">
        <v>698</v>
      </c>
      <c r="C799" s="327"/>
      <c r="D799" s="151"/>
      <c r="E799" s="327"/>
      <c r="F799" s="151">
        <f>SUM(C799:E799)</f>
        <v>0</v>
      </c>
    </row>
    <row r="800" spans="1:6" ht="12.75">
      <c r="A800" s="372" t="s">
        <v>338</v>
      </c>
      <c r="B800" s="380" t="s">
        <v>699</v>
      </c>
      <c r="C800" s="327"/>
      <c r="D800" s="151"/>
      <c r="E800" s="327"/>
      <c r="F800" s="151">
        <f aca="true" t="shared" si="42" ref="F800:F806">SUM(C800:E800)</f>
        <v>0</v>
      </c>
    </row>
    <row r="801" spans="1:6" ht="12.75">
      <c r="A801" s="372" t="s">
        <v>339</v>
      </c>
      <c r="B801" s="380" t="s">
        <v>700</v>
      </c>
      <c r="C801" s="327"/>
      <c r="D801" s="151"/>
      <c r="E801" s="327"/>
      <c r="F801" s="151">
        <f t="shared" si="42"/>
        <v>0</v>
      </c>
    </row>
    <row r="802" spans="1:6" ht="12.75">
      <c r="A802" s="372" t="s">
        <v>340</v>
      </c>
      <c r="B802" s="380" t="s">
        <v>701</v>
      </c>
      <c r="C802" s="327"/>
      <c r="D802" s="151"/>
      <c r="E802" s="327"/>
      <c r="F802" s="151">
        <f t="shared" si="42"/>
        <v>0</v>
      </c>
    </row>
    <row r="803" spans="1:6" ht="12.75">
      <c r="A803" s="372" t="s">
        <v>341</v>
      </c>
      <c r="B803" s="834" t="s">
        <v>702</v>
      </c>
      <c r="C803" s="327"/>
      <c r="D803" s="151"/>
      <c r="E803" s="327"/>
      <c r="F803" s="151">
        <f t="shared" si="42"/>
        <v>0</v>
      </c>
    </row>
    <row r="804" spans="1:6" ht="12.75">
      <c r="A804" s="372" t="s">
        <v>342</v>
      </c>
      <c r="B804" s="309" t="s">
        <v>703</v>
      </c>
      <c r="C804" s="327"/>
      <c r="D804" s="151"/>
      <c r="E804" s="327"/>
      <c r="F804" s="151">
        <f t="shared" si="42"/>
        <v>0</v>
      </c>
    </row>
    <row r="805" spans="1:6" ht="12.75">
      <c r="A805" s="372" t="s">
        <v>343</v>
      </c>
      <c r="B805" s="1091" t="s">
        <v>704</v>
      </c>
      <c r="C805" s="327"/>
      <c r="D805" s="151"/>
      <c r="E805" s="327"/>
      <c r="F805" s="151">
        <f t="shared" si="42"/>
        <v>0</v>
      </c>
    </row>
    <row r="806" spans="1:6" ht="12.75">
      <c r="A806" s="372" t="s">
        <v>344</v>
      </c>
      <c r="B806" s="228"/>
      <c r="C806" s="327"/>
      <c r="D806" s="151"/>
      <c r="E806" s="327"/>
      <c r="F806" s="151">
        <f t="shared" si="42"/>
        <v>0</v>
      </c>
    </row>
    <row r="807" spans="1:6" ht="13.5" thickBot="1">
      <c r="A807" s="372" t="s">
        <v>345</v>
      </c>
      <c r="B807" s="230"/>
      <c r="C807" s="330">
        <f>-C782</f>
        <v>0</v>
      </c>
      <c r="D807" s="330">
        <f>-D782</f>
        <v>0</v>
      </c>
      <c r="E807" s="330">
        <f>-E782</f>
        <v>0</v>
      </c>
      <c r="F807" s="152">
        <f>-F782</f>
        <v>0</v>
      </c>
    </row>
    <row r="808" spans="1:6" ht="13.5" thickBot="1">
      <c r="A808" s="615" t="s">
        <v>346</v>
      </c>
      <c r="B808" s="616" t="s">
        <v>7</v>
      </c>
      <c r="C808" s="624">
        <f>C796+C797+C798+C806+C807</f>
        <v>0</v>
      </c>
      <c r="D808" s="624">
        <f>D796+D797+D798+D806+D807</f>
        <v>0</v>
      </c>
      <c r="E808" s="624">
        <f>E796+E797+E798+E806+E807</f>
        <v>0</v>
      </c>
      <c r="F808" s="625">
        <f>F796+F797+F798+F806+F807</f>
        <v>0</v>
      </c>
    </row>
    <row r="809" spans="1:6" ht="27" thickBot="1" thickTop="1">
      <c r="A809" s="615" t="s">
        <v>347</v>
      </c>
      <c r="B809" s="620" t="s">
        <v>503</v>
      </c>
      <c r="C809" s="627">
        <f>C793+C808</f>
        <v>49401</v>
      </c>
      <c r="D809" s="627">
        <f>D793+D808</f>
        <v>29737</v>
      </c>
      <c r="E809" s="627">
        <f>E793+E808</f>
        <v>0</v>
      </c>
      <c r="F809" s="628">
        <f>F793+F808</f>
        <v>79138</v>
      </c>
    </row>
    <row r="810" spans="1:6" ht="6.75" customHeight="1" thickTop="1">
      <c r="A810" s="604"/>
      <c r="B810" s="848"/>
      <c r="C810" s="267"/>
      <c r="D810" s="267"/>
      <c r="E810" s="267"/>
      <c r="F810" s="272"/>
    </row>
    <row r="811" spans="1:6" ht="12.75">
      <c r="A811" s="372" t="s">
        <v>348</v>
      </c>
      <c r="B811" s="485" t="s">
        <v>504</v>
      </c>
      <c r="C811" s="626"/>
      <c r="D811" s="154"/>
      <c r="E811" s="329"/>
      <c r="F811" s="206"/>
    </row>
    <row r="812" spans="1:6" ht="12.75">
      <c r="A812" s="371" t="s">
        <v>349</v>
      </c>
      <c r="B812" s="229" t="s">
        <v>726</v>
      </c>
      <c r="C812" s="332"/>
      <c r="D812" s="151"/>
      <c r="E812" s="327"/>
      <c r="F812" s="151">
        <f>SUM(C812:E812)</f>
        <v>0</v>
      </c>
    </row>
    <row r="813" spans="1:6" ht="12.75">
      <c r="A813" s="371" t="s">
        <v>350</v>
      </c>
      <c r="B813" s="697" t="s">
        <v>724</v>
      </c>
      <c r="C813" s="841"/>
      <c r="D813" s="156"/>
      <c r="E813" s="328"/>
      <c r="F813" s="151">
        <f aca="true" t="shared" si="43" ref="F813:F819">SUM(C813:E813)</f>
        <v>0</v>
      </c>
    </row>
    <row r="814" spans="1:6" ht="12.75">
      <c r="A814" s="371" t="s">
        <v>351</v>
      </c>
      <c r="B814" s="697" t="s">
        <v>723</v>
      </c>
      <c r="C814" s="841"/>
      <c r="D814" s="156"/>
      <c r="E814" s="328"/>
      <c r="F814" s="151">
        <f t="shared" si="43"/>
        <v>0</v>
      </c>
    </row>
    <row r="815" spans="1:6" ht="12.75">
      <c r="A815" s="371" t="s">
        <v>352</v>
      </c>
      <c r="B815" s="697" t="s">
        <v>725</v>
      </c>
      <c r="C815" s="841"/>
      <c r="D815" s="156"/>
      <c r="E815" s="328"/>
      <c r="F815" s="151">
        <f t="shared" si="43"/>
        <v>0</v>
      </c>
    </row>
    <row r="816" spans="1:6" ht="12.75">
      <c r="A816" s="371" t="s">
        <v>353</v>
      </c>
      <c r="B816" s="836" t="s">
        <v>727</v>
      </c>
      <c r="C816" s="841"/>
      <c r="D816" s="156"/>
      <c r="E816" s="328"/>
      <c r="F816" s="151">
        <f t="shared" si="43"/>
        <v>0</v>
      </c>
    </row>
    <row r="817" spans="1:6" ht="12.75">
      <c r="A817" s="371" t="s">
        <v>354</v>
      </c>
      <c r="B817" s="837" t="s">
        <v>730</v>
      </c>
      <c r="C817" s="841"/>
      <c r="D817" s="156"/>
      <c r="E817" s="328"/>
      <c r="F817" s="151">
        <f t="shared" si="43"/>
        <v>0</v>
      </c>
    </row>
    <row r="818" spans="1:6" ht="12.75">
      <c r="A818" s="371" t="s">
        <v>355</v>
      </c>
      <c r="B818" s="838" t="s">
        <v>729</v>
      </c>
      <c r="C818" s="841"/>
      <c r="D818" s="156"/>
      <c r="E818" s="328"/>
      <c r="F818" s="151">
        <f t="shared" si="43"/>
        <v>0</v>
      </c>
    </row>
    <row r="819" spans="1:6" ht="13.5" thickBot="1">
      <c r="A819" s="371" t="s">
        <v>356</v>
      </c>
      <c r="B819" s="382" t="s">
        <v>728</v>
      </c>
      <c r="C819" s="841"/>
      <c r="D819" s="156"/>
      <c r="E819" s="328"/>
      <c r="F819" s="151">
        <f t="shared" si="43"/>
        <v>0</v>
      </c>
    </row>
    <row r="820" spans="1:6" ht="13.5" thickBot="1">
      <c r="A820" s="395" t="s">
        <v>357</v>
      </c>
      <c r="B820" s="315" t="s">
        <v>505</v>
      </c>
      <c r="C820" s="842">
        <f>SUM(C812:C819)</f>
        <v>0</v>
      </c>
      <c r="D820" s="842">
        <f>SUM(D812:D819)</f>
        <v>0</v>
      </c>
      <c r="E820" s="842">
        <f>SUM(E812:E819)</f>
        <v>0</v>
      </c>
      <c r="F820" s="948">
        <f>SUM(F812:F819)</f>
        <v>0</v>
      </c>
    </row>
    <row r="821" spans="1:6" ht="12.75">
      <c r="A821" s="604"/>
      <c r="B821" s="44"/>
      <c r="C821" s="854"/>
      <c r="D821" s="856"/>
      <c r="E821" s="816"/>
      <c r="F821" s="693"/>
    </row>
    <row r="822" spans="1:6" ht="13.5" thickBot="1">
      <c r="A822" s="456" t="s">
        <v>358</v>
      </c>
      <c r="B822" s="1379" t="s">
        <v>506</v>
      </c>
      <c r="C822" s="994">
        <f>C809+C820</f>
        <v>49401</v>
      </c>
      <c r="D822" s="995">
        <f>D809+D820</f>
        <v>29737</v>
      </c>
      <c r="E822" s="994">
        <f>E809+E820</f>
        <v>0</v>
      </c>
      <c r="F822" s="994">
        <f>F809+F820</f>
        <v>79138</v>
      </c>
    </row>
    <row r="823" spans="1:6" ht="12.75">
      <c r="A823" s="393"/>
      <c r="B823" s="827"/>
      <c r="C823" s="695"/>
      <c r="D823" s="695"/>
      <c r="E823" s="695"/>
      <c r="F823" s="695"/>
    </row>
    <row r="824" spans="1:6" ht="12.75">
      <c r="A824" s="1675">
        <v>16</v>
      </c>
      <c r="B824" s="1675"/>
      <c r="C824" s="1675"/>
      <c r="D824" s="1675"/>
      <c r="E824" s="1675"/>
      <c r="F824" s="1675"/>
    </row>
    <row r="825" spans="1:5" ht="12.75">
      <c r="A825" s="1654" t="s">
        <v>1456</v>
      </c>
      <c r="B825" s="1654"/>
      <c r="C825" s="1654"/>
      <c r="D825" s="1654"/>
      <c r="E825" s="1654"/>
    </row>
    <row r="826" spans="1:5" ht="12.75">
      <c r="A826" s="384"/>
      <c r="B826" s="384"/>
      <c r="C826" s="384"/>
      <c r="D826" s="384"/>
      <c r="E826" s="384"/>
    </row>
    <row r="827" spans="1:6" ht="14.25">
      <c r="A827" s="1809" t="s">
        <v>1098</v>
      </c>
      <c r="B827" s="1810"/>
      <c r="C827" s="1810"/>
      <c r="D827" s="1810"/>
      <c r="E827" s="1810"/>
      <c r="F827" s="1810"/>
    </row>
    <row r="828" spans="2:5" ht="12" customHeight="1">
      <c r="B828" s="21"/>
      <c r="C828" s="21"/>
      <c r="D828" s="21"/>
      <c r="E828" s="21"/>
    </row>
    <row r="829" spans="2:5" ht="15.75">
      <c r="B829" s="21" t="s">
        <v>507</v>
      </c>
      <c r="C829" s="21"/>
      <c r="D829" s="21"/>
      <c r="E829" s="21"/>
    </row>
    <row r="830" spans="2:5" ht="13.5" thickBot="1">
      <c r="B830" s="1"/>
      <c r="C830" s="1"/>
      <c r="D830" s="1"/>
      <c r="E830" s="22" t="s">
        <v>8</v>
      </c>
    </row>
    <row r="831" spans="1:6" ht="48.75" thickBot="1">
      <c r="A831" s="399" t="s">
        <v>311</v>
      </c>
      <c r="B831" s="610" t="s">
        <v>13</v>
      </c>
      <c r="C831" s="387" t="s">
        <v>540</v>
      </c>
      <c r="D831" s="388" t="s">
        <v>541</v>
      </c>
      <c r="E831" s="387" t="s">
        <v>536</v>
      </c>
      <c r="F831" s="388" t="s">
        <v>535</v>
      </c>
    </row>
    <row r="832" spans="1:6" ht="12.75">
      <c r="A832" s="611" t="s">
        <v>312</v>
      </c>
      <c r="B832" s="612" t="s">
        <v>313</v>
      </c>
      <c r="C832" s="621" t="s">
        <v>314</v>
      </c>
      <c r="D832" s="622" t="s">
        <v>315</v>
      </c>
      <c r="E832" s="796" t="s">
        <v>335</v>
      </c>
      <c r="F832" s="797" t="s">
        <v>360</v>
      </c>
    </row>
    <row r="833" spans="1:6" ht="12.75">
      <c r="A833" s="372" t="s">
        <v>316</v>
      </c>
      <c r="B833" s="379" t="s">
        <v>256</v>
      </c>
      <c r="C833" s="327"/>
      <c r="D833" s="151"/>
      <c r="E833" s="327"/>
      <c r="F833" s="136"/>
    </row>
    <row r="834" spans="1:6" ht="12.75">
      <c r="A834" s="371" t="s">
        <v>317</v>
      </c>
      <c r="B834" s="199" t="s">
        <v>681</v>
      </c>
      <c r="C834" s="327"/>
      <c r="D834" s="151"/>
      <c r="E834" s="327"/>
      <c r="F834" s="151">
        <f>SUM(C834:E834)</f>
        <v>0</v>
      </c>
    </row>
    <row r="835" spans="1:6" ht="12.75">
      <c r="A835" s="371" t="s">
        <v>318</v>
      </c>
      <c r="B835" s="228" t="s">
        <v>683</v>
      </c>
      <c r="C835" s="327"/>
      <c r="D835" s="151"/>
      <c r="E835" s="327"/>
      <c r="F835" s="151">
        <f>SUM(C835:E835)</f>
        <v>0</v>
      </c>
    </row>
    <row r="836" spans="1:6" ht="12.75">
      <c r="A836" s="371" t="s">
        <v>319</v>
      </c>
      <c r="B836" s="228" t="s">
        <v>682</v>
      </c>
      <c r="C836" s="327"/>
      <c r="D836" s="151">
        <f>4260+110</f>
        <v>4370</v>
      </c>
      <c r="E836" s="327"/>
      <c r="F836" s="151">
        <f>SUM(C836:E836)</f>
        <v>4370</v>
      </c>
    </row>
    <row r="837" spans="1:6" ht="12.75">
      <c r="A837" s="371" t="s">
        <v>320</v>
      </c>
      <c r="B837" s="228" t="s">
        <v>684</v>
      </c>
      <c r="C837" s="327"/>
      <c r="D837" s="151"/>
      <c r="E837" s="327"/>
      <c r="F837" s="151">
        <f>SUM(C837:E837)</f>
        <v>0</v>
      </c>
    </row>
    <row r="838" spans="1:6" ht="12.75">
      <c r="A838" s="371" t="s">
        <v>321</v>
      </c>
      <c r="B838" s="228" t="s">
        <v>685</v>
      </c>
      <c r="C838" s="327"/>
      <c r="D838" s="151"/>
      <c r="E838" s="327"/>
      <c r="F838" s="151">
        <f>SUM(C838:E838)</f>
        <v>0</v>
      </c>
    </row>
    <row r="839" spans="1:6" ht="12.75">
      <c r="A839" s="371" t="s">
        <v>322</v>
      </c>
      <c r="B839" s="228" t="s">
        <v>686</v>
      </c>
      <c r="C839" s="327">
        <f>C840+C841+C842+C843+C844+C845+C846</f>
        <v>0</v>
      </c>
      <c r="D839" s="327">
        <f>D840+D841+D842+D843+D844+D845+D846</f>
        <v>0</v>
      </c>
      <c r="E839" s="327">
        <f>E840+E841+E842+E843+E844+E845+E846</f>
        <v>0</v>
      </c>
      <c r="F839" s="151">
        <f>F840+F841+F842+F843+F844+F845+F846</f>
        <v>0</v>
      </c>
    </row>
    <row r="840" spans="1:6" ht="12.75">
      <c r="A840" s="371" t="s">
        <v>323</v>
      </c>
      <c r="B840" s="228" t="s">
        <v>690</v>
      </c>
      <c r="C840" s="327">
        <v>0</v>
      </c>
      <c r="D840" s="151">
        <v>0</v>
      </c>
      <c r="E840" s="327">
        <v>0</v>
      </c>
      <c r="F840" s="151">
        <f>E840+D840+C840</f>
        <v>0</v>
      </c>
    </row>
    <row r="841" spans="1:6" ht="12.75">
      <c r="A841" s="371" t="s">
        <v>324</v>
      </c>
      <c r="B841" s="228" t="s">
        <v>691</v>
      </c>
      <c r="C841" s="327"/>
      <c r="D841" s="151"/>
      <c r="E841" s="327"/>
      <c r="F841" s="151">
        <f aca="true" t="shared" si="44" ref="F841:F847">E841+D841+C841</f>
        <v>0</v>
      </c>
    </row>
    <row r="842" spans="1:6" ht="12.75">
      <c r="A842" s="371" t="s">
        <v>325</v>
      </c>
      <c r="B842" s="228" t="s">
        <v>692</v>
      </c>
      <c r="C842" s="327"/>
      <c r="D842" s="151"/>
      <c r="E842" s="327"/>
      <c r="F842" s="151">
        <f t="shared" si="44"/>
        <v>0</v>
      </c>
    </row>
    <row r="843" spans="1:6" ht="12.75">
      <c r="A843" s="371" t="s">
        <v>326</v>
      </c>
      <c r="B843" s="380" t="s">
        <v>688</v>
      </c>
      <c r="C843" s="262"/>
      <c r="D843" s="155"/>
      <c r="E843" s="327"/>
      <c r="F843" s="151">
        <f t="shared" si="44"/>
        <v>0</v>
      </c>
    </row>
    <row r="844" spans="1:6" ht="12.75">
      <c r="A844" s="371" t="s">
        <v>327</v>
      </c>
      <c r="B844" s="834" t="s">
        <v>689</v>
      </c>
      <c r="C844" s="330"/>
      <c r="D844" s="152"/>
      <c r="E844" s="327"/>
      <c r="F844" s="151">
        <f t="shared" si="44"/>
        <v>0</v>
      </c>
    </row>
    <row r="845" spans="1:6" ht="12.75">
      <c r="A845" s="371" t="s">
        <v>328</v>
      </c>
      <c r="B845" s="835" t="s">
        <v>687</v>
      </c>
      <c r="C845" s="330"/>
      <c r="D845" s="152"/>
      <c r="E845" s="327"/>
      <c r="F845" s="151">
        <f t="shared" si="44"/>
        <v>0</v>
      </c>
    </row>
    <row r="846" spans="1:6" ht="12.75">
      <c r="A846" s="371" t="s">
        <v>329</v>
      </c>
      <c r="B846" s="309" t="s">
        <v>957</v>
      </c>
      <c r="C846" s="330"/>
      <c r="D846" s="152"/>
      <c r="E846" s="327"/>
      <c r="F846" s="156"/>
    </row>
    <row r="847" spans="1:6" ht="13.5" thickBot="1">
      <c r="A847" s="371" t="s">
        <v>330</v>
      </c>
      <c r="B847" s="230" t="s">
        <v>694</v>
      </c>
      <c r="C847" s="328">
        <f>' 8 10 sz. melléklet'!E6+' 8 10 sz. melléklet'!E7+' 8 10 sz. melléklet'!E8+' 8 10 sz. melléklet'!E12++' 8 10 sz. melléklet'!E14+' 8 10 sz. melléklet'!E18+' 8 10 sz. melléklet'!E19</f>
        <v>61170</v>
      </c>
      <c r="D847" s="156">
        <f>' 8 10 sz. melléklet'!E27-'53.mell.'!C847</f>
        <v>62331</v>
      </c>
      <c r="E847" s="327"/>
      <c r="F847" s="325">
        <f t="shared" si="44"/>
        <v>123501</v>
      </c>
    </row>
    <row r="848" spans="1:6" ht="13.5" thickBot="1">
      <c r="A848" s="615" t="s">
        <v>331</v>
      </c>
      <c r="B848" s="616" t="s">
        <v>6</v>
      </c>
      <c r="C848" s="624">
        <f>C834+C835+C836+C837+C839+C847</f>
        <v>61170</v>
      </c>
      <c r="D848" s="624">
        <f>D834+D835+D836+D837+D839+D847</f>
        <v>66701</v>
      </c>
      <c r="E848" s="624">
        <f>E834+E835+E836+E837+E839+E847</f>
        <v>0</v>
      </c>
      <c r="F848" s="625">
        <f>F834+F835+F836+F837+F839+F847</f>
        <v>127871</v>
      </c>
    </row>
    <row r="849" spans="1:6" ht="8.25" customHeight="1" thickTop="1">
      <c r="A849" s="604"/>
      <c r="B849" s="379"/>
      <c r="C849" s="261"/>
      <c r="D849" s="261"/>
      <c r="E849" s="261"/>
      <c r="F849" s="159"/>
    </row>
    <row r="850" spans="1:6" ht="12.75">
      <c r="A850" s="372" t="s">
        <v>332</v>
      </c>
      <c r="B850" s="381" t="s">
        <v>257</v>
      </c>
      <c r="C850" s="329"/>
      <c r="D850" s="154"/>
      <c r="E850" s="329"/>
      <c r="F850" s="206"/>
    </row>
    <row r="851" spans="1:6" ht="12.75">
      <c r="A851" s="372" t="s">
        <v>333</v>
      </c>
      <c r="B851" s="228" t="s">
        <v>695</v>
      </c>
      <c r="C851" s="327"/>
      <c r="D851" s="151"/>
      <c r="E851" s="327"/>
      <c r="F851" s="151">
        <f>SUM(C851:E851)</f>
        <v>0</v>
      </c>
    </row>
    <row r="852" spans="1:6" ht="12.75">
      <c r="A852" s="372" t="s">
        <v>334</v>
      </c>
      <c r="B852" s="228" t="s">
        <v>696</v>
      </c>
      <c r="C852" s="327"/>
      <c r="D852" s="151"/>
      <c r="E852" s="327"/>
      <c r="F852" s="151">
        <f>SUM(C852:E852)</f>
        <v>0</v>
      </c>
    </row>
    <row r="853" spans="1:6" ht="12.75">
      <c r="A853" s="372" t="s">
        <v>336</v>
      </c>
      <c r="B853" s="228" t="s">
        <v>697</v>
      </c>
      <c r="C853" s="327">
        <f>C854+C855+C856+C857+C858+C859+C860</f>
        <v>0</v>
      </c>
      <c r="D853" s="327">
        <f>D854+D855+D856+D857+D858+D859+D860</f>
        <v>0</v>
      </c>
      <c r="E853" s="327">
        <f>E854+E855+E856+E857+E858+E859+E860</f>
        <v>0</v>
      </c>
      <c r="F853" s="151">
        <f>F854+F855+F856+F857+F858+F859+F860</f>
        <v>0</v>
      </c>
    </row>
    <row r="854" spans="1:6" ht="12.75">
      <c r="A854" s="372" t="s">
        <v>337</v>
      </c>
      <c r="B854" s="380" t="s">
        <v>698</v>
      </c>
      <c r="C854" s="327"/>
      <c r="D854" s="151"/>
      <c r="E854" s="327"/>
      <c r="F854" s="151">
        <f>SUM(C854:E854)</f>
        <v>0</v>
      </c>
    </row>
    <row r="855" spans="1:6" ht="12.75">
      <c r="A855" s="372" t="s">
        <v>338</v>
      </c>
      <c r="B855" s="380" t="s">
        <v>699</v>
      </c>
      <c r="C855" s="327"/>
      <c r="D855" s="151"/>
      <c r="E855" s="327"/>
      <c r="F855" s="151">
        <f aca="true" t="shared" si="45" ref="F855:F861">SUM(C855:E855)</f>
        <v>0</v>
      </c>
    </row>
    <row r="856" spans="1:6" ht="12.75">
      <c r="A856" s="372" t="s">
        <v>339</v>
      </c>
      <c r="B856" s="380" t="s">
        <v>700</v>
      </c>
      <c r="C856" s="327"/>
      <c r="D856" s="151"/>
      <c r="E856" s="327"/>
      <c r="F856" s="151">
        <f t="shared" si="45"/>
        <v>0</v>
      </c>
    </row>
    <row r="857" spans="1:6" ht="12.75">
      <c r="A857" s="372" t="s">
        <v>340</v>
      </c>
      <c r="B857" s="380" t="s">
        <v>701</v>
      </c>
      <c r="C857" s="327"/>
      <c r="D857" s="151"/>
      <c r="E857" s="327"/>
      <c r="F857" s="151">
        <f t="shared" si="45"/>
        <v>0</v>
      </c>
    </row>
    <row r="858" spans="1:6" ht="12.75">
      <c r="A858" s="372" t="s">
        <v>341</v>
      </c>
      <c r="B858" s="834" t="s">
        <v>702</v>
      </c>
      <c r="C858" s="327"/>
      <c r="D858" s="151"/>
      <c r="E858" s="327"/>
      <c r="F858" s="151">
        <f t="shared" si="45"/>
        <v>0</v>
      </c>
    </row>
    <row r="859" spans="1:6" ht="12.75">
      <c r="A859" s="372" t="s">
        <v>342</v>
      </c>
      <c r="B859" s="309" t="s">
        <v>703</v>
      </c>
      <c r="C859" s="327"/>
      <c r="D859" s="151"/>
      <c r="E859" s="327"/>
      <c r="F859" s="151">
        <f t="shared" si="45"/>
        <v>0</v>
      </c>
    </row>
    <row r="860" spans="1:6" ht="12.75">
      <c r="A860" s="372" t="s">
        <v>343</v>
      </c>
      <c r="B860" s="1091" t="s">
        <v>704</v>
      </c>
      <c r="C860" s="327"/>
      <c r="D860" s="151"/>
      <c r="E860" s="327"/>
      <c r="F860" s="151">
        <f t="shared" si="45"/>
        <v>0</v>
      </c>
    </row>
    <row r="861" spans="1:6" ht="12.75">
      <c r="A861" s="372" t="s">
        <v>344</v>
      </c>
      <c r="B861" s="228"/>
      <c r="C861" s="327"/>
      <c r="D861" s="151"/>
      <c r="E861" s="327"/>
      <c r="F861" s="151">
        <f t="shared" si="45"/>
        <v>0</v>
      </c>
    </row>
    <row r="862" spans="1:6" ht="13.5" thickBot="1">
      <c r="A862" s="372" t="s">
        <v>345</v>
      </c>
      <c r="B862" s="230"/>
      <c r="C862" s="330">
        <f>-C837</f>
        <v>0</v>
      </c>
      <c r="D862" s="330">
        <f>-D837</f>
        <v>0</v>
      </c>
      <c r="E862" s="330">
        <f>-E837</f>
        <v>0</v>
      </c>
      <c r="F862" s="152">
        <f>-F837</f>
        <v>0</v>
      </c>
    </row>
    <row r="863" spans="1:6" ht="13.5" thickBot="1">
      <c r="A863" s="615" t="s">
        <v>346</v>
      </c>
      <c r="B863" s="616" t="s">
        <v>7</v>
      </c>
      <c r="C863" s="624">
        <f>C851+C852+C853+C861+C862</f>
        <v>0</v>
      </c>
      <c r="D863" s="624">
        <f>D851+D852+D853+D861+D862</f>
        <v>0</v>
      </c>
      <c r="E863" s="624">
        <f>E851+E852+E853+E861+E862</f>
        <v>0</v>
      </c>
      <c r="F863" s="625">
        <f>F851+F852+F853+F861+F862</f>
        <v>0</v>
      </c>
    </row>
    <row r="864" spans="1:6" ht="27" thickBot="1" thickTop="1">
      <c r="A864" s="615" t="s">
        <v>347</v>
      </c>
      <c r="B864" s="620" t="s">
        <v>503</v>
      </c>
      <c r="C864" s="627">
        <f>C848+C863</f>
        <v>61170</v>
      </c>
      <c r="D864" s="627">
        <f>D848+D863</f>
        <v>66701</v>
      </c>
      <c r="E864" s="627">
        <f>E848+E863</f>
        <v>0</v>
      </c>
      <c r="F864" s="628">
        <f>F848+F863</f>
        <v>127871</v>
      </c>
    </row>
    <row r="865" spans="1:6" ht="8.25" customHeight="1" thickTop="1">
      <c r="A865" s="604"/>
      <c r="B865" s="848"/>
      <c r="C865" s="267"/>
      <c r="D865" s="267"/>
      <c r="E865" s="267"/>
      <c r="F865" s="272"/>
    </row>
    <row r="866" spans="1:6" ht="12.75">
      <c r="A866" s="372" t="s">
        <v>348</v>
      </c>
      <c r="B866" s="485" t="s">
        <v>504</v>
      </c>
      <c r="C866" s="626"/>
      <c r="D866" s="154"/>
      <c r="E866" s="329"/>
      <c r="F866" s="206"/>
    </row>
    <row r="867" spans="1:6" ht="12.75">
      <c r="A867" s="371" t="s">
        <v>349</v>
      </c>
      <c r="B867" s="229" t="s">
        <v>726</v>
      </c>
      <c r="C867" s="332"/>
      <c r="D867" s="151"/>
      <c r="E867" s="327"/>
      <c r="F867" s="151">
        <f>SUM(C867:E867)</f>
        <v>0</v>
      </c>
    </row>
    <row r="868" spans="1:6" ht="12.75">
      <c r="A868" s="371" t="s">
        <v>350</v>
      </c>
      <c r="B868" s="697" t="s">
        <v>724</v>
      </c>
      <c r="C868" s="841"/>
      <c r="D868" s="156"/>
      <c r="E868" s="328"/>
      <c r="F868" s="151">
        <f aca="true" t="shared" si="46" ref="F868:F874">SUM(C868:E868)</f>
        <v>0</v>
      </c>
    </row>
    <row r="869" spans="1:6" ht="12.75">
      <c r="A869" s="371" t="s">
        <v>351</v>
      </c>
      <c r="B869" s="697" t="s">
        <v>723</v>
      </c>
      <c r="C869" s="841"/>
      <c r="D869" s="156"/>
      <c r="E869" s="328"/>
      <c r="F869" s="151">
        <f t="shared" si="46"/>
        <v>0</v>
      </c>
    </row>
    <row r="870" spans="1:6" ht="12.75">
      <c r="A870" s="371" t="s">
        <v>352</v>
      </c>
      <c r="B870" s="697" t="s">
        <v>725</v>
      </c>
      <c r="C870" s="841"/>
      <c r="D870" s="156"/>
      <c r="E870" s="328"/>
      <c r="F870" s="151">
        <f t="shared" si="46"/>
        <v>0</v>
      </c>
    </row>
    <row r="871" spans="1:6" ht="12.75">
      <c r="A871" s="371" t="s">
        <v>353</v>
      </c>
      <c r="B871" s="836" t="s">
        <v>727</v>
      </c>
      <c r="C871" s="841"/>
      <c r="D871" s="156"/>
      <c r="E871" s="328"/>
      <c r="F871" s="151">
        <f t="shared" si="46"/>
        <v>0</v>
      </c>
    </row>
    <row r="872" spans="1:6" ht="12.75">
      <c r="A872" s="371" t="s">
        <v>354</v>
      </c>
      <c r="B872" s="837" t="s">
        <v>730</v>
      </c>
      <c r="C872" s="841"/>
      <c r="D872" s="156"/>
      <c r="E872" s="328"/>
      <c r="F872" s="151">
        <f t="shared" si="46"/>
        <v>0</v>
      </c>
    </row>
    <row r="873" spans="1:6" ht="12.75">
      <c r="A873" s="371" t="s">
        <v>355</v>
      </c>
      <c r="B873" s="838" t="s">
        <v>729</v>
      </c>
      <c r="C873" s="841"/>
      <c r="D873" s="156"/>
      <c r="E873" s="328"/>
      <c r="F873" s="151">
        <f t="shared" si="46"/>
        <v>0</v>
      </c>
    </row>
    <row r="874" spans="1:6" ht="13.5" thickBot="1">
      <c r="A874" s="371" t="s">
        <v>356</v>
      </c>
      <c r="B874" s="382" t="s">
        <v>728</v>
      </c>
      <c r="C874" s="841"/>
      <c r="D874" s="156"/>
      <c r="E874" s="328"/>
      <c r="F874" s="151">
        <f t="shared" si="46"/>
        <v>0</v>
      </c>
    </row>
    <row r="875" spans="1:6" ht="13.5" thickBot="1">
      <c r="A875" s="395" t="s">
        <v>357</v>
      </c>
      <c r="B875" s="315" t="s">
        <v>505</v>
      </c>
      <c r="C875" s="842">
        <f>SUM(C867:C874)</f>
        <v>0</v>
      </c>
      <c r="D875" s="842">
        <f>SUM(D867:D874)</f>
        <v>0</v>
      </c>
      <c r="E875" s="842">
        <f>SUM(E867:E874)</f>
        <v>0</v>
      </c>
      <c r="F875" s="948">
        <f>SUM(F867:F874)</f>
        <v>0</v>
      </c>
    </row>
    <row r="876" spans="1:6" ht="12.75">
      <c r="A876" s="604"/>
      <c r="B876" s="44"/>
      <c r="C876" s="854"/>
      <c r="D876" s="856"/>
      <c r="E876" s="816"/>
      <c r="F876" s="693"/>
    </row>
    <row r="877" spans="1:6" ht="13.5" thickBot="1">
      <c r="A877" s="456" t="s">
        <v>358</v>
      </c>
      <c r="B877" s="1379" t="s">
        <v>506</v>
      </c>
      <c r="C877" s="994">
        <f>C864+C875</f>
        <v>61170</v>
      </c>
      <c r="D877" s="995">
        <f>D864+D875</f>
        <v>66701</v>
      </c>
      <c r="E877" s="994">
        <f>E864+E875</f>
        <v>0</v>
      </c>
      <c r="F877" s="994">
        <f>F864+F875</f>
        <v>127871</v>
      </c>
    </row>
    <row r="878" spans="1:6" ht="12.75">
      <c r="A878" s="393"/>
      <c r="B878" s="827"/>
      <c r="C878" s="695"/>
      <c r="D878" s="695"/>
      <c r="E878" s="695"/>
      <c r="F878" s="695"/>
    </row>
    <row r="879" spans="1:6" ht="12.75">
      <c r="A879" s="1675">
        <v>17</v>
      </c>
      <c r="B879" s="1675"/>
      <c r="C879" s="1675"/>
      <c r="D879" s="1675"/>
      <c r="E879" s="1675"/>
      <c r="F879" s="1675"/>
    </row>
    <row r="880" spans="1:5" ht="12.75">
      <c r="A880" s="1654" t="s">
        <v>1456</v>
      </c>
      <c r="B880" s="1654"/>
      <c r="C880" s="1654"/>
      <c r="D880" s="1654"/>
      <c r="E880" s="1654"/>
    </row>
    <row r="881" spans="1:5" ht="12.75">
      <c r="A881" s="384"/>
      <c r="B881" s="384"/>
      <c r="C881" s="384"/>
      <c r="D881" s="384"/>
      <c r="E881" s="384"/>
    </row>
    <row r="882" spans="1:6" ht="14.25">
      <c r="A882" s="1809" t="s">
        <v>1098</v>
      </c>
      <c r="B882" s="1810"/>
      <c r="C882" s="1810"/>
      <c r="D882" s="1810"/>
      <c r="E882" s="1810"/>
      <c r="F882" s="1810"/>
    </row>
    <row r="883" spans="2:5" ht="15.75">
      <c r="B883" s="21"/>
      <c r="C883" s="21"/>
      <c r="D883" s="21"/>
      <c r="E883" s="21"/>
    </row>
    <row r="884" spans="2:5" ht="15.75">
      <c r="B884" s="21" t="s">
        <v>556</v>
      </c>
      <c r="C884" s="21"/>
      <c r="D884" s="21"/>
      <c r="E884" s="21"/>
    </row>
    <row r="885" spans="2:5" ht="13.5" thickBot="1">
      <c r="B885" s="1"/>
      <c r="C885" s="1"/>
      <c r="D885" s="1"/>
      <c r="E885" s="22" t="s">
        <v>8</v>
      </c>
    </row>
    <row r="886" spans="1:6" ht="48.75" thickBot="1">
      <c r="A886" s="399" t="s">
        <v>311</v>
      </c>
      <c r="B886" s="610" t="s">
        <v>13</v>
      </c>
      <c r="C886" s="387" t="s">
        <v>540</v>
      </c>
      <c r="D886" s="388" t="s">
        <v>541</v>
      </c>
      <c r="E886" s="387" t="s">
        <v>536</v>
      </c>
      <c r="F886" s="388" t="s">
        <v>535</v>
      </c>
    </row>
    <row r="887" spans="1:6" ht="12.75">
      <c r="A887" s="611" t="s">
        <v>312</v>
      </c>
      <c r="B887" s="612" t="s">
        <v>313</v>
      </c>
      <c r="C887" s="621" t="s">
        <v>314</v>
      </c>
      <c r="D887" s="622" t="s">
        <v>315</v>
      </c>
      <c r="E887" s="796" t="s">
        <v>335</v>
      </c>
      <c r="F887" s="797" t="s">
        <v>360</v>
      </c>
    </row>
    <row r="888" spans="1:6" ht="12.75">
      <c r="A888" s="372" t="s">
        <v>316</v>
      </c>
      <c r="B888" s="379" t="s">
        <v>256</v>
      </c>
      <c r="C888" s="327"/>
      <c r="D888" s="151"/>
      <c r="E888" s="327"/>
      <c r="F888" s="136"/>
    </row>
    <row r="889" spans="1:6" ht="12.75">
      <c r="A889" s="371" t="s">
        <v>317</v>
      </c>
      <c r="B889" s="199" t="s">
        <v>681</v>
      </c>
      <c r="C889" s="327"/>
      <c r="D889" s="151"/>
      <c r="E889" s="327"/>
      <c r="F889" s="151">
        <f>SUM(C889:E889)</f>
        <v>0</v>
      </c>
    </row>
    <row r="890" spans="1:6" ht="12.75">
      <c r="A890" s="371" t="s">
        <v>318</v>
      </c>
      <c r="B890" s="228" t="s">
        <v>683</v>
      </c>
      <c r="C890" s="327"/>
      <c r="D890" s="151"/>
      <c r="E890" s="327"/>
      <c r="F890" s="151">
        <f>SUM(C890:E890)</f>
        <v>0</v>
      </c>
    </row>
    <row r="891" spans="1:6" ht="12.75">
      <c r="A891" s="371" t="s">
        <v>319</v>
      </c>
      <c r="B891" s="228" t="s">
        <v>682</v>
      </c>
      <c r="C891" s="327"/>
      <c r="D891" s="151">
        <v>2253</v>
      </c>
      <c r="E891" s="327"/>
      <c r="F891" s="151">
        <f>SUM(C891:E891)</f>
        <v>2253</v>
      </c>
    </row>
    <row r="892" spans="1:6" ht="12.75">
      <c r="A892" s="371" t="s">
        <v>320</v>
      </c>
      <c r="B892" s="228" t="s">
        <v>684</v>
      </c>
      <c r="C892" s="327"/>
      <c r="D892" s="151"/>
      <c r="E892" s="327"/>
      <c r="F892" s="151">
        <f>SUM(C892:E892)</f>
        <v>0</v>
      </c>
    </row>
    <row r="893" spans="1:6" ht="12.75">
      <c r="A893" s="371" t="s">
        <v>321</v>
      </c>
      <c r="B893" s="228" t="s">
        <v>685</v>
      </c>
      <c r="C893" s="327"/>
      <c r="D893" s="151"/>
      <c r="E893" s="327"/>
      <c r="F893" s="151">
        <f>SUM(C893:E893)</f>
        <v>0</v>
      </c>
    </row>
    <row r="894" spans="1:6" ht="12.75">
      <c r="A894" s="371" t="s">
        <v>322</v>
      </c>
      <c r="B894" s="228" t="s">
        <v>686</v>
      </c>
      <c r="C894" s="327">
        <f>C895+C896+C897+C898+C899+C900+C901</f>
        <v>0</v>
      </c>
      <c r="D894" s="327">
        <f>D895+D896+D897+D898+D899+D900+D901</f>
        <v>0</v>
      </c>
      <c r="E894" s="327">
        <f>E895+E896+E897+E898+E899+E900+E901</f>
        <v>0</v>
      </c>
      <c r="F894" s="151">
        <f>F895+F896+F897+F898+F899+F900+F901</f>
        <v>0</v>
      </c>
    </row>
    <row r="895" spans="1:6" ht="12.75">
      <c r="A895" s="371" t="s">
        <v>323</v>
      </c>
      <c r="B895" s="228" t="s">
        <v>690</v>
      </c>
      <c r="C895" s="327">
        <v>0</v>
      </c>
      <c r="D895" s="151">
        <v>0</v>
      </c>
      <c r="E895" s="327">
        <v>0</v>
      </c>
      <c r="F895" s="151">
        <f>E895+D895+C895</f>
        <v>0</v>
      </c>
    </row>
    <row r="896" spans="1:6" ht="12.75">
      <c r="A896" s="371" t="s">
        <v>324</v>
      </c>
      <c r="B896" s="228" t="s">
        <v>691</v>
      </c>
      <c r="C896" s="327"/>
      <c r="D896" s="151"/>
      <c r="E896" s="327"/>
      <c r="F896" s="151">
        <f aca="true" t="shared" si="47" ref="F896:F902">E896+D896+C896</f>
        <v>0</v>
      </c>
    </row>
    <row r="897" spans="1:6" ht="12.75">
      <c r="A897" s="371" t="s">
        <v>325</v>
      </c>
      <c r="B897" s="228" t="s">
        <v>692</v>
      </c>
      <c r="C897" s="327"/>
      <c r="D897" s="151"/>
      <c r="E897" s="327"/>
      <c r="F897" s="151">
        <f t="shared" si="47"/>
        <v>0</v>
      </c>
    </row>
    <row r="898" spans="1:6" ht="12.75">
      <c r="A898" s="371" t="s">
        <v>326</v>
      </c>
      <c r="B898" s="380" t="s">
        <v>688</v>
      </c>
      <c r="C898" s="262"/>
      <c r="D898" s="155"/>
      <c r="E898" s="327"/>
      <c r="F898" s="151">
        <f t="shared" si="47"/>
        <v>0</v>
      </c>
    </row>
    <row r="899" spans="1:6" ht="12.75">
      <c r="A899" s="371" t="s">
        <v>327</v>
      </c>
      <c r="B899" s="834" t="s">
        <v>689</v>
      </c>
      <c r="C899" s="330"/>
      <c r="D899" s="152"/>
      <c r="E899" s="327"/>
      <c r="F899" s="151">
        <f t="shared" si="47"/>
        <v>0</v>
      </c>
    </row>
    <row r="900" spans="1:6" ht="12.75">
      <c r="A900" s="371" t="s">
        <v>328</v>
      </c>
      <c r="B900" s="835" t="s">
        <v>687</v>
      </c>
      <c r="C900" s="330"/>
      <c r="D900" s="152"/>
      <c r="E900" s="327"/>
      <c r="F900" s="151">
        <f t="shared" si="47"/>
        <v>0</v>
      </c>
    </row>
    <row r="901" spans="1:6" ht="12.75">
      <c r="A901" s="371" t="s">
        <v>329</v>
      </c>
      <c r="B901" s="309" t="s">
        <v>957</v>
      </c>
      <c r="C901" s="330"/>
      <c r="D901" s="152"/>
      <c r="E901" s="327"/>
      <c r="F901" s="156"/>
    </row>
    <row r="902" spans="1:6" ht="13.5" thickBot="1">
      <c r="A902" s="371" t="s">
        <v>330</v>
      </c>
      <c r="B902" s="230" t="s">
        <v>694</v>
      </c>
      <c r="C902" s="328"/>
      <c r="D902" s="156"/>
      <c r="E902" s="327"/>
      <c r="F902" s="325">
        <f t="shared" si="47"/>
        <v>0</v>
      </c>
    </row>
    <row r="903" spans="1:6" ht="13.5" thickBot="1">
      <c r="A903" s="615" t="s">
        <v>331</v>
      </c>
      <c r="B903" s="616" t="s">
        <v>6</v>
      </c>
      <c r="C903" s="624">
        <f>C889+C890+C891+C892+C894+C902</f>
        <v>0</v>
      </c>
      <c r="D903" s="624">
        <f>D889+D890+D891+D892+D894+D902</f>
        <v>2253</v>
      </c>
      <c r="E903" s="624">
        <f>E889+E890+E891+E892+E894+E902</f>
        <v>0</v>
      </c>
      <c r="F903" s="625">
        <f>F889+F890+F891+F892+F894+F902</f>
        <v>2253</v>
      </c>
    </row>
    <row r="904" spans="1:6" ht="10.5" customHeight="1" thickTop="1">
      <c r="A904" s="604"/>
      <c r="B904" s="379"/>
      <c r="C904" s="261"/>
      <c r="D904" s="261"/>
      <c r="E904" s="261"/>
      <c r="F904" s="159"/>
    </row>
    <row r="905" spans="1:6" ht="12.75">
      <c r="A905" s="372" t="s">
        <v>332</v>
      </c>
      <c r="B905" s="381" t="s">
        <v>257</v>
      </c>
      <c r="C905" s="329"/>
      <c r="D905" s="154"/>
      <c r="E905" s="329"/>
      <c r="F905" s="206"/>
    </row>
    <row r="906" spans="1:6" ht="12.75">
      <c r="A906" s="372" t="s">
        <v>333</v>
      </c>
      <c r="B906" s="228" t="s">
        <v>695</v>
      </c>
      <c r="C906" s="151">
        <f>'33_sz_ melléklet'!C91</f>
        <v>304540</v>
      </c>
      <c r="D906" s="151"/>
      <c r="E906" s="327"/>
      <c r="F906" s="151">
        <f>SUM(C906:E906)</f>
        <v>304540</v>
      </c>
    </row>
    <row r="907" spans="1:6" ht="12.75">
      <c r="A907" s="372" t="s">
        <v>334</v>
      </c>
      <c r="B907" s="228" t="s">
        <v>696</v>
      </c>
      <c r="C907" s="327">
        <f>'32_sz_ melléklet'!C51</f>
        <v>12576</v>
      </c>
      <c r="D907" s="151"/>
      <c r="E907" s="327"/>
      <c r="F907" s="151">
        <f>SUM(C907:E907)</f>
        <v>12576</v>
      </c>
    </row>
    <row r="908" spans="1:6" ht="12.75">
      <c r="A908" s="372" t="s">
        <v>336</v>
      </c>
      <c r="B908" s="228" t="s">
        <v>697</v>
      </c>
      <c r="C908" s="327">
        <f>C909+C910+C911+C912+C913+C914+C915</f>
        <v>60000</v>
      </c>
      <c r="D908" s="327">
        <f>D909+D910+D911+D912+D913+D914+D915</f>
        <v>21123</v>
      </c>
      <c r="E908" s="327">
        <f>E909+E910+E911+E912+E913+E914+E915</f>
        <v>0</v>
      </c>
      <c r="F908" s="151">
        <f>F909+F910+F911+F912+F913+F914+F915</f>
        <v>81123</v>
      </c>
    </row>
    <row r="909" spans="1:6" ht="12.75">
      <c r="A909" s="372" t="s">
        <v>337</v>
      </c>
      <c r="B909" s="380" t="s">
        <v>698</v>
      </c>
      <c r="C909" s="327"/>
      <c r="D909" s="151"/>
      <c r="E909" s="327"/>
      <c r="F909" s="151">
        <f>SUM(C909:E909)</f>
        <v>0</v>
      </c>
    </row>
    <row r="910" spans="1:6" ht="12.75">
      <c r="A910" s="372" t="s">
        <v>338</v>
      </c>
      <c r="B910" s="380" t="s">
        <v>699</v>
      </c>
      <c r="C910" s="327"/>
      <c r="D910" s="151"/>
      <c r="E910" s="327"/>
      <c r="F910" s="151">
        <f aca="true" t="shared" si="48" ref="F910:F916">SUM(C910:E910)</f>
        <v>0</v>
      </c>
    </row>
    <row r="911" spans="1:6" ht="12.75">
      <c r="A911" s="372" t="s">
        <v>339</v>
      </c>
      <c r="B911" s="380" t="s">
        <v>700</v>
      </c>
      <c r="C911" s="327"/>
      <c r="D911" s="151"/>
      <c r="E911" s="327"/>
      <c r="F911" s="151">
        <f t="shared" si="48"/>
        <v>0</v>
      </c>
    </row>
    <row r="912" spans="1:6" ht="12.75">
      <c r="A912" s="372" t="s">
        <v>340</v>
      </c>
      <c r="B912" s="380" t="s">
        <v>701</v>
      </c>
      <c r="C912" s="327">
        <f>' 8 10 sz. melléklet'!E51</f>
        <v>60000</v>
      </c>
      <c r="D912" s="151"/>
      <c r="E912" s="327"/>
      <c r="F912" s="151">
        <f t="shared" si="48"/>
        <v>60000</v>
      </c>
    </row>
    <row r="913" spans="1:6" ht="12.75">
      <c r="A913" s="372" t="s">
        <v>341</v>
      </c>
      <c r="B913" s="834" t="s">
        <v>702</v>
      </c>
      <c r="C913" s="327"/>
      <c r="D913" s="151">
        <f>'11 12 sz_melléklet'!C44</f>
        <v>21123</v>
      </c>
      <c r="E913" s="327"/>
      <c r="F913" s="151">
        <f t="shared" si="48"/>
        <v>21123</v>
      </c>
    </row>
    <row r="914" spans="1:6" ht="12.75">
      <c r="A914" s="372" t="s">
        <v>342</v>
      </c>
      <c r="B914" s="309" t="s">
        <v>703</v>
      </c>
      <c r="C914" s="327"/>
      <c r="D914" s="151"/>
      <c r="E914" s="327"/>
      <c r="F914" s="151">
        <f t="shared" si="48"/>
        <v>0</v>
      </c>
    </row>
    <row r="915" spans="1:6" ht="12.75">
      <c r="A915" s="372" t="s">
        <v>343</v>
      </c>
      <c r="B915" s="1091" t="s">
        <v>704</v>
      </c>
      <c r="C915" s="327"/>
      <c r="D915" s="151"/>
      <c r="E915" s="327"/>
      <c r="F915" s="151">
        <f t="shared" si="48"/>
        <v>0</v>
      </c>
    </row>
    <row r="916" spans="1:6" ht="12.75">
      <c r="A916" s="372" t="s">
        <v>344</v>
      </c>
      <c r="B916" s="228"/>
      <c r="C916" s="327"/>
      <c r="D916" s="151"/>
      <c r="E916" s="327"/>
      <c r="F916" s="151">
        <f t="shared" si="48"/>
        <v>0</v>
      </c>
    </row>
    <row r="917" spans="1:6" ht="13.5" thickBot="1">
      <c r="A917" s="372" t="s">
        <v>345</v>
      </c>
      <c r="B917" s="230"/>
      <c r="C917" s="330">
        <f>-C892</f>
        <v>0</v>
      </c>
      <c r="D917" s="328">
        <f>-D892</f>
        <v>0</v>
      </c>
      <c r="E917" s="328">
        <f>-E892</f>
        <v>0</v>
      </c>
      <c r="F917" s="156">
        <f>-F892</f>
        <v>0</v>
      </c>
    </row>
    <row r="918" spans="1:6" ht="13.5" thickBot="1">
      <c r="A918" s="615" t="s">
        <v>346</v>
      </c>
      <c r="B918" s="616" t="s">
        <v>7</v>
      </c>
      <c r="C918" s="624">
        <f>C906+C907+C908+C916+C917</f>
        <v>377116</v>
      </c>
      <c r="D918" s="624">
        <f>D906+D907+D908+D916+D917</f>
        <v>21123</v>
      </c>
      <c r="E918" s="624">
        <f>E906+E907+E908+E916+E917</f>
        <v>0</v>
      </c>
      <c r="F918" s="625">
        <f>F906+F907+F908+F916+F917</f>
        <v>398239</v>
      </c>
    </row>
    <row r="919" spans="1:6" ht="27" thickBot="1" thickTop="1">
      <c r="A919" s="615" t="s">
        <v>347</v>
      </c>
      <c r="B919" s="620" t="s">
        <v>503</v>
      </c>
      <c r="C919" s="627">
        <f>C903+C918</f>
        <v>377116</v>
      </c>
      <c r="D919" s="627">
        <f>D903+D918</f>
        <v>23376</v>
      </c>
      <c r="E919" s="627">
        <f>E903+E918</f>
        <v>0</v>
      </c>
      <c r="F919" s="628">
        <f>F903+F918</f>
        <v>400492</v>
      </c>
    </row>
    <row r="920" spans="1:6" ht="10.5" customHeight="1" thickTop="1">
      <c r="A920" s="604"/>
      <c r="B920" s="848"/>
      <c r="C920" s="267"/>
      <c r="D920" s="267"/>
      <c r="E920" s="267"/>
      <c r="F920" s="272"/>
    </row>
    <row r="921" spans="1:6" ht="12.75">
      <c r="A921" s="372" t="s">
        <v>348</v>
      </c>
      <c r="B921" s="485" t="s">
        <v>504</v>
      </c>
      <c r="C921" s="626"/>
      <c r="D921" s="154"/>
      <c r="E921" s="329"/>
      <c r="F921" s="206"/>
    </row>
    <row r="922" spans="1:6" ht="12.75">
      <c r="A922" s="371" t="s">
        <v>349</v>
      </c>
      <c r="B922" s="229" t="s">
        <v>726</v>
      </c>
      <c r="C922" s="332"/>
      <c r="D922" s="151"/>
      <c r="E922" s="327"/>
      <c r="F922" s="151">
        <f>SUM(C922:E922)</f>
        <v>0</v>
      </c>
    </row>
    <row r="923" spans="1:6" ht="12.75">
      <c r="A923" s="371" t="s">
        <v>350</v>
      </c>
      <c r="B923" s="697" t="s">
        <v>724</v>
      </c>
      <c r="C923" s="841"/>
      <c r="D923" s="156"/>
      <c r="E923" s="328"/>
      <c r="F923" s="151">
        <f aca="true" t="shared" si="49" ref="F923:F929">SUM(C923:E923)</f>
        <v>0</v>
      </c>
    </row>
    <row r="924" spans="1:6" ht="12.75">
      <c r="A924" s="371" t="s">
        <v>351</v>
      </c>
      <c r="B924" s="697" t="s">
        <v>723</v>
      </c>
      <c r="C924" s="841"/>
      <c r="D924" s="156"/>
      <c r="E924" s="328"/>
      <c r="F924" s="151">
        <f t="shared" si="49"/>
        <v>0</v>
      </c>
    </row>
    <row r="925" spans="1:6" ht="12.75">
      <c r="A925" s="371" t="s">
        <v>352</v>
      </c>
      <c r="B925" s="697" t="s">
        <v>725</v>
      </c>
      <c r="C925" s="841"/>
      <c r="D925" s="156"/>
      <c r="E925" s="328"/>
      <c r="F925" s="151">
        <f t="shared" si="49"/>
        <v>0</v>
      </c>
    </row>
    <row r="926" spans="1:6" ht="12.75">
      <c r="A926" s="371" t="s">
        <v>353</v>
      </c>
      <c r="B926" s="836" t="s">
        <v>727</v>
      </c>
      <c r="C926" s="841"/>
      <c r="D926" s="156"/>
      <c r="E926" s="328"/>
      <c r="F926" s="151">
        <f t="shared" si="49"/>
        <v>0</v>
      </c>
    </row>
    <row r="927" spans="1:6" ht="12.75">
      <c r="A927" s="371" t="s">
        <v>354</v>
      </c>
      <c r="B927" s="837" t="s">
        <v>730</v>
      </c>
      <c r="C927" s="841"/>
      <c r="D927" s="156"/>
      <c r="E927" s="328"/>
      <c r="F927" s="151">
        <f t="shared" si="49"/>
        <v>0</v>
      </c>
    </row>
    <row r="928" spans="1:6" ht="12.75">
      <c r="A928" s="371" t="s">
        <v>355</v>
      </c>
      <c r="B928" s="838" t="s">
        <v>729</v>
      </c>
      <c r="C928" s="841"/>
      <c r="D928" s="156"/>
      <c r="E928" s="328"/>
      <c r="F928" s="151">
        <f t="shared" si="49"/>
        <v>0</v>
      </c>
    </row>
    <row r="929" spans="1:6" ht="13.5" thickBot="1">
      <c r="A929" s="371" t="s">
        <v>356</v>
      </c>
      <c r="B929" s="382" t="s">
        <v>728</v>
      </c>
      <c r="C929" s="841"/>
      <c r="D929" s="156"/>
      <c r="E929" s="328"/>
      <c r="F929" s="151">
        <f t="shared" si="49"/>
        <v>0</v>
      </c>
    </row>
    <row r="930" spans="1:6" ht="13.5" thickBot="1">
      <c r="A930" s="395" t="s">
        <v>357</v>
      </c>
      <c r="B930" s="315" t="s">
        <v>505</v>
      </c>
      <c r="C930" s="842">
        <f>SUM(C922:C929)</f>
        <v>0</v>
      </c>
      <c r="D930" s="842">
        <f>SUM(D922:D929)</f>
        <v>0</v>
      </c>
      <c r="E930" s="842">
        <f>SUM(E922:E929)</f>
        <v>0</v>
      </c>
      <c r="F930" s="948">
        <f>SUM(F922:F929)</f>
        <v>0</v>
      </c>
    </row>
    <row r="931" spans="1:6" ht="12.75">
      <c r="A931" s="604"/>
      <c r="B931" s="44"/>
      <c r="C931" s="854"/>
      <c r="D931" s="856"/>
      <c r="E931" s="816"/>
      <c r="F931" s="693"/>
    </row>
    <row r="932" spans="1:6" ht="13.5" thickBot="1">
      <c r="A932" s="456" t="s">
        <v>358</v>
      </c>
      <c r="B932" s="1379" t="s">
        <v>506</v>
      </c>
      <c r="C932" s="994">
        <f>C919+C930</f>
        <v>377116</v>
      </c>
      <c r="D932" s="995">
        <f>D919+D930</f>
        <v>23376</v>
      </c>
      <c r="E932" s="994">
        <f>E919+E930</f>
        <v>0</v>
      </c>
      <c r="F932" s="994">
        <f>F919+F930</f>
        <v>400492</v>
      </c>
    </row>
    <row r="933" spans="1:6" ht="12.75">
      <c r="A933" s="1675">
        <v>18</v>
      </c>
      <c r="B933" s="1675"/>
      <c r="C933" s="1675"/>
      <c r="D933" s="1675"/>
      <c r="E933" s="1675"/>
      <c r="F933" s="1675"/>
    </row>
    <row r="934" spans="1:5" ht="12.75">
      <c r="A934" s="1654" t="s">
        <v>1456</v>
      </c>
      <c r="B934" s="1654"/>
      <c r="C934" s="1654"/>
      <c r="D934" s="1654"/>
      <c r="E934" s="1654"/>
    </row>
    <row r="935" spans="1:5" ht="12.75">
      <c r="A935" s="384"/>
      <c r="B935" s="384"/>
      <c r="C935" s="384"/>
      <c r="D935" s="384"/>
      <c r="E935" s="384"/>
    </row>
    <row r="936" spans="1:6" ht="14.25">
      <c r="A936" s="1809" t="s">
        <v>1098</v>
      </c>
      <c r="B936" s="1810"/>
      <c r="C936" s="1810"/>
      <c r="D936" s="1810"/>
      <c r="E936" s="1810"/>
      <c r="F936" s="1810"/>
    </row>
    <row r="937" spans="2:5" ht="15.75">
      <c r="B937" s="21"/>
      <c r="C937" s="21"/>
      <c r="D937" s="21"/>
      <c r="E937" s="21"/>
    </row>
    <row r="938" spans="2:5" ht="15.75">
      <c r="B938" s="21" t="s">
        <v>557</v>
      </c>
      <c r="C938" s="21"/>
      <c r="D938" s="21"/>
      <c r="E938" s="21"/>
    </row>
    <row r="939" spans="2:5" ht="13.5" thickBot="1">
      <c r="B939" s="1"/>
      <c r="C939" s="1"/>
      <c r="D939" s="1"/>
      <c r="E939" s="22" t="s">
        <v>8</v>
      </c>
    </row>
    <row r="940" spans="1:6" ht="48.75" thickBot="1">
      <c r="A940" s="399" t="s">
        <v>311</v>
      </c>
      <c r="B940" s="610" t="s">
        <v>13</v>
      </c>
      <c r="C940" s="387" t="s">
        <v>540</v>
      </c>
      <c r="D940" s="388" t="s">
        <v>541</v>
      </c>
      <c r="E940" s="387" t="s">
        <v>536</v>
      </c>
      <c r="F940" s="388" t="s">
        <v>535</v>
      </c>
    </row>
    <row r="941" spans="1:6" ht="12.75">
      <c r="A941" s="611" t="s">
        <v>312</v>
      </c>
      <c r="B941" s="612" t="s">
        <v>313</v>
      </c>
      <c r="C941" s="621" t="s">
        <v>314</v>
      </c>
      <c r="D941" s="622" t="s">
        <v>315</v>
      </c>
      <c r="E941" s="796" t="s">
        <v>335</v>
      </c>
      <c r="F941" s="797" t="s">
        <v>360</v>
      </c>
    </row>
    <row r="942" spans="1:6" ht="12.75">
      <c r="A942" s="372" t="s">
        <v>316</v>
      </c>
      <c r="B942" s="379" t="s">
        <v>256</v>
      </c>
      <c r="C942" s="327"/>
      <c r="D942" s="151"/>
      <c r="E942" s="327"/>
      <c r="F942" s="136"/>
    </row>
    <row r="943" spans="1:6" ht="12.75">
      <c r="A943" s="371" t="s">
        <v>317</v>
      </c>
      <c r="B943" s="199" t="s">
        <v>681</v>
      </c>
      <c r="C943" s="327"/>
      <c r="D943" s="151"/>
      <c r="E943" s="327"/>
      <c r="F943" s="151">
        <f>SUM(C943:E943)</f>
        <v>0</v>
      </c>
    </row>
    <row r="944" spans="1:6" ht="12.75">
      <c r="A944" s="371" t="s">
        <v>318</v>
      </c>
      <c r="B944" s="228" t="s">
        <v>683</v>
      </c>
      <c r="C944" s="327"/>
      <c r="D944" s="151"/>
      <c r="E944" s="327"/>
      <c r="F944" s="151">
        <f>SUM(C944:E944)</f>
        <v>0</v>
      </c>
    </row>
    <row r="945" spans="1:6" ht="12.75">
      <c r="A945" s="371" t="s">
        <v>319</v>
      </c>
      <c r="B945" s="228" t="s">
        <v>682</v>
      </c>
      <c r="C945" s="327"/>
      <c r="D945" s="151"/>
      <c r="E945" s="327"/>
      <c r="F945" s="151">
        <f>SUM(C945:E945)</f>
        <v>0</v>
      </c>
    </row>
    <row r="946" spans="1:6" ht="12.75">
      <c r="A946" s="371" t="s">
        <v>320</v>
      </c>
      <c r="B946" s="228" t="s">
        <v>684</v>
      </c>
      <c r="C946" s="327"/>
      <c r="D946" s="151"/>
      <c r="E946" s="327"/>
      <c r="F946" s="151">
        <f>SUM(C946:E946)</f>
        <v>0</v>
      </c>
    </row>
    <row r="947" spans="1:6" ht="12.75">
      <c r="A947" s="371" t="s">
        <v>321</v>
      </c>
      <c r="B947" s="228" t="s">
        <v>685</v>
      </c>
      <c r="C947" s="327"/>
      <c r="D947" s="151"/>
      <c r="E947" s="327"/>
      <c r="F947" s="151">
        <f>SUM(C947:E947)</f>
        <v>0</v>
      </c>
    </row>
    <row r="948" spans="1:6" ht="12.75">
      <c r="A948" s="371" t="s">
        <v>322</v>
      </c>
      <c r="B948" s="228" t="s">
        <v>686</v>
      </c>
      <c r="C948" s="327">
        <f>C949+C950+C951+C952+C953+C954+C955</f>
        <v>0</v>
      </c>
      <c r="D948" s="327">
        <f>D949+D950+D951+D952+D953+D954+D955</f>
        <v>0</v>
      </c>
      <c r="E948" s="327">
        <f>E949+E950+E951+E952+E953+E954+E955</f>
        <v>0</v>
      </c>
      <c r="F948" s="151">
        <f>F949+F950+F951+F952+F953+F954+F955</f>
        <v>0</v>
      </c>
    </row>
    <row r="949" spans="1:6" ht="12.75">
      <c r="A949" s="371" t="s">
        <v>323</v>
      </c>
      <c r="B949" s="228" t="s">
        <v>690</v>
      </c>
      <c r="C949" s="327">
        <v>0</v>
      </c>
      <c r="D949" s="151">
        <v>0</v>
      </c>
      <c r="E949" s="327">
        <v>0</v>
      </c>
      <c r="F949" s="151">
        <f>E949+D949+C949</f>
        <v>0</v>
      </c>
    </row>
    <row r="950" spans="1:6" ht="12.75">
      <c r="A950" s="371" t="s">
        <v>324</v>
      </c>
      <c r="B950" s="228" t="s">
        <v>691</v>
      </c>
      <c r="C950" s="327"/>
      <c r="D950" s="151"/>
      <c r="E950" s="327"/>
      <c r="F950" s="151">
        <f aca="true" t="shared" si="50" ref="F950:F956">E950+D950+C950</f>
        <v>0</v>
      </c>
    </row>
    <row r="951" spans="1:6" ht="12.75">
      <c r="A951" s="371" t="s">
        <v>325</v>
      </c>
      <c r="B951" s="228" t="s">
        <v>692</v>
      </c>
      <c r="C951" s="327"/>
      <c r="D951" s="151"/>
      <c r="E951" s="327"/>
      <c r="F951" s="151">
        <f t="shared" si="50"/>
        <v>0</v>
      </c>
    </row>
    <row r="952" spans="1:6" ht="12.75">
      <c r="A952" s="371" t="s">
        <v>326</v>
      </c>
      <c r="B952" s="380" t="s">
        <v>688</v>
      </c>
      <c r="C952" s="327"/>
      <c r="D952" s="155"/>
      <c r="E952" s="327"/>
      <c r="F952" s="151">
        <f t="shared" si="50"/>
        <v>0</v>
      </c>
    </row>
    <row r="953" spans="1:6" ht="12.75">
      <c r="A953" s="371" t="s">
        <v>327</v>
      </c>
      <c r="B953" s="834" t="s">
        <v>689</v>
      </c>
      <c r="C953" s="330"/>
      <c r="D953" s="152"/>
      <c r="E953" s="327"/>
      <c r="F953" s="151">
        <f t="shared" si="50"/>
        <v>0</v>
      </c>
    </row>
    <row r="954" spans="1:6" ht="12.75">
      <c r="A954" s="371" t="s">
        <v>328</v>
      </c>
      <c r="B954" s="835" t="s">
        <v>687</v>
      </c>
      <c r="C954" s="330"/>
      <c r="D954" s="152"/>
      <c r="E954" s="327"/>
      <c r="F954" s="151">
        <f t="shared" si="50"/>
        <v>0</v>
      </c>
    </row>
    <row r="955" spans="1:6" ht="12.75">
      <c r="A955" s="371" t="s">
        <v>329</v>
      </c>
      <c r="B955" s="309" t="s">
        <v>957</v>
      </c>
      <c r="C955" s="330"/>
      <c r="D955" s="152"/>
      <c r="E955" s="327"/>
      <c r="F955" s="156"/>
    </row>
    <row r="956" spans="1:6" ht="13.5" thickBot="1">
      <c r="A956" s="371" t="s">
        <v>330</v>
      </c>
      <c r="B956" s="230" t="s">
        <v>694</v>
      </c>
      <c r="C956" s="328"/>
      <c r="D956" s="156"/>
      <c r="E956" s="327"/>
      <c r="F956" s="325">
        <f t="shared" si="50"/>
        <v>0</v>
      </c>
    </row>
    <row r="957" spans="1:6" ht="13.5" thickBot="1">
      <c r="A957" s="615" t="s">
        <v>331</v>
      </c>
      <c r="B957" s="616" t="s">
        <v>6</v>
      </c>
      <c r="C957" s="624">
        <f>C943+C944+C945+C946+C948+C956</f>
        <v>0</v>
      </c>
      <c r="D957" s="624">
        <f>D943+D944+D945+D946+D948+D956</f>
        <v>0</v>
      </c>
      <c r="E957" s="624">
        <f>E943+E944+E945+E946+E948+E956</f>
        <v>0</v>
      </c>
      <c r="F957" s="625">
        <f>F943+F944+F945+F946+F948+F956</f>
        <v>0</v>
      </c>
    </row>
    <row r="958" spans="1:6" ht="7.5" customHeight="1" thickTop="1">
      <c r="A958" s="604"/>
      <c r="B958" s="379"/>
      <c r="C958" s="261"/>
      <c r="D958" s="261"/>
      <c r="E958" s="261"/>
      <c r="F958" s="159"/>
    </row>
    <row r="959" spans="1:6" ht="12.75">
      <c r="A959" s="372" t="s">
        <v>332</v>
      </c>
      <c r="B959" s="381" t="s">
        <v>257</v>
      </c>
      <c r="C959" s="329"/>
      <c r="D959" s="154"/>
      <c r="E959" s="329"/>
      <c r="F959" s="206"/>
    </row>
    <row r="960" spans="1:6" ht="12.75">
      <c r="A960" s="372" t="s">
        <v>333</v>
      </c>
      <c r="B960" s="228" t="s">
        <v>695</v>
      </c>
      <c r="C960" s="327"/>
      <c r="D960" s="151"/>
      <c r="E960" s="327"/>
      <c r="F960" s="151">
        <f>SUM(C960:E960)</f>
        <v>0</v>
      </c>
    </row>
    <row r="961" spans="1:6" ht="12.75">
      <c r="A961" s="372" t="s">
        <v>334</v>
      </c>
      <c r="B961" s="228" t="s">
        <v>696</v>
      </c>
      <c r="C961" s="327"/>
      <c r="D961" s="151"/>
      <c r="E961" s="327"/>
      <c r="F961" s="151">
        <f>SUM(C961:E961)</f>
        <v>0</v>
      </c>
    </row>
    <row r="962" spans="1:6" ht="12.75">
      <c r="A962" s="372" t="s">
        <v>336</v>
      </c>
      <c r="B962" s="228" t="s">
        <v>697</v>
      </c>
      <c r="C962" s="327">
        <f>C963+C964+C965+C966+C967+C968+C969</f>
        <v>1000</v>
      </c>
      <c r="D962" s="327">
        <f>D963+D964+D965+D966+D967+D968+D969</f>
        <v>0</v>
      </c>
      <c r="E962" s="327">
        <f>E963+E964+E965+E966+E967+E968+E969</f>
        <v>0</v>
      </c>
      <c r="F962" s="151">
        <f>F963+F964+F965+F966+F967+F968+F969</f>
        <v>1000</v>
      </c>
    </row>
    <row r="963" spans="1:6" ht="12.75">
      <c r="A963" s="372" t="s">
        <v>337</v>
      </c>
      <c r="B963" s="380" t="s">
        <v>698</v>
      </c>
      <c r="C963" s="327"/>
      <c r="D963" s="151"/>
      <c r="E963" s="327"/>
      <c r="F963" s="151">
        <f>SUM(C963:E963)</f>
        <v>0</v>
      </c>
    </row>
    <row r="964" spans="1:6" ht="12.75">
      <c r="A964" s="372" t="s">
        <v>338</v>
      </c>
      <c r="B964" s="380" t="s">
        <v>699</v>
      </c>
      <c r="C964" s="327"/>
      <c r="D964" s="151"/>
      <c r="E964" s="327"/>
      <c r="F964" s="151">
        <f aca="true" t="shared" si="51" ref="F964:F969">SUM(C964:E964)</f>
        <v>0</v>
      </c>
    </row>
    <row r="965" spans="1:6" ht="12.75">
      <c r="A965" s="372" t="s">
        <v>339</v>
      </c>
      <c r="B965" s="380" t="s">
        <v>700</v>
      </c>
      <c r="C965" s="327"/>
      <c r="D965" s="151"/>
      <c r="E965" s="327"/>
      <c r="F965" s="151">
        <f t="shared" si="51"/>
        <v>0</v>
      </c>
    </row>
    <row r="966" spans="1:6" ht="12.75">
      <c r="A966" s="372" t="s">
        <v>340</v>
      </c>
      <c r="B966" s="380" t="s">
        <v>701</v>
      </c>
      <c r="C966" s="327">
        <f>' 8 10 sz. melléklet'!F49</f>
        <v>1000</v>
      </c>
      <c r="D966" s="151"/>
      <c r="E966" s="327"/>
      <c r="F966" s="151">
        <f t="shared" si="51"/>
        <v>1000</v>
      </c>
    </row>
    <row r="967" spans="1:6" ht="12.75">
      <c r="A967" s="372" t="s">
        <v>341</v>
      </c>
      <c r="B967" s="834" t="s">
        <v>702</v>
      </c>
      <c r="C967" s="327"/>
      <c r="D967" s="151"/>
      <c r="E967" s="327"/>
      <c r="F967" s="151">
        <f t="shared" si="51"/>
        <v>0</v>
      </c>
    </row>
    <row r="968" spans="1:6" ht="12.75">
      <c r="A968" s="372" t="s">
        <v>342</v>
      </c>
      <c r="B968" s="309" t="s">
        <v>703</v>
      </c>
      <c r="C968" s="327"/>
      <c r="D968" s="151"/>
      <c r="E968" s="327"/>
      <c r="F968" s="151">
        <f t="shared" si="51"/>
        <v>0</v>
      </c>
    </row>
    <row r="969" spans="1:6" ht="12.75">
      <c r="A969" s="372" t="s">
        <v>343</v>
      </c>
      <c r="B969" s="1091" t="s">
        <v>704</v>
      </c>
      <c r="C969" s="327"/>
      <c r="D969" s="151"/>
      <c r="E969" s="327"/>
      <c r="F969" s="151">
        <f t="shared" si="51"/>
        <v>0</v>
      </c>
    </row>
    <row r="970" spans="1:6" ht="12.75">
      <c r="A970" s="372" t="s">
        <v>344</v>
      </c>
      <c r="B970" s="228"/>
      <c r="C970" s="327"/>
      <c r="D970" s="151"/>
      <c r="E970" s="327"/>
      <c r="F970" s="151"/>
    </row>
    <row r="971" spans="1:6" ht="13.5" thickBot="1">
      <c r="A971" s="372" t="s">
        <v>345</v>
      </c>
      <c r="B971" s="230"/>
      <c r="C971" s="328"/>
      <c r="D971" s="328"/>
      <c r="E971" s="328"/>
      <c r="F971" s="156"/>
    </row>
    <row r="972" spans="1:6" ht="13.5" thickBot="1">
      <c r="A972" s="615" t="s">
        <v>346</v>
      </c>
      <c r="B972" s="616" t="s">
        <v>7</v>
      </c>
      <c r="C972" s="624">
        <f>C960+C961+C962+C970+C971</f>
        <v>1000</v>
      </c>
      <c r="D972" s="624">
        <f>D960+D961+D962+D970+D971</f>
        <v>0</v>
      </c>
      <c r="E972" s="624">
        <f>E960+E961+E962+E970+E971</f>
        <v>0</v>
      </c>
      <c r="F972" s="625">
        <f>F960+F961+F962+F970+F971</f>
        <v>1000</v>
      </c>
    </row>
    <row r="973" spans="1:6" ht="27" thickBot="1" thickTop="1">
      <c r="A973" s="615" t="s">
        <v>347</v>
      </c>
      <c r="B973" s="620" t="s">
        <v>503</v>
      </c>
      <c r="C973" s="627">
        <f>C957+C972</f>
        <v>1000</v>
      </c>
      <c r="D973" s="627">
        <f>D957+D972</f>
        <v>0</v>
      </c>
      <c r="E973" s="627">
        <f>E957+E972</f>
        <v>0</v>
      </c>
      <c r="F973" s="628">
        <f>F957+F972</f>
        <v>1000</v>
      </c>
    </row>
    <row r="974" spans="1:6" ht="9" customHeight="1" thickTop="1">
      <c r="A974" s="604"/>
      <c r="B974" s="848"/>
      <c r="C974" s="267"/>
      <c r="D974" s="267"/>
      <c r="E974" s="267"/>
      <c r="F974" s="272"/>
    </row>
    <row r="975" spans="1:6" ht="12.75">
      <c r="A975" s="372" t="s">
        <v>348</v>
      </c>
      <c r="B975" s="485" t="s">
        <v>504</v>
      </c>
      <c r="C975" s="626"/>
      <c r="D975" s="154"/>
      <c r="E975" s="329"/>
      <c r="F975" s="206"/>
    </row>
    <row r="976" spans="1:6" ht="12.75">
      <c r="A976" s="371" t="s">
        <v>349</v>
      </c>
      <c r="B976" s="229" t="s">
        <v>726</v>
      </c>
      <c r="C976" s="332"/>
      <c r="D976" s="151"/>
      <c r="E976" s="327"/>
      <c r="F976" s="151">
        <f>SUM(C976:E976)</f>
        <v>0</v>
      </c>
    </row>
    <row r="977" spans="1:6" ht="12.75">
      <c r="A977" s="371" t="s">
        <v>350</v>
      </c>
      <c r="B977" s="697" t="s">
        <v>724</v>
      </c>
      <c r="C977" s="841"/>
      <c r="D977" s="156"/>
      <c r="E977" s="328"/>
      <c r="F977" s="151">
        <f aca="true" t="shared" si="52" ref="F977:F983">SUM(C977:E977)</f>
        <v>0</v>
      </c>
    </row>
    <row r="978" spans="1:6" ht="12.75">
      <c r="A978" s="371" t="s">
        <v>351</v>
      </c>
      <c r="B978" s="697" t="s">
        <v>723</v>
      </c>
      <c r="C978" s="841"/>
      <c r="D978" s="156"/>
      <c r="E978" s="328"/>
      <c r="F978" s="151">
        <f t="shared" si="52"/>
        <v>0</v>
      </c>
    </row>
    <row r="979" spans="1:6" ht="12.75">
      <c r="A979" s="371" t="s">
        <v>352</v>
      </c>
      <c r="B979" s="697" t="s">
        <v>725</v>
      </c>
      <c r="C979" s="841"/>
      <c r="D979" s="156"/>
      <c r="E979" s="328"/>
      <c r="F979" s="151">
        <f t="shared" si="52"/>
        <v>0</v>
      </c>
    </row>
    <row r="980" spans="1:6" ht="12.75">
      <c r="A980" s="371" t="s">
        <v>353</v>
      </c>
      <c r="B980" s="836" t="s">
        <v>727</v>
      </c>
      <c r="C980" s="841"/>
      <c r="D980" s="156"/>
      <c r="E980" s="328"/>
      <c r="F980" s="151">
        <f t="shared" si="52"/>
        <v>0</v>
      </c>
    </row>
    <row r="981" spans="1:6" ht="12.75">
      <c r="A981" s="371" t="s">
        <v>354</v>
      </c>
      <c r="B981" s="837" t="s">
        <v>730</v>
      </c>
      <c r="C981" s="841"/>
      <c r="D981" s="156"/>
      <c r="E981" s="328"/>
      <c r="F981" s="151">
        <f t="shared" si="52"/>
        <v>0</v>
      </c>
    </row>
    <row r="982" spans="1:6" ht="12.75">
      <c r="A982" s="371" t="s">
        <v>355</v>
      </c>
      <c r="B982" s="838" t="s">
        <v>729</v>
      </c>
      <c r="C982" s="841"/>
      <c r="D982" s="156"/>
      <c r="E982" s="328"/>
      <c r="F982" s="151">
        <f t="shared" si="52"/>
        <v>0</v>
      </c>
    </row>
    <row r="983" spans="1:6" ht="13.5" thickBot="1">
      <c r="A983" s="371" t="s">
        <v>356</v>
      </c>
      <c r="B983" s="382" t="s">
        <v>728</v>
      </c>
      <c r="C983" s="841"/>
      <c r="D983" s="156"/>
      <c r="E983" s="328"/>
      <c r="F983" s="151">
        <f t="shared" si="52"/>
        <v>0</v>
      </c>
    </row>
    <row r="984" spans="1:6" ht="13.5" thickBot="1">
      <c r="A984" s="395" t="s">
        <v>357</v>
      </c>
      <c r="B984" s="315" t="s">
        <v>505</v>
      </c>
      <c r="C984" s="842">
        <f>SUM(C976:C983)</f>
        <v>0</v>
      </c>
      <c r="D984" s="842">
        <f>SUM(D976:D983)</f>
        <v>0</v>
      </c>
      <c r="E984" s="842">
        <f>SUM(E976:E983)</f>
        <v>0</v>
      </c>
      <c r="F984" s="948">
        <f>SUM(F976:F983)</f>
        <v>0</v>
      </c>
    </row>
    <row r="985" spans="1:6" ht="12.75">
      <c r="A985" s="604"/>
      <c r="B985" s="44"/>
      <c r="C985" s="854"/>
      <c r="D985" s="856"/>
      <c r="E985" s="816"/>
      <c r="F985" s="693"/>
    </row>
    <row r="986" spans="1:6" ht="13.5" thickBot="1">
      <c r="A986" s="456" t="s">
        <v>358</v>
      </c>
      <c r="B986" s="1379" t="s">
        <v>506</v>
      </c>
      <c r="C986" s="994">
        <f>C973+C984</f>
        <v>1000</v>
      </c>
      <c r="D986" s="995">
        <f>D973+D984</f>
        <v>0</v>
      </c>
      <c r="E986" s="994">
        <f>E973+E984</f>
        <v>0</v>
      </c>
      <c r="F986" s="994">
        <f>F973+F984</f>
        <v>1000</v>
      </c>
    </row>
    <row r="987" spans="1:6" ht="12.75">
      <c r="A987" s="393"/>
      <c r="B987" s="827"/>
      <c r="C987" s="695"/>
      <c r="D987" s="695"/>
      <c r="E987" s="695"/>
      <c r="F987" s="695"/>
    </row>
    <row r="988" spans="1:6" ht="12.75">
      <c r="A988" s="1675">
        <v>19</v>
      </c>
      <c r="B988" s="1675"/>
      <c r="C988" s="1675"/>
      <c r="D988" s="1675"/>
      <c r="E988" s="1675"/>
      <c r="F988" s="1675"/>
    </row>
    <row r="989" spans="1:5" ht="12.75">
      <c r="A989" s="1654" t="s">
        <v>1456</v>
      </c>
      <c r="B989" s="1654"/>
      <c r="C989" s="1654"/>
      <c r="D989" s="1654"/>
      <c r="E989" s="1654"/>
    </row>
    <row r="990" spans="1:5" ht="12.75">
      <c r="A990" s="384"/>
      <c r="B990" s="384"/>
      <c r="C990" s="384"/>
      <c r="D990" s="384"/>
      <c r="E990" s="384"/>
    </row>
    <row r="991" spans="1:6" ht="14.25">
      <c r="A991" s="1809" t="s">
        <v>1098</v>
      </c>
      <c r="B991" s="1810"/>
      <c r="C991" s="1810"/>
      <c r="D991" s="1810"/>
      <c r="E991" s="1810"/>
      <c r="F991" s="1810"/>
    </row>
    <row r="992" spans="2:5" ht="15.75">
      <c r="B992" s="21"/>
      <c r="C992" s="21"/>
      <c r="D992" s="21"/>
      <c r="E992" s="21"/>
    </row>
    <row r="993" spans="1:5" ht="15.75">
      <c r="A993" s="1674" t="s">
        <v>559</v>
      </c>
      <c r="B993" s="1678"/>
      <c r="C993" s="1678"/>
      <c r="D993" s="1678"/>
      <c r="E993" s="21"/>
    </row>
    <row r="994" spans="2:5" ht="13.5" thickBot="1">
      <c r="B994" s="1"/>
      <c r="C994" s="1"/>
      <c r="D994" s="1"/>
      <c r="E994" s="22" t="s">
        <v>8</v>
      </c>
    </row>
    <row r="995" spans="1:6" ht="48.75" thickBot="1">
      <c r="A995" s="399" t="s">
        <v>311</v>
      </c>
      <c r="B995" s="610" t="s">
        <v>13</v>
      </c>
      <c r="C995" s="387" t="s">
        <v>540</v>
      </c>
      <c r="D995" s="388" t="s">
        <v>541</v>
      </c>
      <c r="E995" s="387" t="s">
        <v>536</v>
      </c>
      <c r="F995" s="388" t="s">
        <v>535</v>
      </c>
    </row>
    <row r="996" spans="1:6" ht="12.75">
      <c r="A996" s="611" t="s">
        <v>312</v>
      </c>
      <c r="B996" s="612" t="s">
        <v>313</v>
      </c>
      <c r="C996" s="621" t="s">
        <v>314</v>
      </c>
      <c r="D996" s="622" t="s">
        <v>315</v>
      </c>
      <c r="E996" s="796" t="s">
        <v>335</v>
      </c>
      <c r="F996" s="797" t="s">
        <v>360</v>
      </c>
    </row>
    <row r="997" spans="1:6" ht="12.75">
      <c r="A997" s="372" t="s">
        <v>316</v>
      </c>
      <c r="B997" s="379" t="s">
        <v>256</v>
      </c>
      <c r="C997" s="327"/>
      <c r="D997" s="151"/>
      <c r="E997" s="327"/>
      <c r="F997" s="136"/>
    </row>
    <row r="998" spans="1:6" ht="12.75">
      <c r="A998" s="371" t="s">
        <v>317</v>
      </c>
      <c r="B998" s="199" t="s">
        <v>681</v>
      </c>
      <c r="C998" s="327"/>
      <c r="D998" s="151"/>
      <c r="E998" s="327"/>
      <c r="F998" s="151">
        <f>SUM(C998:E998)</f>
        <v>0</v>
      </c>
    </row>
    <row r="999" spans="1:6" ht="12.75">
      <c r="A999" s="371" t="s">
        <v>318</v>
      </c>
      <c r="B999" s="228" t="s">
        <v>683</v>
      </c>
      <c r="C999" s="327"/>
      <c r="D999" s="151"/>
      <c r="E999" s="327"/>
      <c r="F999" s="151">
        <f>SUM(C999:E999)</f>
        <v>0</v>
      </c>
    </row>
    <row r="1000" spans="1:6" ht="12.75">
      <c r="A1000" s="371" t="s">
        <v>319</v>
      </c>
      <c r="B1000" s="228" t="s">
        <v>682</v>
      </c>
      <c r="C1000" s="327"/>
      <c r="D1000" s="151"/>
      <c r="E1000" s="327"/>
      <c r="F1000" s="151">
        <f>SUM(C1000:E1000)</f>
        <v>0</v>
      </c>
    </row>
    <row r="1001" spans="1:6" ht="12.75">
      <c r="A1001" s="371" t="s">
        <v>320</v>
      </c>
      <c r="B1001" s="228" t="s">
        <v>684</v>
      </c>
      <c r="C1001" s="327"/>
      <c r="D1001" s="151"/>
      <c r="E1001" s="327"/>
      <c r="F1001" s="151">
        <f>SUM(C1001:E1001)</f>
        <v>0</v>
      </c>
    </row>
    <row r="1002" spans="1:6" ht="12.75">
      <c r="A1002" s="371" t="s">
        <v>321</v>
      </c>
      <c r="B1002" s="228" t="s">
        <v>685</v>
      </c>
      <c r="C1002" s="327"/>
      <c r="D1002" s="151"/>
      <c r="E1002" s="327"/>
      <c r="F1002" s="151">
        <f>SUM(C1002:E1002)</f>
        <v>0</v>
      </c>
    </row>
    <row r="1003" spans="1:6" ht="12.75">
      <c r="A1003" s="371" t="s">
        <v>322</v>
      </c>
      <c r="B1003" s="228" t="s">
        <v>686</v>
      </c>
      <c r="C1003" s="327">
        <f>C1004+C1005+C1006+C1007+C1008+C1009+C1010</f>
        <v>1000</v>
      </c>
      <c r="D1003" s="327">
        <f>D1004+D1005+D1006+D1007+D1008+D1009+D1010</f>
        <v>0</v>
      </c>
      <c r="E1003" s="327">
        <f>E1004+E1005+E1006+E1007+E1008+E1009+E1010</f>
        <v>0</v>
      </c>
      <c r="F1003" s="151">
        <f>F1004+F1005+F1006+F1007+F1008+F1009+F1010</f>
        <v>1000</v>
      </c>
    </row>
    <row r="1004" spans="1:6" ht="12.75">
      <c r="A1004" s="371" t="s">
        <v>323</v>
      </c>
      <c r="B1004" s="228" t="s">
        <v>690</v>
      </c>
      <c r="C1004" s="327">
        <v>0</v>
      </c>
      <c r="D1004" s="151">
        <v>0</v>
      </c>
      <c r="E1004" s="327">
        <v>0</v>
      </c>
      <c r="F1004" s="151">
        <f>E1004+D1004+C1004</f>
        <v>0</v>
      </c>
    </row>
    <row r="1005" spans="1:6" ht="12.75">
      <c r="A1005" s="371" t="s">
        <v>324</v>
      </c>
      <c r="B1005" s="228" t="s">
        <v>691</v>
      </c>
      <c r="C1005" s="327"/>
      <c r="D1005" s="151"/>
      <c r="E1005" s="327"/>
      <c r="F1005" s="151">
        <f aca="true" t="shared" si="53" ref="F1005:F1011">E1005+D1005+C1005</f>
        <v>0</v>
      </c>
    </row>
    <row r="1006" spans="1:6" ht="12.75">
      <c r="A1006" s="371" t="s">
        <v>325</v>
      </c>
      <c r="B1006" s="228" t="s">
        <v>692</v>
      </c>
      <c r="C1006" s="327"/>
      <c r="D1006" s="151"/>
      <c r="E1006" s="327"/>
      <c r="F1006" s="151">
        <f t="shared" si="53"/>
        <v>0</v>
      </c>
    </row>
    <row r="1007" spans="1:6" ht="12.75">
      <c r="A1007" s="371" t="s">
        <v>326</v>
      </c>
      <c r="B1007" s="380" t="s">
        <v>688</v>
      </c>
      <c r="C1007" s="327">
        <f>'6 7_sz_melléklet'!E48</f>
        <v>1000</v>
      </c>
      <c r="D1007" s="155"/>
      <c r="E1007" s="327"/>
      <c r="F1007" s="151">
        <f t="shared" si="53"/>
        <v>1000</v>
      </c>
    </row>
    <row r="1008" spans="1:6" ht="12.75">
      <c r="A1008" s="371" t="s">
        <v>327</v>
      </c>
      <c r="B1008" s="834" t="s">
        <v>689</v>
      </c>
      <c r="C1008" s="330"/>
      <c r="D1008" s="152"/>
      <c r="E1008" s="327"/>
      <c r="F1008" s="151">
        <f t="shared" si="53"/>
        <v>0</v>
      </c>
    </row>
    <row r="1009" spans="1:6" ht="12.75">
      <c r="A1009" s="371" t="s">
        <v>328</v>
      </c>
      <c r="B1009" s="835" t="s">
        <v>687</v>
      </c>
      <c r="C1009" s="330"/>
      <c r="D1009" s="152"/>
      <c r="E1009" s="327"/>
      <c r="F1009" s="151">
        <f t="shared" si="53"/>
        <v>0</v>
      </c>
    </row>
    <row r="1010" spans="1:6" ht="12.75">
      <c r="A1010" s="371" t="s">
        <v>329</v>
      </c>
      <c r="B1010" s="309" t="s">
        <v>957</v>
      </c>
      <c r="C1010" s="330"/>
      <c r="D1010" s="152"/>
      <c r="E1010" s="327"/>
      <c r="F1010" s="156"/>
    </row>
    <row r="1011" spans="1:6" ht="13.5" thickBot="1">
      <c r="A1011" s="371" t="s">
        <v>330</v>
      </c>
      <c r="B1011" s="230" t="s">
        <v>694</v>
      </c>
      <c r="C1011" s="328"/>
      <c r="D1011" s="156"/>
      <c r="E1011" s="327"/>
      <c r="F1011" s="325">
        <f t="shared" si="53"/>
        <v>0</v>
      </c>
    </row>
    <row r="1012" spans="1:6" ht="13.5" thickBot="1">
      <c r="A1012" s="615" t="s">
        <v>331</v>
      </c>
      <c r="B1012" s="616" t="s">
        <v>6</v>
      </c>
      <c r="C1012" s="624">
        <f>C998+C999+C1000+C1001+C1003+C1011</f>
        <v>1000</v>
      </c>
      <c r="D1012" s="624">
        <f>D998+D999+D1000+D1001+D1003+D1011</f>
        <v>0</v>
      </c>
      <c r="E1012" s="624">
        <f>E998+E999+E1000+E1001+E1003+E1011</f>
        <v>0</v>
      </c>
      <c r="F1012" s="625">
        <f>F998+F999+F1000+F1001+F1003+F1011</f>
        <v>1000</v>
      </c>
    </row>
    <row r="1013" spans="1:6" ht="9" customHeight="1" thickTop="1">
      <c r="A1013" s="604"/>
      <c r="B1013" s="379"/>
      <c r="C1013" s="261"/>
      <c r="D1013" s="261"/>
      <c r="E1013" s="261"/>
      <c r="F1013" s="159"/>
    </row>
    <row r="1014" spans="1:6" ht="12.75">
      <c r="A1014" s="372" t="s">
        <v>332</v>
      </c>
      <c r="B1014" s="381" t="s">
        <v>257</v>
      </c>
      <c r="C1014" s="329"/>
      <c r="D1014" s="154"/>
      <c r="E1014" s="329"/>
      <c r="F1014" s="206"/>
    </row>
    <row r="1015" spans="1:6" ht="12.75">
      <c r="A1015" s="372" t="s">
        <v>333</v>
      </c>
      <c r="B1015" s="228" t="s">
        <v>695</v>
      </c>
      <c r="C1015" s="327"/>
      <c r="D1015" s="151"/>
      <c r="E1015" s="327"/>
      <c r="F1015" s="151">
        <f>SUM(C1015:E1015)</f>
        <v>0</v>
      </c>
    </row>
    <row r="1016" spans="1:6" ht="12.75">
      <c r="A1016" s="372" t="s">
        <v>334</v>
      </c>
      <c r="B1016" s="228" t="s">
        <v>696</v>
      </c>
      <c r="C1016" s="327"/>
      <c r="D1016" s="151"/>
      <c r="E1016" s="327"/>
      <c r="F1016" s="151">
        <f>SUM(C1016:E1016)</f>
        <v>0</v>
      </c>
    </row>
    <row r="1017" spans="1:6" ht="12.75">
      <c r="A1017" s="372" t="s">
        <v>336</v>
      </c>
      <c r="B1017" s="228" t="s">
        <v>697</v>
      </c>
      <c r="C1017" s="327">
        <f>C1018+C1019+C1020+C1021+C1022+C1023+C1024</f>
        <v>0</v>
      </c>
      <c r="D1017" s="327">
        <f>D1018+D1019+D1020+D1021+D1022+D1023+D1024</f>
        <v>0</v>
      </c>
      <c r="E1017" s="327">
        <f>E1018+E1019+E1020+E1021+E1022+E1023+E1024</f>
        <v>0</v>
      </c>
      <c r="F1017" s="151">
        <f>F1018+F1019+F1020+F1021+F1022+F1023+F1024</f>
        <v>0</v>
      </c>
    </row>
    <row r="1018" spans="1:6" ht="12.75">
      <c r="A1018" s="372" t="s">
        <v>337</v>
      </c>
      <c r="B1018" s="380" t="s">
        <v>698</v>
      </c>
      <c r="C1018" s="327"/>
      <c r="D1018" s="151"/>
      <c r="E1018" s="327"/>
      <c r="F1018" s="151">
        <f>SUM(C1018:E1018)</f>
        <v>0</v>
      </c>
    </row>
    <row r="1019" spans="1:6" ht="12.75">
      <c r="A1019" s="372" t="s">
        <v>338</v>
      </c>
      <c r="B1019" s="380" t="s">
        <v>699</v>
      </c>
      <c r="C1019" s="327"/>
      <c r="D1019" s="151"/>
      <c r="E1019" s="327"/>
      <c r="F1019" s="151">
        <f aca="true" t="shared" si="54" ref="F1019:F1025">SUM(C1019:E1019)</f>
        <v>0</v>
      </c>
    </row>
    <row r="1020" spans="1:6" ht="12.75">
      <c r="A1020" s="372" t="s">
        <v>339</v>
      </c>
      <c r="B1020" s="380" t="s">
        <v>700</v>
      </c>
      <c r="C1020" s="327"/>
      <c r="D1020" s="151"/>
      <c r="E1020" s="327"/>
      <c r="F1020" s="151">
        <f t="shared" si="54"/>
        <v>0</v>
      </c>
    </row>
    <row r="1021" spans="1:6" ht="12.75">
      <c r="A1021" s="372" t="s">
        <v>340</v>
      </c>
      <c r="B1021" s="380" t="s">
        <v>701</v>
      </c>
      <c r="C1021" s="327"/>
      <c r="D1021" s="151"/>
      <c r="E1021" s="327"/>
      <c r="F1021" s="151">
        <f t="shared" si="54"/>
        <v>0</v>
      </c>
    </row>
    <row r="1022" spans="1:6" ht="12.75">
      <c r="A1022" s="372" t="s">
        <v>341</v>
      </c>
      <c r="B1022" s="834" t="s">
        <v>702</v>
      </c>
      <c r="C1022" s="327">
        <v>0</v>
      </c>
      <c r="D1022" s="151"/>
      <c r="E1022" s="327"/>
      <c r="F1022" s="151">
        <f t="shared" si="54"/>
        <v>0</v>
      </c>
    </row>
    <row r="1023" spans="1:6" ht="12.75">
      <c r="A1023" s="372" t="s">
        <v>342</v>
      </c>
      <c r="B1023" s="309" t="s">
        <v>703</v>
      </c>
      <c r="C1023" s="327"/>
      <c r="D1023" s="151"/>
      <c r="E1023" s="327"/>
      <c r="F1023" s="151">
        <f t="shared" si="54"/>
        <v>0</v>
      </c>
    </row>
    <row r="1024" spans="1:6" ht="12.75">
      <c r="A1024" s="372" t="s">
        <v>343</v>
      </c>
      <c r="B1024" s="1091" t="s">
        <v>704</v>
      </c>
      <c r="C1024" s="327"/>
      <c r="D1024" s="151"/>
      <c r="E1024" s="327"/>
      <c r="F1024" s="151">
        <f t="shared" si="54"/>
        <v>0</v>
      </c>
    </row>
    <row r="1025" spans="1:6" ht="12.75">
      <c r="A1025" s="372" t="s">
        <v>344</v>
      </c>
      <c r="B1025" s="228"/>
      <c r="C1025" s="327"/>
      <c r="D1025" s="151"/>
      <c r="E1025" s="327"/>
      <c r="F1025" s="151">
        <f t="shared" si="54"/>
        <v>0</v>
      </c>
    </row>
    <row r="1026" spans="1:6" ht="13.5" thickBot="1">
      <c r="A1026" s="372" t="s">
        <v>345</v>
      </c>
      <c r="B1026" s="230"/>
      <c r="C1026" s="330">
        <f>-C1001</f>
        <v>0</v>
      </c>
      <c r="D1026" s="330">
        <f>-D1001</f>
        <v>0</v>
      </c>
      <c r="E1026" s="330">
        <f>-E1001</f>
        <v>0</v>
      </c>
      <c r="F1026" s="152">
        <f>-F1001</f>
        <v>0</v>
      </c>
    </row>
    <row r="1027" spans="1:6" ht="13.5" thickBot="1">
      <c r="A1027" s="615" t="s">
        <v>346</v>
      </c>
      <c r="B1027" s="616" t="s">
        <v>7</v>
      </c>
      <c r="C1027" s="624">
        <f>C1015+C1016+C1017+C1025+C1026</f>
        <v>0</v>
      </c>
      <c r="D1027" s="624">
        <f>D1015+D1016+D1017+D1025+D1026</f>
        <v>0</v>
      </c>
      <c r="E1027" s="624">
        <f>E1015+E1016+E1017+E1025+E1026</f>
        <v>0</v>
      </c>
      <c r="F1027" s="625">
        <f>F1015+F1016+F1017+F1025+F1026</f>
        <v>0</v>
      </c>
    </row>
    <row r="1028" spans="1:6" ht="27" thickBot="1" thickTop="1">
      <c r="A1028" s="615" t="s">
        <v>347</v>
      </c>
      <c r="B1028" s="620" t="s">
        <v>503</v>
      </c>
      <c r="C1028" s="627">
        <f>C1012+C1027</f>
        <v>1000</v>
      </c>
      <c r="D1028" s="627">
        <f>D1012+D1027</f>
        <v>0</v>
      </c>
      <c r="E1028" s="627">
        <f>E1012+E1027</f>
        <v>0</v>
      </c>
      <c r="F1028" s="628">
        <f>F1012+F1027</f>
        <v>1000</v>
      </c>
    </row>
    <row r="1029" spans="1:6" ht="9" customHeight="1" thickTop="1">
      <c r="A1029" s="604"/>
      <c r="B1029" s="848"/>
      <c r="C1029" s="267"/>
      <c r="D1029" s="267"/>
      <c r="E1029" s="267"/>
      <c r="F1029" s="272"/>
    </row>
    <row r="1030" spans="1:6" ht="12.75">
      <c r="A1030" s="372" t="s">
        <v>348</v>
      </c>
      <c r="B1030" s="485" t="s">
        <v>504</v>
      </c>
      <c r="C1030" s="626"/>
      <c r="D1030" s="154"/>
      <c r="E1030" s="329"/>
      <c r="F1030" s="206"/>
    </row>
    <row r="1031" spans="1:6" ht="12.75">
      <c r="A1031" s="371" t="s">
        <v>349</v>
      </c>
      <c r="B1031" s="229" t="s">
        <v>726</v>
      </c>
      <c r="C1031" s="332"/>
      <c r="D1031" s="151"/>
      <c r="E1031" s="327"/>
      <c r="F1031" s="151">
        <f>SUM(C1031:E1031)</f>
        <v>0</v>
      </c>
    </row>
    <row r="1032" spans="1:6" ht="12.75">
      <c r="A1032" s="371" t="s">
        <v>350</v>
      </c>
      <c r="B1032" s="697" t="s">
        <v>724</v>
      </c>
      <c r="C1032" s="841"/>
      <c r="D1032" s="156"/>
      <c r="E1032" s="328"/>
      <c r="F1032" s="151">
        <f aca="true" t="shared" si="55" ref="F1032:F1038">SUM(C1032:E1032)</f>
        <v>0</v>
      </c>
    </row>
    <row r="1033" spans="1:6" ht="12.75">
      <c r="A1033" s="371" t="s">
        <v>351</v>
      </c>
      <c r="B1033" s="697" t="s">
        <v>723</v>
      </c>
      <c r="C1033" s="841"/>
      <c r="D1033" s="156"/>
      <c r="E1033" s="328"/>
      <c r="F1033" s="151">
        <f t="shared" si="55"/>
        <v>0</v>
      </c>
    </row>
    <row r="1034" spans="1:6" ht="12.75">
      <c r="A1034" s="371" t="s">
        <v>352</v>
      </c>
      <c r="B1034" s="697" t="s">
        <v>725</v>
      </c>
      <c r="C1034" s="841"/>
      <c r="D1034" s="156"/>
      <c r="E1034" s="328"/>
      <c r="F1034" s="151">
        <f t="shared" si="55"/>
        <v>0</v>
      </c>
    </row>
    <row r="1035" spans="1:6" ht="12.75">
      <c r="A1035" s="371" t="s">
        <v>353</v>
      </c>
      <c r="B1035" s="836" t="s">
        <v>727</v>
      </c>
      <c r="C1035" s="841"/>
      <c r="D1035" s="156"/>
      <c r="E1035" s="328"/>
      <c r="F1035" s="151">
        <f t="shared" si="55"/>
        <v>0</v>
      </c>
    </row>
    <row r="1036" spans="1:6" ht="12.75">
      <c r="A1036" s="371" t="s">
        <v>354</v>
      </c>
      <c r="B1036" s="837" t="s">
        <v>730</v>
      </c>
      <c r="C1036" s="841"/>
      <c r="D1036" s="156"/>
      <c r="E1036" s="328"/>
      <c r="F1036" s="151">
        <f t="shared" si="55"/>
        <v>0</v>
      </c>
    </row>
    <row r="1037" spans="1:6" ht="12.75">
      <c r="A1037" s="371" t="s">
        <v>355</v>
      </c>
      <c r="B1037" s="838" t="s">
        <v>729</v>
      </c>
      <c r="C1037" s="841"/>
      <c r="D1037" s="156"/>
      <c r="E1037" s="328"/>
      <c r="F1037" s="151">
        <f t="shared" si="55"/>
        <v>0</v>
      </c>
    </row>
    <row r="1038" spans="1:6" ht="13.5" thickBot="1">
      <c r="A1038" s="371" t="s">
        <v>356</v>
      </c>
      <c r="B1038" s="382" t="s">
        <v>728</v>
      </c>
      <c r="C1038" s="841"/>
      <c r="D1038" s="156"/>
      <c r="E1038" s="328"/>
      <c r="F1038" s="151">
        <f t="shared" si="55"/>
        <v>0</v>
      </c>
    </row>
    <row r="1039" spans="1:6" ht="13.5" thickBot="1">
      <c r="A1039" s="395" t="s">
        <v>357</v>
      </c>
      <c r="B1039" s="315" t="s">
        <v>505</v>
      </c>
      <c r="C1039" s="842">
        <f>SUM(C1031:C1038)</f>
        <v>0</v>
      </c>
      <c r="D1039" s="842">
        <f>SUM(D1031:D1038)</f>
        <v>0</v>
      </c>
      <c r="E1039" s="842">
        <f>SUM(E1031:E1038)</f>
        <v>0</v>
      </c>
      <c r="F1039" s="948">
        <f>SUM(F1031:F1038)</f>
        <v>0</v>
      </c>
    </row>
    <row r="1040" spans="1:6" ht="12.75">
      <c r="A1040" s="604"/>
      <c r="B1040" s="44"/>
      <c r="C1040" s="854"/>
      <c r="D1040" s="856"/>
      <c r="E1040" s="816"/>
      <c r="F1040" s="693"/>
    </row>
    <row r="1041" spans="1:6" ht="13.5" thickBot="1">
      <c r="A1041" s="456" t="s">
        <v>358</v>
      </c>
      <c r="B1041" s="1379" t="s">
        <v>506</v>
      </c>
      <c r="C1041" s="994">
        <f>C1028+C1039</f>
        <v>1000</v>
      </c>
      <c r="D1041" s="995">
        <f>D1028+D1039</f>
        <v>0</v>
      </c>
      <c r="E1041" s="994">
        <f>E1028+E1039</f>
        <v>0</v>
      </c>
      <c r="F1041" s="994">
        <f>F1028+F1039</f>
        <v>1000</v>
      </c>
    </row>
    <row r="1042" spans="1:6" ht="12.75">
      <c r="A1042" s="1675">
        <v>20</v>
      </c>
      <c r="B1042" s="1675"/>
      <c r="C1042" s="1675"/>
      <c r="D1042" s="1675"/>
      <c r="E1042" s="1675"/>
      <c r="F1042" s="1675"/>
    </row>
    <row r="1043" spans="1:5" ht="12.75">
      <c r="A1043" s="1654" t="s">
        <v>1456</v>
      </c>
      <c r="B1043" s="1654"/>
      <c r="C1043" s="1654"/>
      <c r="D1043" s="1654"/>
      <c r="E1043" s="1654"/>
    </row>
    <row r="1044" spans="1:5" ht="12.75">
      <c r="A1044" s="384"/>
      <c r="B1044" s="384"/>
      <c r="C1044" s="384"/>
      <c r="D1044" s="384"/>
      <c r="E1044" s="384"/>
    </row>
    <row r="1045" spans="1:6" ht="14.25">
      <c r="A1045" s="1809" t="s">
        <v>1098</v>
      </c>
      <c r="B1045" s="1810"/>
      <c r="C1045" s="1810"/>
      <c r="D1045" s="1810"/>
      <c r="E1045" s="1810"/>
      <c r="F1045" s="1810"/>
    </row>
    <row r="1046" spans="2:5" ht="11.25" customHeight="1">
      <c r="B1046" s="21"/>
      <c r="C1046" s="21"/>
      <c r="D1046" s="21"/>
      <c r="E1046" s="21"/>
    </row>
    <row r="1047" spans="2:5" ht="15.75">
      <c r="B1047" s="21" t="s">
        <v>560</v>
      </c>
      <c r="C1047" s="21"/>
      <c r="D1047" s="21"/>
      <c r="E1047" s="21"/>
    </row>
    <row r="1048" spans="2:5" ht="13.5" thickBot="1">
      <c r="B1048" s="1"/>
      <c r="C1048" s="1"/>
      <c r="D1048" s="1"/>
      <c r="E1048" s="22" t="s">
        <v>8</v>
      </c>
    </row>
    <row r="1049" spans="1:6" ht="48.75" thickBot="1">
      <c r="A1049" s="399" t="s">
        <v>311</v>
      </c>
      <c r="B1049" s="610" t="s">
        <v>13</v>
      </c>
      <c r="C1049" s="387" t="s">
        <v>540</v>
      </c>
      <c r="D1049" s="388" t="s">
        <v>541</v>
      </c>
      <c r="E1049" s="387" t="s">
        <v>536</v>
      </c>
      <c r="F1049" s="388" t="s">
        <v>535</v>
      </c>
    </row>
    <row r="1050" spans="1:6" ht="12.75">
      <c r="A1050" s="611" t="s">
        <v>312</v>
      </c>
      <c r="B1050" s="612" t="s">
        <v>313</v>
      </c>
      <c r="C1050" s="621" t="s">
        <v>314</v>
      </c>
      <c r="D1050" s="622" t="s">
        <v>315</v>
      </c>
      <c r="E1050" s="796" t="s">
        <v>335</v>
      </c>
      <c r="F1050" s="797" t="s">
        <v>360</v>
      </c>
    </row>
    <row r="1051" spans="1:6" ht="12.75">
      <c r="A1051" s="372" t="s">
        <v>316</v>
      </c>
      <c r="B1051" s="379" t="s">
        <v>256</v>
      </c>
      <c r="C1051" s="327"/>
      <c r="D1051" s="151"/>
      <c r="E1051" s="327"/>
      <c r="F1051" s="136"/>
    </row>
    <row r="1052" spans="1:6" ht="12.75">
      <c r="A1052" s="371" t="s">
        <v>317</v>
      </c>
      <c r="B1052" s="199" t="s">
        <v>681</v>
      </c>
      <c r="C1052" s="327"/>
      <c r="D1052" s="151"/>
      <c r="E1052" s="327"/>
      <c r="F1052" s="151">
        <f>SUM(C1052:E1052)</f>
        <v>0</v>
      </c>
    </row>
    <row r="1053" spans="1:6" ht="12.75">
      <c r="A1053" s="371" t="s">
        <v>318</v>
      </c>
      <c r="B1053" s="228" t="s">
        <v>683</v>
      </c>
      <c r="C1053" s="327"/>
      <c r="D1053" s="151"/>
      <c r="E1053" s="327"/>
      <c r="F1053" s="151">
        <f>SUM(C1053:E1053)</f>
        <v>0</v>
      </c>
    </row>
    <row r="1054" spans="1:6" ht="12.75">
      <c r="A1054" s="371" t="s">
        <v>319</v>
      </c>
      <c r="B1054" s="228" t="s">
        <v>682</v>
      </c>
      <c r="C1054" s="327">
        <v>14883</v>
      </c>
      <c r="D1054" s="151"/>
      <c r="E1054" s="327"/>
      <c r="F1054" s="151">
        <f>SUM(C1054:E1054)</f>
        <v>14883</v>
      </c>
    </row>
    <row r="1055" spans="1:6" ht="12.75">
      <c r="A1055" s="371" t="s">
        <v>320</v>
      </c>
      <c r="B1055" s="228" t="s">
        <v>684</v>
      </c>
      <c r="C1055" s="327"/>
      <c r="D1055" s="151"/>
      <c r="E1055" s="327"/>
      <c r="F1055" s="151">
        <f>SUM(C1055:E1055)</f>
        <v>0</v>
      </c>
    </row>
    <row r="1056" spans="1:6" ht="12.75">
      <c r="A1056" s="371" t="s">
        <v>321</v>
      </c>
      <c r="B1056" s="228" t="s">
        <v>685</v>
      </c>
      <c r="C1056" s="327"/>
      <c r="D1056" s="151"/>
      <c r="E1056" s="327"/>
      <c r="F1056" s="151">
        <f>SUM(C1056:E1056)</f>
        <v>0</v>
      </c>
    </row>
    <row r="1057" spans="1:6" ht="12.75">
      <c r="A1057" s="371" t="s">
        <v>322</v>
      </c>
      <c r="B1057" s="228" t="s">
        <v>686</v>
      </c>
      <c r="C1057" s="327">
        <f>C1058+C1059+C1060+C1061+C1062+C1063+C1064</f>
        <v>293031</v>
      </c>
      <c r="D1057" s="327">
        <f>D1058+D1059+D1060+D1061+D1062+D1063+D1064</f>
        <v>0</v>
      </c>
      <c r="E1057" s="327">
        <f>E1058+E1059+E1060+E1061+E1062+E1063+E1064</f>
        <v>0</v>
      </c>
      <c r="F1057" s="151">
        <f>F1058+F1059+F1060+F1061+F1062+F1063+F1064</f>
        <v>293031</v>
      </c>
    </row>
    <row r="1058" spans="1:6" ht="12.75">
      <c r="A1058" s="371" t="s">
        <v>323</v>
      </c>
      <c r="B1058" s="228" t="s">
        <v>690</v>
      </c>
      <c r="C1058" s="327">
        <v>0</v>
      </c>
      <c r="D1058" s="151">
        <v>0</v>
      </c>
      <c r="E1058" s="327">
        <v>0</v>
      </c>
      <c r="F1058" s="151">
        <f>E1058+D1058+C1058</f>
        <v>0</v>
      </c>
    </row>
    <row r="1059" spans="1:6" ht="12.75">
      <c r="A1059" s="371" t="s">
        <v>324</v>
      </c>
      <c r="B1059" s="228" t="s">
        <v>691</v>
      </c>
      <c r="C1059" s="327"/>
      <c r="D1059" s="151"/>
      <c r="E1059" s="327"/>
      <c r="F1059" s="151">
        <f aca="true" t="shared" si="56" ref="F1059:F1065">E1059+D1059+C1059</f>
        <v>0</v>
      </c>
    </row>
    <row r="1060" spans="1:6" ht="12.75">
      <c r="A1060" s="371" t="s">
        <v>325</v>
      </c>
      <c r="B1060" s="228" t="s">
        <v>692</v>
      </c>
      <c r="C1060" s="327"/>
      <c r="D1060" s="151"/>
      <c r="E1060" s="327"/>
      <c r="F1060" s="151">
        <f t="shared" si="56"/>
        <v>0</v>
      </c>
    </row>
    <row r="1061" spans="1:6" ht="12.75">
      <c r="A1061" s="371" t="s">
        <v>326</v>
      </c>
      <c r="B1061" s="380" t="s">
        <v>688</v>
      </c>
      <c r="C1061" s="327">
        <f>'6 7_sz_melléklet'!E44+'6 7_sz_melléklet'!E42+'6 7_sz_melléklet'!E43+'6 7_sz_melléklet'!E37</f>
        <v>293031</v>
      </c>
      <c r="D1061" s="155"/>
      <c r="E1061" s="327"/>
      <c r="F1061" s="151">
        <f t="shared" si="56"/>
        <v>293031</v>
      </c>
    </row>
    <row r="1062" spans="1:6" ht="12.75">
      <c r="A1062" s="371" t="s">
        <v>327</v>
      </c>
      <c r="B1062" s="834" t="s">
        <v>689</v>
      </c>
      <c r="C1062" s="328"/>
      <c r="D1062" s="156"/>
      <c r="E1062" s="327"/>
      <c r="F1062" s="151">
        <f t="shared" si="56"/>
        <v>0</v>
      </c>
    </row>
    <row r="1063" spans="1:6" ht="12.75">
      <c r="A1063" s="371" t="s">
        <v>328</v>
      </c>
      <c r="B1063" s="835" t="s">
        <v>687</v>
      </c>
      <c r="C1063" s="330"/>
      <c r="D1063" s="152"/>
      <c r="E1063" s="327"/>
      <c r="F1063" s="151">
        <f t="shared" si="56"/>
        <v>0</v>
      </c>
    </row>
    <row r="1064" spans="1:6" ht="12.75">
      <c r="A1064" s="371" t="s">
        <v>329</v>
      </c>
      <c r="B1064" s="309" t="s">
        <v>957</v>
      </c>
      <c r="C1064" s="330"/>
      <c r="D1064" s="152"/>
      <c r="E1064" s="327"/>
      <c r="F1064" s="156"/>
    </row>
    <row r="1065" spans="1:6" ht="13.5" thickBot="1">
      <c r="A1065" s="371" t="s">
        <v>330</v>
      </c>
      <c r="B1065" s="230" t="s">
        <v>694</v>
      </c>
      <c r="C1065" s="328"/>
      <c r="D1065" s="156"/>
      <c r="E1065" s="327"/>
      <c r="F1065" s="325">
        <f t="shared" si="56"/>
        <v>0</v>
      </c>
    </row>
    <row r="1066" spans="1:6" ht="13.5" thickBot="1">
      <c r="A1066" s="615" t="s">
        <v>331</v>
      </c>
      <c r="B1066" s="616" t="s">
        <v>6</v>
      </c>
      <c r="C1066" s="624">
        <f>C1052+C1053+C1054+C1055+C1057+C1065</f>
        <v>307914</v>
      </c>
      <c r="D1066" s="624">
        <f>D1052+D1053+D1054+D1055+D1057+D1065</f>
        <v>0</v>
      </c>
      <c r="E1066" s="624">
        <f>E1052+E1053+E1054+E1055+E1057+E1065</f>
        <v>0</v>
      </c>
      <c r="F1066" s="625">
        <f>F1052+F1053+F1054+F1055+F1057+F1065</f>
        <v>307914</v>
      </c>
    </row>
    <row r="1067" spans="1:6" ht="8.25" customHeight="1" thickTop="1">
      <c r="A1067" s="604"/>
      <c r="B1067" s="379"/>
      <c r="C1067" s="261"/>
      <c r="D1067" s="261"/>
      <c r="E1067" s="261"/>
      <c r="F1067" s="159"/>
    </row>
    <row r="1068" spans="1:6" ht="12.75">
      <c r="A1068" s="372" t="s">
        <v>332</v>
      </c>
      <c r="B1068" s="381" t="s">
        <v>257</v>
      </c>
      <c r="C1068" s="329"/>
      <c r="D1068" s="154"/>
      <c r="E1068" s="329"/>
      <c r="F1068" s="206"/>
    </row>
    <row r="1069" spans="1:6" ht="12.75">
      <c r="A1069" s="372" t="s">
        <v>333</v>
      </c>
      <c r="B1069" s="228" t="s">
        <v>695</v>
      </c>
      <c r="C1069" s="327">
        <f>'33_sz_ melléklet'!C114</f>
        <v>523985</v>
      </c>
      <c r="D1069" s="151"/>
      <c r="E1069" s="327"/>
      <c r="F1069" s="151">
        <f>SUM(C1069:E1069)</f>
        <v>523985</v>
      </c>
    </row>
    <row r="1070" spans="1:6" ht="12.75">
      <c r="A1070" s="372" t="s">
        <v>334</v>
      </c>
      <c r="B1070" s="228" t="s">
        <v>696</v>
      </c>
      <c r="C1070" s="327"/>
      <c r="D1070" s="151"/>
      <c r="E1070" s="327"/>
      <c r="F1070" s="151">
        <f>SUM(C1070:E1070)</f>
        <v>0</v>
      </c>
    </row>
    <row r="1071" spans="1:6" ht="12.75">
      <c r="A1071" s="372" t="s">
        <v>336</v>
      </c>
      <c r="B1071" s="228" t="s">
        <v>697</v>
      </c>
      <c r="C1071" s="327">
        <f>C1072+C1073+C1074+C1075+C1076+C1077+C1078</f>
        <v>74130</v>
      </c>
      <c r="D1071" s="327">
        <f>D1072+D1073+D1074+D1075+D1076+D1077+D1078</f>
        <v>0</v>
      </c>
      <c r="E1071" s="327">
        <f>E1072+E1073+E1074+E1075+E1076+E1077+E1078</f>
        <v>0</v>
      </c>
      <c r="F1071" s="151">
        <f>F1072+F1073+F1074+F1075+F1076+F1077+F1078</f>
        <v>74130</v>
      </c>
    </row>
    <row r="1072" spans="1:6" ht="12.75">
      <c r="A1072" s="372" t="s">
        <v>337</v>
      </c>
      <c r="B1072" s="380" t="s">
        <v>698</v>
      </c>
      <c r="C1072" s="327"/>
      <c r="D1072" s="151"/>
      <c r="E1072" s="327"/>
      <c r="F1072" s="151">
        <f>SUM(C1072:E1072)</f>
        <v>0</v>
      </c>
    </row>
    <row r="1073" spans="1:6" ht="12.75">
      <c r="A1073" s="372" t="s">
        <v>338</v>
      </c>
      <c r="B1073" s="380" t="s">
        <v>699</v>
      </c>
      <c r="C1073" s="327"/>
      <c r="D1073" s="151"/>
      <c r="E1073" s="327"/>
      <c r="F1073" s="151">
        <f aca="true" t="shared" si="57" ref="F1073:F1079">SUM(C1073:E1073)</f>
        <v>0</v>
      </c>
    </row>
    <row r="1074" spans="1:6" ht="12.75">
      <c r="A1074" s="372" t="s">
        <v>339</v>
      </c>
      <c r="B1074" s="380" t="s">
        <v>700</v>
      </c>
      <c r="C1074" s="327"/>
      <c r="D1074" s="151"/>
      <c r="E1074" s="327"/>
      <c r="F1074" s="151">
        <f t="shared" si="57"/>
        <v>0</v>
      </c>
    </row>
    <row r="1075" spans="1:6" ht="12.75">
      <c r="A1075" s="372" t="s">
        <v>340</v>
      </c>
      <c r="B1075" s="380" t="s">
        <v>701</v>
      </c>
      <c r="C1075" s="327">
        <v>74130</v>
      </c>
      <c r="D1075" s="151"/>
      <c r="E1075" s="327"/>
      <c r="F1075" s="151">
        <f t="shared" si="57"/>
        <v>74130</v>
      </c>
    </row>
    <row r="1076" spans="1:6" ht="12.75">
      <c r="A1076" s="372" t="s">
        <v>341</v>
      </c>
      <c r="B1076" s="834" t="s">
        <v>702</v>
      </c>
      <c r="C1076" s="327"/>
      <c r="D1076" s="151"/>
      <c r="E1076" s="327"/>
      <c r="F1076" s="151">
        <f t="shared" si="57"/>
        <v>0</v>
      </c>
    </row>
    <row r="1077" spans="1:6" ht="12.75">
      <c r="A1077" s="372" t="s">
        <v>342</v>
      </c>
      <c r="B1077" s="309" t="s">
        <v>703</v>
      </c>
      <c r="C1077" s="327"/>
      <c r="D1077" s="151"/>
      <c r="E1077" s="327"/>
      <c r="F1077" s="151">
        <f t="shared" si="57"/>
        <v>0</v>
      </c>
    </row>
    <row r="1078" spans="1:6" ht="12.75">
      <c r="A1078" s="372" t="s">
        <v>343</v>
      </c>
      <c r="B1078" s="1091" t="s">
        <v>704</v>
      </c>
      <c r="C1078" s="327"/>
      <c r="D1078" s="151"/>
      <c r="E1078" s="327"/>
      <c r="F1078" s="151">
        <f t="shared" si="57"/>
        <v>0</v>
      </c>
    </row>
    <row r="1079" spans="1:6" ht="12.75">
      <c r="A1079" s="372" t="s">
        <v>344</v>
      </c>
      <c r="B1079" s="228"/>
      <c r="C1079" s="327"/>
      <c r="D1079" s="151"/>
      <c r="E1079" s="327"/>
      <c r="F1079" s="151">
        <f t="shared" si="57"/>
        <v>0</v>
      </c>
    </row>
    <row r="1080" spans="1:6" ht="13.5" thickBot="1">
      <c r="A1080" s="372" t="s">
        <v>345</v>
      </c>
      <c r="B1080" s="230"/>
      <c r="C1080" s="330">
        <f>-C1055</f>
        <v>0</v>
      </c>
      <c r="D1080" s="330">
        <f>-D1055</f>
        <v>0</v>
      </c>
      <c r="E1080" s="330">
        <f>-E1055</f>
        <v>0</v>
      </c>
      <c r="F1080" s="152">
        <f>-F1055</f>
        <v>0</v>
      </c>
    </row>
    <row r="1081" spans="1:6" ht="13.5" thickBot="1">
      <c r="A1081" s="615" t="s">
        <v>346</v>
      </c>
      <c r="B1081" s="616" t="s">
        <v>7</v>
      </c>
      <c r="C1081" s="624">
        <f>C1069+C1070+C1071+C1079+C1080</f>
        <v>598115</v>
      </c>
      <c r="D1081" s="624">
        <f>D1069+D1070+D1071+D1079+D1080</f>
        <v>0</v>
      </c>
      <c r="E1081" s="624">
        <f>E1069+E1070+E1071+E1079+E1080</f>
        <v>0</v>
      </c>
      <c r="F1081" s="625">
        <f>F1069+F1070+F1071+F1079+F1080</f>
        <v>598115</v>
      </c>
    </row>
    <row r="1082" spans="1:6" ht="27" thickBot="1" thickTop="1">
      <c r="A1082" s="615" t="s">
        <v>347</v>
      </c>
      <c r="B1082" s="620" t="s">
        <v>503</v>
      </c>
      <c r="C1082" s="627">
        <f>C1066+C1081</f>
        <v>906029</v>
      </c>
      <c r="D1082" s="627">
        <f>D1066+D1081</f>
        <v>0</v>
      </c>
      <c r="E1082" s="627">
        <f>E1066+E1081</f>
        <v>0</v>
      </c>
      <c r="F1082" s="628">
        <f>F1066+F1081</f>
        <v>906029</v>
      </c>
    </row>
    <row r="1083" spans="1:6" ht="9" customHeight="1" thickTop="1">
      <c r="A1083" s="604"/>
      <c r="B1083" s="848"/>
      <c r="C1083" s="267"/>
      <c r="D1083" s="267"/>
      <c r="E1083" s="267"/>
      <c r="F1083" s="272"/>
    </row>
    <row r="1084" spans="1:6" ht="12.75">
      <c r="A1084" s="372" t="s">
        <v>348</v>
      </c>
      <c r="B1084" s="485" t="s">
        <v>504</v>
      </c>
      <c r="C1084" s="626"/>
      <c r="D1084" s="154"/>
      <c r="E1084" s="329"/>
      <c r="F1084" s="206"/>
    </row>
    <row r="1085" spans="1:6" ht="12.75">
      <c r="A1085" s="371" t="s">
        <v>349</v>
      </c>
      <c r="B1085" s="229" t="s">
        <v>726</v>
      </c>
      <c r="C1085" s="332"/>
      <c r="D1085" s="151"/>
      <c r="E1085" s="327"/>
      <c r="F1085" s="151">
        <f>SUM(C1085:E1085)</f>
        <v>0</v>
      </c>
    </row>
    <row r="1086" spans="1:6" ht="12.75">
      <c r="A1086" s="371" t="s">
        <v>350</v>
      </c>
      <c r="B1086" s="697" t="s">
        <v>724</v>
      </c>
      <c r="C1086" s="841"/>
      <c r="D1086" s="156"/>
      <c r="E1086" s="328"/>
      <c r="F1086" s="151">
        <f aca="true" t="shared" si="58" ref="F1086:F1092">SUM(C1086:E1086)</f>
        <v>0</v>
      </c>
    </row>
    <row r="1087" spans="1:6" ht="12.75">
      <c r="A1087" s="371" t="s">
        <v>351</v>
      </c>
      <c r="B1087" s="697" t="s">
        <v>723</v>
      </c>
      <c r="C1087" s="841"/>
      <c r="D1087" s="156"/>
      <c r="E1087" s="328"/>
      <c r="F1087" s="151">
        <f t="shared" si="58"/>
        <v>0</v>
      </c>
    </row>
    <row r="1088" spans="1:6" ht="12.75">
      <c r="A1088" s="371" t="s">
        <v>352</v>
      </c>
      <c r="B1088" s="697" t="s">
        <v>725</v>
      </c>
      <c r="C1088" s="841"/>
      <c r="D1088" s="156"/>
      <c r="E1088" s="328"/>
      <c r="F1088" s="151">
        <f t="shared" si="58"/>
        <v>0</v>
      </c>
    </row>
    <row r="1089" spans="1:6" ht="12.75">
      <c r="A1089" s="371" t="s">
        <v>353</v>
      </c>
      <c r="B1089" s="836" t="s">
        <v>727</v>
      </c>
      <c r="C1089" s="841"/>
      <c r="D1089" s="156"/>
      <c r="E1089" s="328"/>
      <c r="F1089" s="151">
        <f t="shared" si="58"/>
        <v>0</v>
      </c>
    </row>
    <row r="1090" spans="1:6" ht="12.75">
      <c r="A1090" s="371" t="s">
        <v>354</v>
      </c>
      <c r="B1090" s="837" t="s">
        <v>730</v>
      </c>
      <c r="C1090" s="841"/>
      <c r="D1090" s="156"/>
      <c r="E1090" s="328"/>
      <c r="F1090" s="151">
        <f t="shared" si="58"/>
        <v>0</v>
      </c>
    </row>
    <row r="1091" spans="1:6" ht="12.75">
      <c r="A1091" s="371" t="s">
        <v>355</v>
      </c>
      <c r="B1091" s="838" t="s">
        <v>729</v>
      </c>
      <c r="C1091" s="841"/>
      <c r="D1091" s="156"/>
      <c r="E1091" s="328"/>
      <c r="F1091" s="151">
        <f t="shared" si="58"/>
        <v>0</v>
      </c>
    </row>
    <row r="1092" spans="1:6" ht="13.5" thickBot="1">
      <c r="A1092" s="371" t="s">
        <v>356</v>
      </c>
      <c r="B1092" s="382" t="s">
        <v>728</v>
      </c>
      <c r="C1092" s="841"/>
      <c r="D1092" s="156"/>
      <c r="E1092" s="328"/>
      <c r="F1092" s="151">
        <f t="shared" si="58"/>
        <v>0</v>
      </c>
    </row>
    <row r="1093" spans="1:6" ht="13.5" thickBot="1">
      <c r="A1093" s="395" t="s">
        <v>357</v>
      </c>
      <c r="B1093" s="315" t="s">
        <v>505</v>
      </c>
      <c r="C1093" s="842">
        <f>SUM(C1085:C1092)</f>
        <v>0</v>
      </c>
      <c r="D1093" s="842">
        <f>SUM(D1085:D1092)</f>
        <v>0</v>
      </c>
      <c r="E1093" s="842">
        <f>SUM(E1085:E1092)</f>
        <v>0</v>
      </c>
      <c r="F1093" s="948">
        <f>SUM(F1085:F1092)</f>
        <v>0</v>
      </c>
    </row>
    <row r="1094" spans="1:6" ht="12.75">
      <c r="A1094" s="604"/>
      <c r="B1094" s="44"/>
      <c r="C1094" s="854"/>
      <c r="D1094" s="856"/>
      <c r="E1094" s="816"/>
      <c r="F1094" s="693"/>
    </row>
    <row r="1095" spans="1:6" ht="13.5" thickBot="1">
      <c r="A1095" s="456" t="s">
        <v>358</v>
      </c>
      <c r="B1095" s="1379" t="s">
        <v>506</v>
      </c>
      <c r="C1095" s="994">
        <f>C1082+C1093</f>
        <v>906029</v>
      </c>
      <c r="D1095" s="995">
        <f>D1082+D1093</f>
        <v>0</v>
      </c>
      <c r="E1095" s="994">
        <f>E1082+E1093</f>
        <v>0</v>
      </c>
      <c r="F1095" s="994">
        <f>F1082+F1093</f>
        <v>906029</v>
      </c>
    </row>
    <row r="1096" spans="1:6" ht="12.75">
      <c r="A1096" s="393"/>
      <c r="B1096" s="827"/>
      <c r="C1096" s="695"/>
      <c r="D1096" s="695"/>
      <c r="E1096" s="695"/>
      <c r="F1096" s="695"/>
    </row>
    <row r="1097" spans="1:6" ht="12.75">
      <c r="A1097" s="1675">
        <v>21</v>
      </c>
      <c r="B1097" s="1675"/>
      <c r="C1097" s="1675"/>
      <c r="D1097" s="1675"/>
      <c r="E1097" s="1675"/>
      <c r="F1097" s="1675"/>
    </row>
    <row r="1098" spans="1:5" ht="12.75">
      <c r="A1098" s="1654" t="s">
        <v>1456</v>
      </c>
      <c r="B1098" s="1654"/>
      <c r="C1098" s="1654"/>
      <c r="D1098" s="1654"/>
      <c r="E1098" s="1654"/>
    </row>
    <row r="1099" spans="1:5" ht="12.75">
      <c r="A1099" s="384"/>
      <c r="B1099" s="384"/>
      <c r="C1099" s="384"/>
      <c r="D1099" s="384"/>
      <c r="E1099" s="384"/>
    </row>
    <row r="1100" spans="1:6" ht="14.25">
      <c r="A1100" s="1809" t="s">
        <v>1098</v>
      </c>
      <c r="B1100" s="1810"/>
      <c r="C1100" s="1810"/>
      <c r="D1100" s="1810"/>
      <c r="E1100" s="1810"/>
      <c r="F1100" s="1810"/>
    </row>
    <row r="1101" spans="2:5" ht="10.5" customHeight="1">
      <c r="B1101" s="21"/>
      <c r="C1101" s="21"/>
      <c r="D1101" s="21"/>
      <c r="E1101" s="21"/>
    </row>
    <row r="1102" spans="2:5" ht="15.75">
      <c r="B1102" s="21" t="s">
        <v>450</v>
      </c>
      <c r="C1102" s="21"/>
      <c r="D1102" s="21"/>
      <c r="E1102" s="21"/>
    </row>
    <row r="1103" spans="2:5" ht="13.5" thickBot="1">
      <c r="B1103" s="1"/>
      <c r="C1103" s="1"/>
      <c r="D1103" s="1"/>
      <c r="E1103" s="22" t="s">
        <v>8</v>
      </c>
    </row>
    <row r="1104" spans="1:6" ht="48.75" thickBot="1">
      <c r="A1104" s="399" t="s">
        <v>311</v>
      </c>
      <c r="B1104" s="610" t="s">
        <v>13</v>
      </c>
      <c r="C1104" s="387" t="s">
        <v>540</v>
      </c>
      <c r="D1104" s="388" t="s">
        <v>541</v>
      </c>
      <c r="E1104" s="387" t="s">
        <v>536</v>
      </c>
      <c r="F1104" s="388" t="s">
        <v>535</v>
      </c>
    </row>
    <row r="1105" spans="1:6" ht="12.75">
      <c r="A1105" s="611" t="s">
        <v>312</v>
      </c>
      <c r="B1105" s="612" t="s">
        <v>313</v>
      </c>
      <c r="C1105" s="621" t="s">
        <v>314</v>
      </c>
      <c r="D1105" s="622" t="s">
        <v>315</v>
      </c>
      <c r="E1105" s="796" t="s">
        <v>335</v>
      </c>
      <c r="F1105" s="797" t="s">
        <v>360</v>
      </c>
    </row>
    <row r="1106" spans="1:6" ht="12.75">
      <c r="A1106" s="372" t="s">
        <v>316</v>
      </c>
      <c r="B1106" s="379" t="s">
        <v>256</v>
      </c>
      <c r="C1106" s="327"/>
      <c r="D1106" s="151"/>
      <c r="E1106" s="327"/>
      <c r="F1106" s="136"/>
    </row>
    <row r="1107" spans="1:6" ht="12.75">
      <c r="A1107" s="371" t="s">
        <v>317</v>
      </c>
      <c r="B1107" s="199" t="s">
        <v>681</v>
      </c>
      <c r="C1107" s="327"/>
      <c r="D1107" s="151"/>
      <c r="E1107" s="327"/>
      <c r="F1107" s="151">
        <f>SUM(C1107:E1107)</f>
        <v>0</v>
      </c>
    </row>
    <row r="1108" spans="1:6" ht="12.75">
      <c r="A1108" s="371" t="s">
        <v>318</v>
      </c>
      <c r="B1108" s="228" t="s">
        <v>683</v>
      </c>
      <c r="C1108" s="327"/>
      <c r="D1108" s="151"/>
      <c r="E1108" s="327"/>
      <c r="F1108" s="151">
        <f>SUM(C1108:E1108)</f>
        <v>0</v>
      </c>
    </row>
    <row r="1109" spans="1:6" ht="12.75">
      <c r="A1109" s="371" t="s">
        <v>319</v>
      </c>
      <c r="B1109" s="228" t="s">
        <v>682</v>
      </c>
      <c r="C1109" s="327">
        <v>153</v>
      </c>
      <c r="D1109" s="151"/>
      <c r="E1109" s="327"/>
      <c r="F1109" s="151">
        <f>SUM(C1109:E1109)</f>
        <v>153</v>
      </c>
    </row>
    <row r="1110" spans="1:6" ht="12.75">
      <c r="A1110" s="371" t="s">
        <v>320</v>
      </c>
      <c r="B1110" s="228" t="s">
        <v>684</v>
      </c>
      <c r="C1110" s="327"/>
      <c r="D1110" s="151"/>
      <c r="E1110" s="327"/>
      <c r="F1110" s="151">
        <f>SUM(C1110:E1110)</f>
        <v>0</v>
      </c>
    </row>
    <row r="1111" spans="1:6" ht="12.75">
      <c r="A1111" s="371" t="s">
        <v>321</v>
      </c>
      <c r="B1111" s="228" t="s">
        <v>685</v>
      </c>
      <c r="C1111" s="327"/>
      <c r="D1111" s="151"/>
      <c r="E1111" s="327"/>
      <c r="F1111" s="151">
        <f>SUM(C1111:E1111)</f>
        <v>0</v>
      </c>
    </row>
    <row r="1112" spans="1:6" ht="12.75">
      <c r="A1112" s="371" t="s">
        <v>322</v>
      </c>
      <c r="B1112" s="228" t="s">
        <v>686</v>
      </c>
      <c r="C1112" s="327">
        <f>C1113+C1114+C1115+C1116+C1117+C1118+C1119</f>
        <v>0</v>
      </c>
      <c r="D1112" s="327">
        <f>D1113+D1114+D1115+D1116+D1117+D1118+D1119</f>
        <v>1200</v>
      </c>
      <c r="E1112" s="327">
        <f>E1113+E1114+E1115+E1116+E1117+E1118+E1119</f>
        <v>0</v>
      </c>
      <c r="F1112" s="151">
        <f>F1113+F1114+F1115+F1116+F1117+F1118+F1119</f>
        <v>1200</v>
      </c>
    </row>
    <row r="1113" spans="1:6" ht="12.75">
      <c r="A1113" s="371" t="s">
        <v>323</v>
      </c>
      <c r="B1113" s="228" t="s">
        <v>690</v>
      </c>
      <c r="C1113" s="327">
        <v>0</v>
      </c>
      <c r="D1113" s="151">
        <v>0</v>
      </c>
      <c r="E1113" s="327">
        <v>0</v>
      </c>
      <c r="F1113" s="151">
        <f>E1113+D1113+C1113</f>
        <v>0</v>
      </c>
    </row>
    <row r="1114" spans="1:6" ht="12.75">
      <c r="A1114" s="371" t="s">
        <v>324</v>
      </c>
      <c r="B1114" s="228" t="s">
        <v>691</v>
      </c>
      <c r="C1114" s="327"/>
      <c r="D1114" s="151"/>
      <c r="E1114" s="327"/>
      <c r="F1114" s="151">
        <f aca="true" t="shared" si="59" ref="F1114:F1120">E1114+D1114+C1114</f>
        <v>0</v>
      </c>
    </row>
    <row r="1115" spans="1:6" ht="12.75">
      <c r="A1115" s="371" t="s">
        <v>325</v>
      </c>
      <c r="B1115" s="228" t="s">
        <v>692</v>
      </c>
      <c r="C1115" s="327"/>
      <c r="D1115" s="151"/>
      <c r="E1115" s="327"/>
      <c r="F1115" s="151">
        <f t="shared" si="59"/>
        <v>0</v>
      </c>
    </row>
    <row r="1116" spans="1:6" ht="12.75">
      <c r="A1116" s="371" t="s">
        <v>326</v>
      </c>
      <c r="B1116" s="380" t="s">
        <v>688</v>
      </c>
      <c r="C1116" s="262"/>
      <c r="D1116" s="151">
        <f>'6 7_sz_melléklet'!E49</f>
        <v>1200</v>
      </c>
      <c r="E1116" s="327"/>
      <c r="F1116" s="151">
        <f t="shared" si="59"/>
        <v>1200</v>
      </c>
    </row>
    <row r="1117" spans="1:6" ht="12.75">
      <c r="A1117" s="371" t="s">
        <v>327</v>
      </c>
      <c r="B1117" s="834" t="s">
        <v>689</v>
      </c>
      <c r="C1117" s="328"/>
      <c r="D1117" s="156"/>
      <c r="E1117" s="327"/>
      <c r="F1117" s="151">
        <f t="shared" si="59"/>
        <v>0</v>
      </c>
    </row>
    <row r="1118" spans="1:6" ht="12.75">
      <c r="A1118" s="371" t="s">
        <v>328</v>
      </c>
      <c r="B1118" s="835" t="s">
        <v>687</v>
      </c>
      <c r="C1118" s="330"/>
      <c r="D1118" s="152"/>
      <c r="E1118" s="327"/>
      <c r="F1118" s="151">
        <f t="shared" si="59"/>
        <v>0</v>
      </c>
    </row>
    <row r="1119" spans="1:6" ht="12.75">
      <c r="A1119" s="371" t="s">
        <v>329</v>
      </c>
      <c r="B1119" s="309" t="s">
        <v>957</v>
      </c>
      <c r="C1119" s="330"/>
      <c r="D1119" s="152"/>
      <c r="E1119" s="327"/>
      <c r="F1119" s="156"/>
    </row>
    <row r="1120" spans="1:6" ht="13.5" thickBot="1">
      <c r="A1120" s="371" t="s">
        <v>330</v>
      </c>
      <c r="B1120" s="230" t="s">
        <v>694</v>
      </c>
      <c r="C1120" s="328"/>
      <c r="D1120" s="156"/>
      <c r="E1120" s="327"/>
      <c r="F1120" s="325">
        <f t="shared" si="59"/>
        <v>0</v>
      </c>
    </row>
    <row r="1121" spans="1:6" ht="13.5" thickBot="1">
      <c r="A1121" s="615" t="s">
        <v>331</v>
      </c>
      <c r="B1121" s="616" t="s">
        <v>6</v>
      </c>
      <c r="C1121" s="624">
        <f>C1107+C1108+C1109+C1110+C1112+C1120</f>
        <v>153</v>
      </c>
      <c r="D1121" s="624">
        <f>D1107+D1108+D1109+D1110+D1112+D1120</f>
        <v>1200</v>
      </c>
      <c r="E1121" s="624">
        <f>E1107+E1108+E1109+E1110+E1112+E1120</f>
        <v>0</v>
      </c>
      <c r="F1121" s="625">
        <f>F1107+F1108+F1109+F1110+F1112+F1120</f>
        <v>1353</v>
      </c>
    </row>
    <row r="1122" spans="1:6" ht="7.5" customHeight="1" thickTop="1">
      <c r="A1122" s="604"/>
      <c r="B1122" s="379"/>
      <c r="C1122" s="261"/>
      <c r="D1122" s="261"/>
      <c r="E1122" s="261"/>
      <c r="F1122" s="159"/>
    </row>
    <row r="1123" spans="1:6" ht="12.75">
      <c r="A1123" s="372" t="s">
        <v>332</v>
      </c>
      <c r="B1123" s="381" t="s">
        <v>257</v>
      </c>
      <c r="C1123" s="329"/>
      <c r="D1123" s="154"/>
      <c r="E1123" s="329"/>
      <c r="F1123" s="206"/>
    </row>
    <row r="1124" spans="1:6" ht="12.75">
      <c r="A1124" s="372" t="s">
        <v>333</v>
      </c>
      <c r="B1124" s="228" t="s">
        <v>695</v>
      </c>
      <c r="C1124" s="327">
        <f>'33_sz_ melléklet'!C135</f>
        <v>1372</v>
      </c>
      <c r="D1124" s="151"/>
      <c r="E1124" s="327"/>
      <c r="F1124" s="151">
        <f>SUM(C1124:E1124)</f>
        <v>1372</v>
      </c>
    </row>
    <row r="1125" spans="1:6" ht="12.75">
      <c r="A1125" s="372" t="s">
        <v>334</v>
      </c>
      <c r="B1125" s="228" t="s">
        <v>696</v>
      </c>
      <c r="C1125" s="327"/>
      <c r="D1125" s="151"/>
      <c r="E1125" s="327"/>
      <c r="F1125" s="151">
        <f>SUM(C1125:E1125)</f>
        <v>0</v>
      </c>
    </row>
    <row r="1126" spans="1:6" ht="12.75">
      <c r="A1126" s="372" t="s">
        <v>336</v>
      </c>
      <c r="B1126" s="228" t="s">
        <v>697</v>
      </c>
      <c r="C1126" s="327">
        <f>C1127+C1128+C1129+C1130+C1131+C1132+C1133</f>
        <v>0</v>
      </c>
      <c r="D1126" s="327">
        <f>D1127+D1128+D1129+D1130+D1131+D1132+D1133</f>
        <v>3000</v>
      </c>
      <c r="E1126" s="327">
        <f>E1127+E1128+E1129+E1130+E1131+E1132+E1133</f>
        <v>0</v>
      </c>
      <c r="F1126" s="151">
        <f>F1127+F1128+F1129+F1130+F1131+F1132+F1133</f>
        <v>3000</v>
      </c>
    </row>
    <row r="1127" spans="1:6" ht="12.75">
      <c r="A1127" s="372" t="s">
        <v>337</v>
      </c>
      <c r="B1127" s="380" t="s">
        <v>698</v>
      </c>
      <c r="C1127" s="327"/>
      <c r="D1127" s="151"/>
      <c r="E1127" s="327"/>
      <c r="F1127" s="151">
        <f>SUM(C1127:E1127)</f>
        <v>0</v>
      </c>
    </row>
    <row r="1128" spans="1:6" ht="12.75">
      <c r="A1128" s="372" t="s">
        <v>338</v>
      </c>
      <c r="B1128" s="380" t="s">
        <v>699</v>
      </c>
      <c r="C1128" s="327"/>
      <c r="D1128" s="151"/>
      <c r="E1128" s="327"/>
      <c r="F1128" s="151">
        <f aca="true" t="shared" si="60" ref="F1128:F1134">SUM(C1128:E1128)</f>
        <v>0</v>
      </c>
    </row>
    <row r="1129" spans="1:6" ht="12.75">
      <c r="A1129" s="372" t="s">
        <v>339</v>
      </c>
      <c r="B1129" s="380" t="s">
        <v>700</v>
      </c>
      <c r="C1129" s="327"/>
      <c r="D1129" s="151"/>
      <c r="E1129" s="327"/>
      <c r="F1129" s="151">
        <f t="shared" si="60"/>
        <v>0</v>
      </c>
    </row>
    <row r="1130" spans="1:6" ht="12.75">
      <c r="A1130" s="372" t="s">
        <v>340</v>
      </c>
      <c r="B1130" s="380" t="s">
        <v>701</v>
      </c>
      <c r="C1130" s="327"/>
      <c r="D1130" s="151"/>
      <c r="E1130" s="327"/>
      <c r="F1130" s="151">
        <f t="shared" si="60"/>
        <v>0</v>
      </c>
    </row>
    <row r="1131" spans="1:6" ht="12.75">
      <c r="A1131" s="372" t="s">
        <v>341</v>
      </c>
      <c r="B1131" s="834" t="s">
        <v>702</v>
      </c>
      <c r="C1131" s="327"/>
      <c r="D1131" s="151">
        <f>'11 12 sz_melléklet'!C43</f>
        <v>3000</v>
      </c>
      <c r="E1131" s="327"/>
      <c r="F1131" s="151">
        <f t="shared" si="60"/>
        <v>3000</v>
      </c>
    </row>
    <row r="1132" spans="1:6" ht="12.75">
      <c r="A1132" s="372" t="s">
        <v>342</v>
      </c>
      <c r="B1132" s="309" t="s">
        <v>703</v>
      </c>
      <c r="C1132" s="327"/>
      <c r="D1132" s="151"/>
      <c r="E1132" s="327"/>
      <c r="F1132" s="151">
        <f t="shared" si="60"/>
        <v>0</v>
      </c>
    </row>
    <row r="1133" spans="1:6" ht="12.75">
      <c r="A1133" s="372" t="s">
        <v>343</v>
      </c>
      <c r="B1133" s="1091" t="s">
        <v>704</v>
      </c>
      <c r="C1133" s="327"/>
      <c r="D1133" s="151"/>
      <c r="E1133" s="327"/>
      <c r="F1133" s="151">
        <f t="shared" si="60"/>
        <v>0</v>
      </c>
    </row>
    <row r="1134" spans="1:6" ht="12.75">
      <c r="A1134" s="372" t="s">
        <v>344</v>
      </c>
      <c r="B1134" s="228"/>
      <c r="C1134" s="327"/>
      <c r="D1134" s="151"/>
      <c r="E1134" s="327"/>
      <c r="F1134" s="151">
        <f t="shared" si="60"/>
        <v>0</v>
      </c>
    </row>
    <row r="1135" spans="1:6" ht="13.5" thickBot="1">
      <c r="A1135" s="372" t="s">
        <v>345</v>
      </c>
      <c r="B1135" s="230"/>
      <c r="C1135" s="330">
        <f>-C1110</f>
        <v>0</v>
      </c>
      <c r="D1135" s="330">
        <f>-D1110</f>
        <v>0</v>
      </c>
      <c r="E1135" s="330">
        <f>-E1110</f>
        <v>0</v>
      </c>
      <c r="F1135" s="152">
        <f>-F1110</f>
        <v>0</v>
      </c>
    </row>
    <row r="1136" spans="1:6" ht="13.5" thickBot="1">
      <c r="A1136" s="615" t="s">
        <v>346</v>
      </c>
      <c r="B1136" s="616" t="s">
        <v>7</v>
      </c>
      <c r="C1136" s="624">
        <f>C1124+C1125+C1126+C1134+C1135</f>
        <v>1372</v>
      </c>
      <c r="D1136" s="624">
        <f>D1124+D1125+D1126+D1134+D1135</f>
        <v>3000</v>
      </c>
      <c r="E1136" s="624">
        <f>E1124+E1125+E1126+E1134+E1135</f>
        <v>0</v>
      </c>
      <c r="F1136" s="625">
        <f>F1124+F1125+F1126+F1134+F1135</f>
        <v>4372</v>
      </c>
    </row>
    <row r="1137" spans="1:6" ht="27" thickBot="1" thickTop="1">
      <c r="A1137" s="615" t="s">
        <v>347</v>
      </c>
      <c r="B1137" s="620" t="s">
        <v>503</v>
      </c>
      <c r="C1137" s="627">
        <f>C1121+C1136</f>
        <v>1525</v>
      </c>
      <c r="D1137" s="627">
        <f>D1121+D1136</f>
        <v>4200</v>
      </c>
      <c r="E1137" s="627">
        <f>E1121+E1136</f>
        <v>0</v>
      </c>
      <c r="F1137" s="628">
        <f>F1121+F1136</f>
        <v>5725</v>
      </c>
    </row>
    <row r="1138" spans="1:6" ht="10.5" customHeight="1" thickTop="1">
      <c r="A1138" s="604"/>
      <c r="B1138" s="848"/>
      <c r="C1138" s="267"/>
      <c r="D1138" s="267"/>
      <c r="E1138" s="267"/>
      <c r="F1138" s="272"/>
    </row>
    <row r="1139" spans="1:6" ht="12.75">
      <c r="A1139" s="372" t="s">
        <v>348</v>
      </c>
      <c r="B1139" s="485" t="s">
        <v>504</v>
      </c>
      <c r="C1139" s="626"/>
      <c r="D1139" s="154"/>
      <c r="E1139" s="329"/>
      <c r="F1139" s="206"/>
    </row>
    <row r="1140" spans="1:6" ht="12.75">
      <c r="A1140" s="371" t="s">
        <v>349</v>
      </c>
      <c r="B1140" s="229" t="s">
        <v>726</v>
      </c>
      <c r="C1140" s="332"/>
      <c r="D1140" s="151"/>
      <c r="E1140" s="327"/>
      <c r="F1140" s="151">
        <f>SUM(C1140:E1140)</f>
        <v>0</v>
      </c>
    </row>
    <row r="1141" spans="1:6" ht="12.75">
      <c r="A1141" s="371" t="s">
        <v>350</v>
      </c>
      <c r="B1141" s="697" t="s">
        <v>724</v>
      </c>
      <c r="C1141" s="841"/>
      <c r="D1141" s="156"/>
      <c r="E1141" s="328"/>
      <c r="F1141" s="151">
        <f aca="true" t="shared" si="61" ref="F1141:F1147">SUM(C1141:E1141)</f>
        <v>0</v>
      </c>
    </row>
    <row r="1142" spans="1:6" ht="12.75">
      <c r="A1142" s="371" t="s">
        <v>351</v>
      </c>
      <c r="B1142" s="697" t="s">
        <v>723</v>
      </c>
      <c r="C1142" s="841"/>
      <c r="D1142" s="156"/>
      <c r="E1142" s="328"/>
      <c r="F1142" s="151">
        <f t="shared" si="61"/>
        <v>0</v>
      </c>
    </row>
    <row r="1143" spans="1:6" ht="12.75">
      <c r="A1143" s="371" t="s">
        <v>352</v>
      </c>
      <c r="B1143" s="697" t="s">
        <v>725</v>
      </c>
      <c r="C1143" s="841"/>
      <c r="D1143" s="156"/>
      <c r="E1143" s="328"/>
      <c r="F1143" s="151">
        <f t="shared" si="61"/>
        <v>0</v>
      </c>
    </row>
    <row r="1144" spans="1:6" ht="12.75">
      <c r="A1144" s="371" t="s">
        <v>353</v>
      </c>
      <c r="B1144" s="836" t="s">
        <v>727</v>
      </c>
      <c r="C1144" s="841"/>
      <c r="D1144" s="156"/>
      <c r="E1144" s="328"/>
      <c r="F1144" s="151">
        <f t="shared" si="61"/>
        <v>0</v>
      </c>
    </row>
    <row r="1145" spans="1:6" ht="12.75">
      <c r="A1145" s="371" t="s">
        <v>354</v>
      </c>
      <c r="B1145" s="837" t="s">
        <v>730</v>
      </c>
      <c r="C1145" s="841"/>
      <c r="D1145" s="156"/>
      <c r="E1145" s="328"/>
      <c r="F1145" s="151">
        <f t="shared" si="61"/>
        <v>0</v>
      </c>
    </row>
    <row r="1146" spans="1:6" ht="12.75">
      <c r="A1146" s="371" t="s">
        <v>355</v>
      </c>
      <c r="B1146" s="838" t="s">
        <v>729</v>
      </c>
      <c r="C1146" s="841"/>
      <c r="D1146" s="156"/>
      <c r="E1146" s="328"/>
      <c r="F1146" s="151">
        <f t="shared" si="61"/>
        <v>0</v>
      </c>
    </row>
    <row r="1147" spans="1:6" ht="13.5" thickBot="1">
      <c r="A1147" s="371" t="s">
        <v>356</v>
      </c>
      <c r="B1147" s="382" t="s">
        <v>728</v>
      </c>
      <c r="C1147" s="841"/>
      <c r="D1147" s="156"/>
      <c r="E1147" s="328"/>
      <c r="F1147" s="151">
        <f t="shared" si="61"/>
        <v>0</v>
      </c>
    </row>
    <row r="1148" spans="1:6" ht="13.5" thickBot="1">
      <c r="A1148" s="395" t="s">
        <v>357</v>
      </c>
      <c r="B1148" s="315" t="s">
        <v>505</v>
      </c>
      <c r="C1148" s="842">
        <f>SUM(C1140:C1147)</f>
        <v>0</v>
      </c>
      <c r="D1148" s="842">
        <f>SUM(D1140:D1147)</f>
        <v>0</v>
      </c>
      <c r="E1148" s="842">
        <f>SUM(E1140:E1147)</f>
        <v>0</v>
      </c>
      <c r="F1148" s="948">
        <f>SUM(F1140:F1147)</f>
        <v>0</v>
      </c>
    </row>
    <row r="1149" spans="1:6" ht="12.75">
      <c r="A1149" s="604"/>
      <c r="B1149" s="44"/>
      <c r="C1149" s="854"/>
      <c r="D1149" s="856"/>
      <c r="E1149" s="816"/>
      <c r="F1149" s="693"/>
    </row>
    <row r="1150" spans="1:6" ht="13.5" thickBot="1">
      <c r="A1150" s="456" t="s">
        <v>358</v>
      </c>
      <c r="B1150" s="1379" t="s">
        <v>506</v>
      </c>
      <c r="C1150" s="994">
        <f>C1137+C1148</f>
        <v>1525</v>
      </c>
      <c r="D1150" s="995">
        <f>D1137+D1148</f>
        <v>4200</v>
      </c>
      <c r="E1150" s="994">
        <f>E1137+E1148</f>
        <v>0</v>
      </c>
      <c r="F1150" s="994">
        <f>F1137+F1148</f>
        <v>5725</v>
      </c>
    </row>
    <row r="1151" spans="1:6" ht="12.75">
      <c r="A1151" s="393"/>
      <c r="B1151" s="827"/>
      <c r="C1151" s="695"/>
      <c r="D1151" s="695"/>
      <c r="E1151" s="695"/>
      <c r="F1151" s="695"/>
    </row>
    <row r="1152" spans="1:6" ht="12.75">
      <c r="A1152" s="1675">
        <v>22</v>
      </c>
      <c r="B1152" s="1675"/>
      <c r="C1152" s="1675"/>
      <c r="D1152" s="1675"/>
      <c r="E1152" s="1675"/>
      <c r="F1152" s="1675"/>
    </row>
    <row r="1153" spans="1:5" ht="12.75">
      <c r="A1153" s="1654" t="s">
        <v>1456</v>
      </c>
      <c r="B1153" s="1654"/>
      <c r="C1153" s="1654"/>
      <c r="D1153" s="1654"/>
      <c r="E1153" s="1654"/>
    </row>
    <row r="1154" spans="1:5" ht="12.75">
      <c r="A1154" s="384"/>
      <c r="B1154" s="384"/>
      <c r="C1154" s="384"/>
      <c r="D1154" s="384"/>
      <c r="E1154" s="384"/>
    </row>
    <row r="1155" spans="1:6" ht="14.25">
      <c r="A1155" s="1809" t="s">
        <v>1098</v>
      </c>
      <c r="B1155" s="1810"/>
      <c r="C1155" s="1810"/>
      <c r="D1155" s="1810"/>
      <c r="E1155" s="1810"/>
      <c r="F1155" s="1810"/>
    </row>
    <row r="1156" spans="2:5" ht="12.75" customHeight="1">
      <c r="B1156" s="21"/>
      <c r="C1156" s="21"/>
      <c r="D1156" s="21"/>
      <c r="E1156" s="21"/>
    </row>
    <row r="1157" spans="2:5" ht="15.75">
      <c r="B1157" s="21" t="s">
        <v>451</v>
      </c>
      <c r="C1157" s="21"/>
      <c r="D1157" s="21"/>
      <c r="E1157" s="21"/>
    </row>
    <row r="1158" spans="2:5" ht="13.5" thickBot="1">
      <c r="B1158" s="1"/>
      <c r="C1158" s="1"/>
      <c r="D1158" s="1"/>
      <c r="E1158" s="22" t="s">
        <v>8</v>
      </c>
    </row>
    <row r="1159" spans="1:6" ht="48.75" thickBot="1">
      <c r="A1159" s="399" t="s">
        <v>311</v>
      </c>
      <c r="B1159" s="610" t="s">
        <v>13</v>
      </c>
      <c r="C1159" s="387" t="s">
        <v>540</v>
      </c>
      <c r="D1159" s="388" t="s">
        <v>541</v>
      </c>
      <c r="E1159" s="387" t="s">
        <v>536</v>
      </c>
      <c r="F1159" s="388" t="s">
        <v>535</v>
      </c>
    </row>
    <row r="1160" spans="1:6" ht="12.75">
      <c r="A1160" s="611" t="s">
        <v>312</v>
      </c>
      <c r="B1160" s="612" t="s">
        <v>313</v>
      </c>
      <c r="C1160" s="621" t="s">
        <v>314</v>
      </c>
      <c r="D1160" s="622" t="s">
        <v>315</v>
      </c>
      <c r="E1160" s="796" t="s">
        <v>335</v>
      </c>
      <c r="F1160" s="797" t="s">
        <v>360</v>
      </c>
    </row>
    <row r="1161" spans="1:6" ht="12.75">
      <c r="A1161" s="372" t="s">
        <v>316</v>
      </c>
      <c r="B1161" s="379" t="s">
        <v>256</v>
      </c>
      <c r="C1161" s="327"/>
      <c r="D1161" s="151"/>
      <c r="E1161" s="327"/>
      <c r="F1161" s="136"/>
    </row>
    <row r="1162" spans="1:6" ht="12.75">
      <c r="A1162" s="371" t="s">
        <v>317</v>
      </c>
      <c r="B1162" s="199" t="s">
        <v>681</v>
      </c>
      <c r="C1162" s="327"/>
      <c r="D1162" s="151"/>
      <c r="E1162" s="327"/>
      <c r="F1162" s="151">
        <f>SUM(C1162:E1162)</f>
        <v>0</v>
      </c>
    </row>
    <row r="1163" spans="1:6" ht="12.75">
      <c r="A1163" s="371" t="s">
        <v>318</v>
      </c>
      <c r="B1163" s="228" t="s">
        <v>683</v>
      </c>
      <c r="C1163" s="327"/>
      <c r="D1163" s="151"/>
      <c r="E1163" s="327"/>
      <c r="F1163" s="151">
        <f>SUM(C1163:E1163)</f>
        <v>0</v>
      </c>
    </row>
    <row r="1164" spans="1:6" ht="12.75">
      <c r="A1164" s="371" t="s">
        <v>319</v>
      </c>
      <c r="B1164" s="228" t="s">
        <v>682</v>
      </c>
      <c r="C1164" s="327"/>
      <c r="D1164" s="151"/>
      <c r="E1164" s="327"/>
      <c r="F1164" s="151">
        <f>SUM(C1164:E1164)</f>
        <v>0</v>
      </c>
    </row>
    <row r="1165" spans="1:6" ht="12.75">
      <c r="A1165" s="371" t="s">
        <v>320</v>
      </c>
      <c r="B1165" s="228" t="s">
        <v>684</v>
      </c>
      <c r="C1165" s="327"/>
      <c r="D1165" s="151"/>
      <c r="E1165" s="327"/>
      <c r="F1165" s="151">
        <f>SUM(C1165:E1165)</f>
        <v>0</v>
      </c>
    </row>
    <row r="1166" spans="1:6" ht="12.75">
      <c r="A1166" s="371" t="s">
        <v>321</v>
      </c>
      <c r="B1166" s="228" t="s">
        <v>685</v>
      </c>
      <c r="C1166" s="327"/>
      <c r="D1166" s="151"/>
      <c r="E1166" s="327"/>
      <c r="F1166" s="151">
        <f>SUM(C1166:E1166)</f>
        <v>0</v>
      </c>
    </row>
    <row r="1167" spans="1:6" ht="12.75">
      <c r="A1167" s="371" t="s">
        <v>322</v>
      </c>
      <c r="B1167" s="228" t="s">
        <v>686</v>
      </c>
      <c r="C1167" s="327">
        <f>C1168+C1169+C1170+C1171+C1172+C1173+C1174</f>
        <v>30358</v>
      </c>
      <c r="D1167" s="327">
        <f>D1168+D1169+D1170+D1171+D1172+D1173+D1174</f>
        <v>0</v>
      </c>
      <c r="E1167" s="327">
        <f>E1168+E1169+E1170+E1171+E1172+E1173+E1174</f>
        <v>0</v>
      </c>
      <c r="F1167" s="151">
        <f>F1168+F1169+F1170+F1171+F1172+F1173+F1174</f>
        <v>30358</v>
      </c>
    </row>
    <row r="1168" spans="1:6" ht="12.75">
      <c r="A1168" s="371" t="s">
        <v>323</v>
      </c>
      <c r="B1168" s="228" t="s">
        <v>690</v>
      </c>
      <c r="C1168" s="327">
        <v>0</v>
      </c>
      <c r="D1168" s="151">
        <v>0</v>
      </c>
      <c r="E1168" s="327">
        <v>0</v>
      </c>
      <c r="F1168" s="151">
        <f>E1168+D1168+C1168</f>
        <v>0</v>
      </c>
    </row>
    <row r="1169" spans="1:6" ht="12.75">
      <c r="A1169" s="371" t="s">
        <v>324</v>
      </c>
      <c r="B1169" s="228" t="s">
        <v>691</v>
      </c>
      <c r="C1169" s="327"/>
      <c r="D1169" s="151"/>
      <c r="E1169" s="327"/>
      <c r="F1169" s="151">
        <f aca="true" t="shared" si="62" ref="F1169:F1175">E1169+D1169+C1169</f>
        <v>0</v>
      </c>
    </row>
    <row r="1170" spans="1:6" ht="12.75">
      <c r="A1170" s="371" t="s">
        <v>325</v>
      </c>
      <c r="B1170" s="228" t="s">
        <v>692</v>
      </c>
      <c r="C1170" s="327"/>
      <c r="D1170" s="151"/>
      <c r="E1170" s="327"/>
      <c r="F1170" s="151">
        <f t="shared" si="62"/>
        <v>0</v>
      </c>
    </row>
    <row r="1171" spans="1:6" ht="12.75">
      <c r="A1171" s="371" t="s">
        <v>326</v>
      </c>
      <c r="B1171" s="380" t="s">
        <v>688</v>
      </c>
      <c r="C1171" s="327">
        <f>'6 7_sz_melléklet'!E35</f>
        <v>30358</v>
      </c>
      <c r="D1171" s="155"/>
      <c r="E1171" s="327"/>
      <c r="F1171" s="151">
        <f t="shared" si="62"/>
        <v>30358</v>
      </c>
    </row>
    <row r="1172" spans="1:6" ht="12.75">
      <c r="A1172" s="371" t="s">
        <v>327</v>
      </c>
      <c r="B1172" s="834" t="s">
        <v>689</v>
      </c>
      <c r="C1172" s="328"/>
      <c r="D1172" s="152"/>
      <c r="E1172" s="327"/>
      <c r="F1172" s="151">
        <f t="shared" si="62"/>
        <v>0</v>
      </c>
    </row>
    <row r="1173" spans="1:6" ht="12.75">
      <c r="A1173" s="371" t="s">
        <v>328</v>
      </c>
      <c r="B1173" s="835" t="s">
        <v>687</v>
      </c>
      <c r="C1173" s="330"/>
      <c r="D1173" s="152"/>
      <c r="E1173" s="327"/>
      <c r="F1173" s="151">
        <f t="shared" si="62"/>
        <v>0</v>
      </c>
    </row>
    <row r="1174" spans="1:6" ht="12.75">
      <c r="A1174" s="371" t="s">
        <v>329</v>
      </c>
      <c r="B1174" s="309" t="s">
        <v>957</v>
      </c>
      <c r="C1174" s="330"/>
      <c r="D1174" s="152"/>
      <c r="E1174" s="327"/>
      <c r="F1174" s="156"/>
    </row>
    <row r="1175" spans="1:6" ht="13.5" thickBot="1">
      <c r="A1175" s="371" t="s">
        <v>330</v>
      </c>
      <c r="B1175" s="230" t="s">
        <v>694</v>
      </c>
      <c r="C1175" s="328"/>
      <c r="D1175" s="156"/>
      <c r="E1175" s="327"/>
      <c r="F1175" s="325">
        <f t="shared" si="62"/>
        <v>0</v>
      </c>
    </row>
    <row r="1176" spans="1:6" ht="13.5" thickBot="1">
      <c r="A1176" s="615" t="s">
        <v>331</v>
      </c>
      <c r="B1176" s="616" t="s">
        <v>6</v>
      </c>
      <c r="C1176" s="624">
        <f>C1162+C1163+C1164+C1165+C1167+C1175</f>
        <v>30358</v>
      </c>
      <c r="D1176" s="624">
        <f>D1162+D1163+D1164+D1165+D1167+D1175</f>
        <v>0</v>
      </c>
      <c r="E1176" s="624">
        <f>E1162+E1163+E1164+E1165+E1167+E1175</f>
        <v>0</v>
      </c>
      <c r="F1176" s="625">
        <f>F1162+F1163+F1164+F1165+F1167+F1175</f>
        <v>30358</v>
      </c>
    </row>
    <row r="1177" spans="1:6" ht="11.25" customHeight="1" thickTop="1">
      <c r="A1177" s="604"/>
      <c r="B1177" s="379"/>
      <c r="C1177" s="261"/>
      <c r="D1177" s="261"/>
      <c r="E1177" s="261"/>
      <c r="F1177" s="159"/>
    </row>
    <row r="1178" spans="1:6" ht="12.75">
      <c r="A1178" s="372" t="s">
        <v>332</v>
      </c>
      <c r="B1178" s="381" t="s">
        <v>257</v>
      </c>
      <c r="C1178" s="329"/>
      <c r="D1178" s="154"/>
      <c r="E1178" s="329"/>
      <c r="F1178" s="206"/>
    </row>
    <row r="1179" spans="1:6" ht="12.75">
      <c r="A1179" s="372" t="s">
        <v>333</v>
      </c>
      <c r="B1179" s="228" t="s">
        <v>695</v>
      </c>
      <c r="C1179" s="327"/>
      <c r="D1179" s="151"/>
      <c r="E1179" s="327"/>
      <c r="F1179" s="151">
        <f>SUM(C1179:E1179)</f>
        <v>0</v>
      </c>
    </row>
    <row r="1180" spans="1:6" ht="12.75">
      <c r="A1180" s="372" t="s">
        <v>334</v>
      </c>
      <c r="B1180" s="228" t="s">
        <v>696</v>
      </c>
      <c r="C1180" s="327"/>
      <c r="D1180" s="151"/>
      <c r="E1180" s="327"/>
      <c r="F1180" s="151">
        <f>SUM(C1180:E1180)</f>
        <v>0</v>
      </c>
    </row>
    <row r="1181" spans="1:6" ht="12.75">
      <c r="A1181" s="372" t="s">
        <v>336</v>
      </c>
      <c r="B1181" s="228" t="s">
        <v>697</v>
      </c>
      <c r="C1181" s="327">
        <f>C1182+C1183+C1184+C1185+C1186+C1187+C1188</f>
        <v>0</v>
      </c>
      <c r="D1181" s="327">
        <f>D1182+D1183+D1184+D1185+D1186+D1187+D1188</f>
        <v>0</v>
      </c>
      <c r="E1181" s="327">
        <f>E1182+E1183+E1184+E1185+E1186+E1187+E1188</f>
        <v>0</v>
      </c>
      <c r="F1181" s="151">
        <f>F1182+F1183+F1184+F1185+F1186+F1187+F1188</f>
        <v>0</v>
      </c>
    </row>
    <row r="1182" spans="1:6" ht="12.75">
      <c r="A1182" s="372" t="s">
        <v>337</v>
      </c>
      <c r="B1182" s="380" t="s">
        <v>698</v>
      </c>
      <c r="C1182" s="327"/>
      <c r="D1182" s="151"/>
      <c r="E1182" s="327"/>
      <c r="F1182" s="151">
        <f>SUM(C1182:E1182)</f>
        <v>0</v>
      </c>
    </row>
    <row r="1183" spans="1:6" ht="12.75">
      <c r="A1183" s="372" t="s">
        <v>338</v>
      </c>
      <c r="B1183" s="380" t="s">
        <v>699</v>
      </c>
      <c r="C1183" s="327"/>
      <c r="D1183" s="151"/>
      <c r="E1183" s="327"/>
      <c r="F1183" s="151">
        <f aca="true" t="shared" si="63" ref="F1183:F1189">SUM(C1183:E1183)</f>
        <v>0</v>
      </c>
    </row>
    <row r="1184" spans="1:6" ht="12.75">
      <c r="A1184" s="372" t="s">
        <v>339</v>
      </c>
      <c r="B1184" s="380" t="s">
        <v>700</v>
      </c>
      <c r="C1184" s="327"/>
      <c r="D1184" s="151"/>
      <c r="E1184" s="327"/>
      <c r="F1184" s="151">
        <f t="shared" si="63"/>
        <v>0</v>
      </c>
    </row>
    <row r="1185" spans="1:6" ht="12.75">
      <c r="A1185" s="372" t="s">
        <v>340</v>
      </c>
      <c r="B1185" s="380" t="s">
        <v>701</v>
      </c>
      <c r="C1185" s="327"/>
      <c r="D1185" s="151"/>
      <c r="E1185" s="327"/>
      <c r="F1185" s="151">
        <f t="shared" si="63"/>
        <v>0</v>
      </c>
    </row>
    <row r="1186" spans="1:6" ht="12.75">
      <c r="A1186" s="372" t="s">
        <v>341</v>
      </c>
      <c r="B1186" s="834" t="s">
        <v>702</v>
      </c>
      <c r="C1186" s="327"/>
      <c r="D1186" s="151"/>
      <c r="E1186" s="327"/>
      <c r="F1186" s="151">
        <f t="shared" si="63"/>
        <v>0</v>
      </c>
    </row>
    <row r="1187" spans="1:6" ht="12.75">
      <c r="A1187" s="372" t="s">
        <v>342</v>
      </c>
      <c r="B1187" s="309" t="s">
        <v>703</v>
      </c>
      <c r="C1187" s="327"/>
      <c r="D1187" s="151"/>
      <c r="E1187" s="327"/>
      <c r="F1187" s="151">
        <f t="shared" si="63"/>
        <v>0</v>
      </c>
    </row>
    <row r="1188" spans="1:6" ht="12.75">
      <c r="A1188" s="372" t="s">
        <v>343</v>
      </c>
      <c r="B1188" s="1091" t="s">
        <v>704</v>
      </c>
      <c r="C1188" s="327"/>
      <c r="D1188" s="151"/>
      <c r="E1188" s="327"/>
      <c r="F1188" s="151">
        <f t="shared" si="63"/>
        <v>0</v>
      </c>
    </row>
    <row r="1189" spans="1:6" ht="12.75">
      <c r="A1189" s="372" t="s">
        <v>344</v>
      </c>
      <c r="B1189" s="228"/>
      <c r="C1189" s="327"/>
      <c r="D1189" s="151"/>
      <c r="E1189" s="327"/>
      <c r="F1189" s="151">
        <f t="shared" si="63"/>
        <v>0</v>
      </c>
    </row>
    <row r="1190" spans="1:6" ht="13.5" thickBot="1">
      <c r="A1190" s="372" t="s">
        <v>345</v>
      </c>
      <c r="B1190" s="230"/>
      <c r="C1190" s="330">
        <f>-C1165</f>
        <v>0</v>
      </c>
      <c r="D1190" s="330">
        <f>-D1165</f>
        <v>0</v>
      </c>
      <c r="E1190" s="330">
        <f>-E1165</f>
        <v>0</v>
      </c>
      <c r="F1190" s="152">
        <f>-F1165</f>
        <v>0</v>
      </c>
    </row>
    <row r="1191" spans="1:6" ht="13.5" thickBot="1">
      <c r="A1191" s="615" t="s">
        <v>346</v>
      </c>
      <c r="B1191" s="616" t="s">
        <v>7</v>
      </c>
      <c r="C1191" s="624">
        <f>C1179+C1180+C1181+C1189+C1190</f>
        <v>0</v>
      </c>
      <c r="D1191" s="624">
        <f>D1179+D1180+D1181+D1189+D1190</f>
        <v>0</v>
      </c>
      <c r="E1191" s="624">
        <f>E1179+E1180+E1181+E1189+E1190</f>
        <v>0</v>
      </c>
      <c r="F1191" s="625">
        <f>F1179+F1180+F1181+F1189+F1190</f>
        <v>0</v>
      </c>
    </row>
    <row r="1192" spans="1:6" ht="27" thickBot="1" thickTop="1">
      <c r="A1192" s="615" t="s">
        <v>347</v>
      </c>
      <c r="B1192" s="620" t="s">
        <v>503</v>
      </c>
      <c r="C1192" s="627">
        <f>C1176+C1191</f>
        <v>30358</v>
      </c>
      <c r="D1192" s="627">
        <f>D1176+D1191</f>
        <v>0</v>
      </c>
      <c r="E1192" s="627">
        <f>E1176+E1191</f>
        <v>0</v>
      </c>
      <c r="F1192" s="628">
        <f>F1176+F1191</f>
        <v>30358</v>
      </c>
    </row>
    <row r="1193" spans="1:6" ht="9.75" customHeight="1" thickTop="1">
      <c r="A1193" s="604"/>
      <c r="B1193" s="848"/>
      <c r="C1193" s="267"/>
      <c r="D1193" s="267"/>
      <c r="E1193" s="267"/>
      <c r="F1193" s="272"/>
    </row>
    <row r="1194" spans="1:6" ht="12.75">
      <c r="A1194" s="372" t="s">
        <v>348</v>
      </c>
      <c r="B1194" s="485" t="s">
        <v>504</v>
      </c>
      <c r="C1194" s="626"/>
      <c r="D1194" s="154"/>
      <c r="E1194" s="329"/>
      <c r="F1194" s="206"/>
    </row>
    <row r="1195" spans="1:6" ht="12.75">
      <c r="A1195" s="371" t="s">
        <v>349</v>
      </c>
      <c r="B1195" s="229" t="s">
        <v>726</v>
      </c>
      <c r="C1195" s="332"/>
      <c r="D1195" s="151"/>
      <c r="E1195" s="327"/>
      <c r="F1195" s="151">
        <f>SUM(C1195:E1195)</f>
        <v>0</v>
      </c>
    </row>
    <row r="1196" spans="1:6" ht="12.75">
      <c r="A1196" s="371" t="s">
        <v>350</v>
      </c>
      <c r="B1196" s="697" t="s">
        <v>724</v>
      </c>
      <c r="C1196" s="841"/>
      <c r="D1196" s="156"/>
      <c r="E1196" s="328"/>
      <c r="F1196" s="151">
        <f aca="true" t="shared" si="64" ref="F1196:F1202">SUM(C1196:E1196)</f>
        <v>0</v>
      </c>
    </row>
    <row r="1197" spans="1:6" ht="12.75">
      <c r="A1197" s="371" t="s">
        <v>351</v>
      </c>
      <c r="B1197" s="697" t="s">
        <v>723</v>
      </c>
      <c r="C1197" s="841"/>
      <c r="D1197" s="156"/>
      <c r="E1197" s="328"/>
      <c r="F1197" s="151">
        <f t="shared" si="64"/>
        <v>0</v>
      </c>
    </row>
    <row r="1198" spans="1:6" ht="12.75">
      <c r="A1198" s="371" t="s">
        <v>352</v>
      </c>
      <c r="B1198" s="697" t="s">
        <v>725</v>
      </c>
      <c r="C1198" s="841"/>
      <c r="D1198" s="156"/>
      <c r="E1198" s="328"/>
      <c r="F1198" s="151">
        <f t="shared" si="64"/>
        <v>0</v>
      </c>
    </row>
    <row r="1199" spans="1:6" ht="12.75">
      <c r="A1199" s="371" t="s">
        <v>353</v>
      </c>
      <c r="B1199" s="836" t="s">
        <v>727</v>
      </c>
      <c r="C1199" s="841"/>
      <c r="D1199" s="156"/>
      <c r="E1199" s="328"/>
      <c r="F1199" s="151">
        <f t="shared" si="64"/>
        <v>0</v>
      </c>
    </row>
    <row r="1200" spans="1:6" ht="12.75">
      <c r="A1200" s="371" t="s">
        <v>354</v>
      </c>
      <c r="B1200" s="837" t="s">
        <v>730</v>
      </c>
      <c r="C1200" s="841"/>
      <c r="D1200" s="156"/>
      <c r="E1200" s="328"/>
      <c r="F1200" s="151">
        <f t="shared" si="64"/>
        <v>0</v>
      </c>
    </row>
    <row r="1201" spans="1:6" ht="12.75">
      <c r="A1201" s="371" t="s">
        <v>355</v>
      </c>
      <c r="B1201" s="838" t="s">
        <v>729</v>
      </c>
      <c r="C1201" s="841"/>
      <c r="D1201" s="156"/>
      <c r="E1201" s="328"/>
      <c r="F1201" s="151">
        <f t="shared" si="64"/>
        <v>0</v>
      </c>
    </row>
    <row r="1202" spans="1:6" ht="13.5" thickBot="1">
      <c r="A1202" s="371" t="s">
        <v>356</v>
      </c>
      <c r="B1202" s="382" t="s">
        <v>728</v>
      </c>
      <c r="C1202" s="841"/>
      <c r="D1202" s="156"/>
      <c r="E1202" s="328"/>
      <c r="F1202" s="151">
        <f t="shared" si="64"/>
        <v>0</v>
      </c>
    </row>
    <row r="1203" spans="1:6" ht="13.5" thickBot="1">
      <c r="A1203" s="395" t="s">
        <v>357</v>
      </c>
      <c r="B1203" s="315" t="s">
        <v>505</v>
      </c>
      <c r="C1203" s="842">
        <f>SUM(C1195:C1202)</f>
        <v>0</v>
      </c>
      <c r="D1203" s="842">
        <f>SUM(D1195:D1202)</f>
        <v>0</v>
      </c>
      <c r="E1203" s="842">
        <f>SUM(E1195:E1202)</f>
        <v>0</v>
      </c>
      <c r="F1203" s="948">
        <f>SUM(F1195:F1202)</f>
        <v>0</v>
      </c>
    </row>
    <row r="1204" spans="1:6" ht="12.75">
      <c r="A1204" s="604"/>
      <c r="B1204" s="44"/>
      <c r="C1204" s="854"/>
      <c r="D1204" s="856"/>
      <c r="E1204" s="816"/>
      <c r="F1204" s="693"/>
    </row>
    <row r="1205" spans="1:6" ht="13.5" thickBot="1">
      <c r="A1205" s="456" t="s">
        <v>358</v>
      </c>
      <c r="B1205" s="1379" t="s">
        <v>506</v>
      </c>
      <c r="C1205" s="994">
        <f>C1192+C1203</f>
        <v>30358</v>
      </c>
      <c r="D1205" s="995">
        <f>D1192+D1203</f>
        <v>0</v>
      </c>
      <c r="E1205" s="994">
        <f>E1192+E1203</f>
        <v>0</v>
      </c>
      <c r="F1205" s="994">
        <f>F1192+F1203</f>
        <v>30358</v>
      </c>
    </row>
    <row r="1206" spans="1:6" ht="12.75">
      <c r="A1206" s="1675">
        <v>23</v>
      </c>
      <c r="B1206" s="1675"/>
      <c r="C1206" s="1675"/>
      <c r="D1206" s="1675"/>
      <c r="E1206" s="1675"/>
      <c r="F1206" s="1675"/>
    </row>
    <row r="1207" spans="1:5" ht="12.75">
      <c r="A1207" s="1654" t="s">
        <v>1456</v>
      </c>
      <c r="B1207" s="1654"/>
      <c r="C1207" s="1654"/>
      <c r="D1207" s="1654"/>
      <c r="E1207" s="1654"/>
    </row>
    <row r="1208" spans="1:5" ht="12.75">
      <c r="A1208" s="384"/>
      <c r="B1208" s="384"/>
      <c r="C1208" s="384"/>
      <c r="D1208" s="384"/>
      <c r="E1208" s="384"/>
    </row>
    <row r="1209" spans="1:6" ht="14.25">
      <c r="A1209" s="1809" t="s">
        <v>1098</v>
      </c>
      <c r="B1209" s="1810"/>
      <c r="C1209" s="1810"/>
      <c r="D1209" s="1810"/>
      <c r="E1209" s="1810"/>
      <c r="F1209" s="1810"/>
    </row>
    <row r="1210" spans="2:5" ht="9.75" customHeight="1">
      <c r="B1210" s="21"/>
      <c r="C1210" s="21"/>
      <c r="D1210" s="21"/>
      <c r="E1210" s="21"/>
    </row>
    <row r="1211" spans="2:5" ht="15.75">
      <c r="B1211" s="21" t="s">
        <v>1164</v>
      </c>
      <c r="C1211" s="21"/>
      <c r="D1211" s="21"/>
      <c r="E1211" s="21"/>
    </row>
    <row r="1212" spans="2:5" ht="13.5" thickBot="1">
      <c r="B1212" s="1"/>
      <c r="C1212" s="1"/>
      <c r="D1212" s="1"/>
      <c r="E1212" s="22" t="s">
        <v>8</v>
      </c>
    </row>
    <row r="1213" spans="1:6" ht="48.75" thickBot="1">
      <c r="A1213" s="399" t="s">
        <v>311</v>
      </c>
      <c r="B1213" s="610" t="s">
        <v>13</v>
      </c>
      <c r="C1213" s="387" t="s">
        <v>540</v>
      </c>
      <c r="D1213" s="388" t="s">
        <v>541</v>
      </c>
      <c r="E1213" s="387" t="s">
        <v>536</v>
      </c>
      <c r="F1213" s="388" t="s">
        <v>535</v>
      </c>
    </row>
    <row r="1214" spans="1:6" ht="12.75">
      <c r="A1214" s="611" t="s">
        <v>312</v>
      </c>
      <c r="B1214" s="1373" t="s">
        <v>313</v>
      </c>
      <c r="C1214" s="796" t="s">
        <v>314</v>
      </c>
      <c r="D1214" s="639" t="s">
        <v>315</v>
      </c>
      <c r="E1214" s="796" t="s">
        <v>335</v>
      </c>
      <c r="F1214" s="797" t="s">
        <v>360</v>
      </c>
    </row>
    <row r="1215" spans="1:6" ht="12.75">
      <c r="A1215" s="372" t="s">
        <v>316</v>
      </c>
      <c r="B1215" s="379" t="s">
        <v>256</v>
      </c>
      <c r="C1215" s="327"/>
      <c r="D1215" s="151"/>
      <c r="E1215" s="327"/>
      <c r="F1215" s="136"/>
    </row>
    <row r="1216" spans="1:6" ht="12.75">
      <c r="A1216" s="371" t="s">
        <v>317</v>
      </c>
      <c r="B1216" s="199" t="s">
        <v>681</v>
      </c>
      <c r="C1216" s="327"/>
      <c r="D1216" s="151"/>
      <c r="E1216" s="327"/>
      <c r="F1216" s="151">
        <f>SUM(C1216:E1216)</f>
        <v>0</v>
      </c>
    </row>
    <row r="1217" spans="1:6" ht="12.75">
      <c r="A1217" s="371" t="s">
        <v>318</v>
      </c>
      <c r="B1217" s="228" t="s">
        <v>683</v>
      </c>
      <c r="C1217" s="327"/>
      <c r="D1217" s="151"/>
      <c r="E1217" s="327"/>
      <c r="F1217" s="151">
        <f>SUM(C1217:E1217)</f>
        <v>0</v>
      </c>
    </row>
    <row r="1218" spans="1:6" ht="12.75">
      <c r="A1218" s="371" t="s">
        <v>319</v>
      </c>
      <c r="B1218" s="228" t="s">
        <v>682</v>
      </c>
      <c r="C1218" s="812"/>
      <c r="D1218" s="814"/>
      <c r="E1218" s="812"/>
      <c r="F1218" s="814">
        <f>SUM(C1218:E1218)</f>
        <v>0</v>
      </c>
    </row>
    <row r="1219" spans="1:6" ht="12.75">
      <c r="A1219" s="371" t="s">
        <v>320</v>
      </c>
      <c r="B1219" s="228" t="s">
        <v>684</v>
      </c>
      <c r="C1219" s="327"/>
      <c r="D1219" s="151"/>
      <c r="E1219" s="327"/>
      <c r="F1219" s="151">
        <f>SUM(C1219:E1219)</f>
        <v>0</v>
      </c>
    </row>
    <row r="1220" spans="1:6" ht="12.75">
      <c r="A1220" s="371" t="s">
        <v>321</v>
      </c>
      <c r="B1220" s="228" t="s">
        <v>685</v>
      </c>
      <c r="C1220" s="327"/>
      <c r="D1220" s="151"/>
      <c r="E1220" s="327"/>
      <c r="F1220" s="151">
        <f>SUM(C1220:E1220)</f>
        <v>0</v>
      </c>
    </row>
    <row r="1221" spans="1:6" ht="12.75">
      <c r="A1221" s="371" t="s">
        <v>322</v>
      </c>
      <c r="B1221" s="228" t="s">
        <v>686</v>
      </c>
      <c r="C1221" s="327">
        <f>C1222+C1223+C1224+C1225+C1226+C1227+C1228</f>
        <v>0</v>
      </c>
      <c r="D1221" s="327">
        <f>D1222+D1223+D1224+D1225+D1226+D1227+D1228</f>
        <v>0</v>
      </c>
      <c r="E1221" s="327">
        <f>E1222+E1223+E1224+E1225+E1226+E1227+E1228</f>
        <v>0</v>
      </c>
      <c r="F1221" s="151">
        <f>F1222+F1223+F1224+F1225+F1226+F1227+F1228</f>
        <v>0</v>
      </c>
    </row>
    <row r="1222" spans="1:6" ht="12.75">
      <c r="A1222" s="371" t="s">
        <v>323</v>
      </c>
      <c r="B1222" s="228" t="s">
        <v>690</v>
      </c>
      <c r="C1222" s="327">
        <v>0</v>
      </c>
      <c r="D1222" s="151">
        <v>0</v>
      </c>
      <c r="E1222" s="327">
        <v>0</v>
      </c>
      <c r="F1222" s="151">
        <f>E1222+D1222+C1222</f>
        <v>0</v>
      </c>
    </row>
    <row r="1223" spans="1:6" ht="12.75">
      <c r="A1223" s="371" t="s">
        <v>324</v>
      </c>
      <c r="B1223" s="228" t="s">
        <v>691</v>
      </c>
      <c r="C1223" s="327"/>
      <c r="D1223" s="151"/>
      <c r="E1223" s="327"/>
      <c r="F1223" s="151">
        <f aca="true" t="shared" si="65" ref="F1223:F1229">E1223+D1223+C1223</f>
        <v>0</v>
      </c>
    </row>
    <row r="1224" spans="1:6" ht="12.75">
      <c r="A1224" s="371" t="s">
        <v>325</v>
      </c>
      <c r="B1224" s="228" t="s">
        <v>692</v>
      </c>
      <c r="C1224" s="327"/>
      <c r="D1224" s="151"/>
      <c r="E1224" s="327"/>
      <c r="F1224" s="151">
        <f t="shared" si="65"/>
        <v>0</v>
      </c>
    </row>
    <row r="1225" spans="1:6" ht="12.75">
      <c r="A1225" s="371" t="s">
        <v>326</v>
      </c>
      <c r="B1225" s="380" t="s">
        <v>688</v>
      </c>
      <c r="C1225" s="262"/>
      <c r="D1225" s="155"/>
      <c r="E1225" s="327"/>
      <c r="F1225" s="151">
        <f t="shared" si="65"/>
        <v>0</v>
      </c>
    </row>
    <row r="1226" spans="1:6" ht="12.75">
      <c r="A1226" s="371" t="s">
        <v>327</v>
      </c>
      <c r="B1226" s="834" t="s">
        <v>689</v>
      </c>
      <c r="C1226" s="328"/>
      <c r="D1226" s="152"/>
      <c r="E1226" s="327"/>
      <c r="F1226" s="151">
        <f t="shared" si="65"/>
        <v>0</v>
      </c>
    </row>
    <row r="1227" spans="1:6" ht="12.75">
      <c r="A1227" s="371" t="s">
        <v>328</v>
      </c>
      <c r="B1227" s="835" t="s">
        <v>687</v>
      </c>
      <c r="C1227" s="330"/>
      <c r="D1227" s="152"/>
      <c r="E1227" s="327"/>
      <c r="F1227" s="151">
        <f t="shared" si="65"/>
        <v>0</v>
      </c>
    </row>
    <row r="1228" spans="1:6" ht="12.75">
      <c r="A1228" s="371" t="s">
        <v>329</v>
      </c>
      <c r="B1228" s="309" t="s">
        <v>957</v>
      </c>
      <c r="C1228" s="328"/>
      <c r="D1228" s="152"/>
      <c r="E1228" s="327"/>
      <c r="F1228" s="151">
        <f t="shared" si="65"/>
        <v>0</v>
      </c>
    </row>
    <row r="1229" spans="1:6" ht="13.5" thickBot="1">
      <c r="A1229" s="383" t="s">
        <v>330</v>
      </c>
      <c r="B1229" s="1374" t="s">
        <v>694</v>
      </c>
      <c r="C1229" s="1375"/>
      <c r="D1229" s="325"/>
      <c r="E1229" s="1375"/>
      <c r="F1229" s="325">
        <f t="shared" si="65"/>
        <v>0</v>
      </c>
    </row>
    <row r="1230" spans="1:6" ht="13.5" thickBot="1">
      <c r="A1230" s="615" t="s">
        <v>331</v>
      </c>
      <c r="B1230" s="616" t="s">
        <v>6</v>
      </c>
      <c r="C1230" s="624">
        <f>C1216+C1217+C1218+C1219+C1221+C1229</f>
        <v>0</v>
      </c>
      <c r="D1230" s="624">
        <f>D1216+D1217+D1218+D1219+D1221+D1229</f>
        <v>0</v>
      </c>
      <c r="E1230" s="624">
        <f>E1216+E1217+E1218+E1219+E1221+E1229</f>
        <v>0</v>
      </c>
      <c r="F1230" s="625">
        <f>F1216+F1217+F1218+F1219+F1221+F1229</f>
        <v>0</v>
      </c>
    </row>
    <row r="1231" spans="1:6" ht="9.75" customHeight="1" thickTop="1">
      <c r="A1231" s="604"/>
      <c r="B1231" s="379"/>
      <c r="C1231" s="261"/>
      <c r="D1231" s="261"/>
      <c r="E1231" s="261"/>
      <c r="F1231" s="159"/>
    </row>
    <row r="1232" spans="1:6" ht="12.75">
      <c r="A1232" s="372" t="s">
        <v>332</v>
      </c>
      <c r="B1232" s="381" t="s">
        <v>257</v>
      </c>
      <c r="C1232" s="329"/>
      <c r="D1232" s="154"/>
      <c r="E1232" s="329"/>
      <c r="F1232" s="206"/>
    </row>
    <row r="1233" spans="1:6" ht="12.75">
      <c r="A1233" s="372" t="s">
        <v>333</v>
      </c>
      <c r="B1233" s="228" t="s">
        <v>695</v>
      </c>
      <c r="C1233" s="327">
        <f>'4_sz_ melléklet'!D441</f>
        <v>2003</v>
      </c>
      <c r="D1233" s="151"/>
      <c r="E1233" s="327"/>
      <c r="F1233" s="151">
        <f>SUM(C1233:E1233)</f>
        <v>2003</v>
      </c>
    </row>
    <row r="1234" spans="1:6" ht="12.75">
      <c r="A1234" s="372" t="s">
        <v>334</v>
      </c>
      <c r="B1234" s="228" t="s">
        <v>696</v>
      </c>
      <c r="C1234" s="327"/>
      <c r="D1234" s="151"/>
      <c r="E1234" s="327"/>
      <c r="F1234" s="151">
        <f>SUM(C1234:E1234)</f>
        <v>0</v>
      </c>
    </row>
    <row r="1235" spans="1:6" ht="12.75">
      <c r="A1235" s="372" t="s">
        <v>336</v>
      </c>
      <c r="B1235" s="228" t="s">
        <v>697</v>
      </c>
      <c r="C1235" s="327">
        <f>C1236+C1237+C1238+C1239+C1240+C1241+C1242</f>
        <v>0</v>
      </c>
      <c r="D1235" s="327">
        <f>D1236+D1237+D1238+D1239+D1240+D1241+D1242</f>
        <v>0</v>
      </c>
      <c r="E1235" s="327">
        <f>E1236+E1237+E1238+E1239+E1240+E1241+E1242</f>
        <v>0</v>
      </c>
      <c r="F1235" s="151">
        <f>F1236+F1237+F1238+F1239+F1240+F1241+F1242</f>
        <v>0</v>
      </c>
    </row>
    <row r="1236" spans="1:6" ht="12.75">
      <c r="A1236" s="372" t="s">
        <v>337</v>
      </c>
      <c r="B1236" s="380" t="s">
        <v>698</v>
      </c>
      <c r="C1236" s="327"/>
      <c r="D1236" s="151"/>
      <c r="E1236" s="327"/>
      <c r="F1236" s="151">
        <f>SUM(C1236:E1236)</f>
        <v>0</v>
      </c>
    </row>
    <row r="1237" spans="1:6" ht="12.75">
      <c r="A1237" s="372" t="s">
        <v>338</v>
      </c>
      <c r="B1237" s="380" t="s">
        <v>699</v>
      </c>
      <c r="C1237" s="327"/>
      <c r="D1237" s="151"/>
      <c r="E1237" s="327"/>
      <c r="F1237" s="151">
        <f aca="true" t="shared" si="66" ref="F1237:F1243">SUM(C1237:E1237)</f>
        <v>0</v>
      </c>
    </row>
    <row r="1238" spans="1:6" ht="12.75">
      <c r="A1238" s="372" t="s">
        <v>339</v>
      </c>
      <c r="B1238" s="380" t="s">
        <v>700</v>
      </c>
      <c r="C1238" s="327"/>
      <c r="D1238" s="151"/>
      <c r="E1238" s="327"/>
      <c r="F1238" s="151">
        <f t="shared" si="66"/>
        <v>0</v>
      </c>
    </row>
    <row r="1239" spans="1:6" ht="12.75">
      <c r="A1239" s="372" t="s">
        <v>340</v>
      </c>
      <c r="B1239" s="380" t="s">
        <v>701</v>
      </c>
      <c r="C1239" s="327"/>
      <c r="D1239" s="151"/>
      <c r="E1239" s="327"/>
      <c r="F1239" s="151">
        <f t="shared" si="66"/>
        <v>0</v>
      </c>
    </row>
    <row r="1240" spans="1:6" ht="12.75">
      <c r="A1240" s="372" t="s">
        <v>341</v>
      </c>
      <c r="B1240" s="834" t="s">
        <v>702</v>
      </c>
      <c r="C1240" s="327"/>
      <c r="D1240" s="151"/>
      <c r="E1240" s="327"/>
      <c r="F1240" s="151">
        <f t="shared" si="66"/>
        <v>0</v>
      </c>
    </row>
    <row r="1241" spans="1:6" ht="12.75">
      <c r="A1241" s="372" t="s">
        <v>342</v>
      </c>
      <c r="B1241" s="309" t="s">
        <v>703</v>
      </c>
      <c r="C1241" s="327"/>
      <c r="D1241" s="151"/>
      <c r="E1241" s="327"/>
      <c r="F1241" s="151">
        <f t="shared" si="66"/>
        <v>0</v>
      </c>
    </row>
    <row r="1242" spans="1:6" ht="12.75">
      <c r="A1242" s="372" t="s">
        <v>343</v>
      </c>
      <c r="B1242" s="1091" t="s">
        <v>704</v>
      </c>
      <c r="C1242" s="327"/>
      <c r="D1242" s="151"/>
      <c r="E1242" s="327"/>
      <c r="F1242" s="151">
        <f t="shared" si="66"/>
        <v>0</v>
      </c>
    </row>
    <row r="1243" spans="1:6" ht="12.75">
      <c r="A1243" s="372" t="s">
        <v>344</v>
      </c>
      <c r="B1243" s="228"/>
      <c r="C1243" s="327"/>
      <c r="D1243" s="151"/>
      <c r="E1243" s="327"/>
      <c r="F1243" s="151">
        <f t="shared" si="66"/>
        <v>0</v>
      </c>
    </row>
    <row r="1244" spans="1:6" ht="13.5" thickBot="1">
      <c r="A1244" s="372" t="s">
        <v>345</v>
      </c>
      <c r="B1244" s="230"/>
      <c r="C1244" s="330">
        <f>-C1219</f>
        <v>0</v>
      </c>
      <c r="D1244" s="330">
        <f>-D1219</f>
        <v>0</v>
      </c>
      <c r="E1244" s="330">
        <f>-E1219</f>
        <v>0</v>
      </c>
      <c r="F1244" s="152">
        <f>-F1219</f>
        <v>0</v>
      </c>
    </row>
    <row r="1245" spans="1:6" ht="13.5" thickBot="1">
      <c r="A1245" s="615" t="s">
        <v>346</v>
      </c>
      <c r="B1245" s="616" t="s">
        <v>7</v>
      </c>
      <c r="C1245" s="624">
        <f>C1233+C1234+C1235+C1243+C1244</f>
        <v>2003</v>
      </c>
      <c r="D1245" s="624">
        <f>D1233+D1234+D1235+D1243+D1244</f>
        <v>0</v>
      </c>
      <c r="E1245" s="624">
        <f>E1233+E1234+E1235+E1243+E1244</f>
        <v>0</v>
      </c>
      <c r="F1245" s="625">
        <f>F1233+F1234+F1235+F1243+F1244</f>
        <v>2003</v>
      </c>
    </row>
    <row r="1246" spans="1:6" ht="27" thickBot="1" thickTop="1">
      <c r="A1246" s="615" t="s">
        <v>347</v>
      </c>
      <c r="B1246" s="620" t="s">
        <v>503</v>
      </c>
      <c r="C1246" s="627">
        <f>C1230+C1245</f>
        <v>2003</v>
      </c>
      <c r="D1246" s="627">
        <f>D1230+D1245</f>
        <v>0</v>
      </c>
      <c r="E1246" s="627">
        <f>E1230+E1245</f>
        <v>0</v>
      </c>
      <c r="F1246" s="628">
        <f>F1230+F1245</f>
        <v>2003</v>
      </c>
    </row>
    <row r="1247" spans="1:6" ht="6.75" customHeight="1" thickTop="1">
      <c r="A1247" s="604"/>
      <c r="B1247" s="848"/>
      <c r="C1247" s="267"/>
      <c r="D1247" s="267"/>
      <c r="E1247" s="267"/>
      <c r="F1247" s="272"/>
    </row>
    <row r="1248" spans="1:6" ht="12.75">
      <c r="A1248" s="372" t="s">
        <v>348</v>
      </c>
      <c r="B1248" s="485" t="s">
        <v>504</v>
      </c>
      <c r="C1248" s="626"/>
      <c r="D1248" s="154"/>
      <c r="E1248" s="329"/>
      <c r="F1248" s="206"/>
    </row>
    <row r="1249" spans="1:6" ht="12.75">
      <c r="A1249" s="371" t="s">
        <v>349</v>
      </c>
      <c r="B1249" s="229" t="s">
        <v>726</v>
      </c>
      <c r="C1249" s="332"/>
      <c r="D1249" s="151"/>
      <c r="E1249" s="327"/>
      <c r="F1249" s="151">
        <f>SUM(C1249:E1249)</f>
        <v>0</v>
      </c>
    </row>
    <row r="1250" spans="1:6" ht="12.75">
      <c r="A1250" s="371" t="s">
        <v>350</v>
      </c>
      <c r="B1250" s="697" t="s">
        <v>724</v>
      </c>
      <c r="C1250" s="841"/>
      <c r="D1250" s="156"/>
      <c r="E1250" s="328"/>
      <c r="F1250" s="151">
        <f aca="true" t="shared" si="67" ref="F1250:F1256">SUM(C1250:E1250)</f>
        <v>0</v>
      </c>
    </row>
    <row r="1251" spans="1:6" ht="12.75">
      <c r="A1251" s="371" t="s">
        <v>351</v>
      </c>
      <c r="B1251" s="697" t="s">
        <v>723</v>
      </c>
      <c r="C1251" s="841"/>
      <c r="D1251" s="156"/>
      <c r="E1251" s="328"/>
      <c r="F1251" s="151">
        <f t="shared" si="67"/>
        <v>0</v>
      </c>
    </row>
    <row r="1252" spans="1:6" ht="12.75">
      <c r="A1252" s="371" t="s">
        <v>352</v>
      </c>
      <c r="B1252" s="697" t="s">
        <v>725</v>
      </c>
      <c r="C1252" s="841"/>
      <c r="D1252" s="156"/>
      <c r="E1252" s="328"/>
      <c r="F1252" s="151">
        <f t="shared" si="67"/>
        <v>0</v>
      </c>
    </row>
    <row r="1253" spans="1:6" ht="12.75">
      <c r="A1253" s="371" t="s">
        <v>353</v>
      </c>
      <c r="B1253" s="836" t="s">
        <v>727</v>
      </c>
      <c r="C1253" s="841"/>
      <c r="D1253" s="156"/>
      <c r="E1253" s="328"/>
      <c r="F1253" s="151">
        <f t="shared" si="67"/>
        <v>0</v>
      </c>
    </row>
    <row r="1254" spans="1:6" ht="12.75">
      <c r="A1254" s="371" t="s">
        <v>354</v>
      </c>
      <c r="B1254" s="837" t="s">
        <v>730</v>
      </c>
      <c r="C1254" s="841"/>
      <c r="D1254" s="156"/>
      <c r="E1254" s="328"/>
      <c r="F1254" s="151">
        <f t="shared" si="67"/>
        <v>0</v>
      </c>
    </row>
    <row r="1255" spans="1:6" ht="12.75">
      <c r="A1255" s="371" t="s">
        <v>355</v>
      </c>
      <c r="B1255" s="838" t="s">
        <v>729</v>
      </c>
      <c r="C1255" s="841"/>
      <c r="D1255" s="156"/>
      <c r="E1255" s="328"/>
      <c r="F1255" s="151">
        <f t="shared" si="67"/>
        <v>0</v>
      </c>
    </row>
    <row r="1256" spans="1:6" ht="13.5" thickBot="1">
      <c r="A1256" s="371" t="s">
        <v>356</v>
      </c>
      <c r="B1256" s="382" t="s">
        <v>728</v>
      </c>
      <c r="C1256" s="841"/>
      <c r="D1256" s="156"/>
      <c r="E1256" s="328"/>
      <c r="F1256" s="151">
        <f t="shared" si="67"/>
        <v>0</v>
      </c>
    </row>
    <row r="1257" spans="1:6" ht="13.5" thickBot="1">
      <c r="A1257" s="395" t="s">
        <v>357</v>
      </c>
      <c r="B1257" s="315" t="s">
        <v>505</v>
      </c>
      <c r="C1257" s="842">
        <f>SUM(C1249:C1256)</f>
        <v>0</v>
      </c>
      <c r="D1257" s="842">
        <f>SUM(D1249:D1256)</f>
        <v>0</v>
      </c>
      <c r="E1257" s="842">
        <f>SUM(E1249:E1256)</f>
        <v>0</v>
      </c>
      <c r="F1257" s="948">
        <f>SUM(F1249:F1256)</f>
        <v>0</v>
      </c>
    </row>
    <row r="1258" spans="1:6" ht="12.75">
      <c r="A1258" s="604"/>
      <c r="B1258" s="44"/>
      <c r="C1258" s="854"/>
      <c r="D1258" s="856"/>
      <c r="E1258" s="816"/>
      <c r="F1258" s="693"/>
    </row>
    <row r="1259" spans="1:6" ht="13.5" thickBot="1">
      <c r="A1259" s="456" t="s">
        <v>358</v>
      </c>
      <c r="B1259" s="1379" t="s">
        <v>506</v>
      </c>
      <c r="C1259" s="994">
        <f>C1246+C1257</f>
        <v>2003</v>
      </c>
      <c r="D1259" s="995">
        <f>D1246+D1257</f>
        <v>0</v>
      </c>
      <c r="E1259" s="994">
        <f>E1246+E1257</f>
        <v>0</v>
      </c>
      <c r="F1259" s="994">
        <f>F1246+F1257</f>
        <v>2003</v>
      </c>
    </row>
    <row r="1260" spans="1:6" ht="12.75">
      <c r="A1260" s="393"/>
      <c r="B1260" s="827"/>
      <c r="C1260" s="695"/>
      <c r="D1260" s="695"/>
      <c r="E1260" s="695"/>
      <c r="F1260" s="695"/>
    </row>
    <row r="1261" spans="1:6" ht="12.75">
      <c r="A1261" s="1675">
        <v>24</v>
      </c>
      <c r="B1261" s="1675"/>
      <c r="C1261" s="1675"/>
      <c r="D1261" s="1675"/>
      <c r="E1261" s="1675"/>
      <c r="F1261" s="1675"/>
    </row>
    <row r="1262" spans="1:5" ht="12.75">
      <c r="A1262" s="1654" t="s">
        <v>1456</v>
      </c>
      <c r="B1262" s="1654"/>
      <c r="C1262" s="1654"/>
      <c r="D1262" s="1654"/>
      <c r="E1262" s="1654"/>
    </row>
    <row r="1263" spans="1:5" ht="12.75">
      <c r="A1263" s="384"/>
      <c r="B1263" s="384"/>
      <c r="C1263" s="384"/>
      <c r="D1263" s="384"/>
      <c r="E1263" s="384"/>
    </row>
    <row r="1264" spans="1:6" ht="14.25">
      <c r="A1264" s="1809" t="s">
        <v>1098</v>
      </c>
      <c r="B1264" s="1810"/>
      <c r="C1264" s="1810"/>
      <c r="D1264" s="1810"/>
      <c r="E1264" s="1810"/>
      <c r="F1264" s="1810"/>
    </row>
    <row r="1265" spans="2:5" ht="15.75">
      <c r="B1265" s="21"/>
      <c r="C1265" s="21"/>
      <c r="D1265" s="21"/>
      <c r="E1265" s="21"/>
    </row>
    <row r="1266" spans="2:5" ht="15.75">
      <c r="B1266" s="21" t="s">
        <v>1001</v>
      </c>
      <c r="C1266" s="21"/>
      <c r="D1266" s="21"/>
      <c r="E1266" s="21"/>
    </row>
    <row r="1267" spans="2:5" ht="13.5" thickBot="1">
      <c r="B1267" s="1"/>
      <c r="C1267" s="1"/>
      <c r="D1267" s="1"/>
      <c r="E1267" s="22" t="s">
        <v>8</v>
      </c>
    </row>
    <row r="1268" spans="1:6" ht="48.75" thickBot="1">
      <c r="A1268" s="399" t="s">
        <v>311</v>
      </c>
      <c r="B1268" s="610" t="s">
        <v>13</v>
      </c>
      <c r="C1268" s="387" t="s">
        <v>540</v>
      </c>
      <c r="D1268" s="388" t="s">
        <v>541</v>
      </c>
      <c r="E1268" s="387" t="s">
        <v>536</v>
      </c>
      <c r="F1268" s="388" t="s">
        <v>535</v>
      </c>
    </row>
    <row r="1269" spans="1:6" ht="12.75">
      <c r="A1269" s="611" t="s">
        <v>312</v>
      </c>
      <c r="B1269" s="612" t="s">
        <v>313</v>
      </c>
      <c r="C1269" s="621" t="s">
        <v>314</v>
      </c>
      <c r="D1269" s="622" t="s">
        <v>315</v>
      </c>
      <c r="E1269" s="796" t="s">
        <v>335</v>
      </c>
      <c r="F1269" s="797" t="s">
        <v>360</v>
      </c>
    </row>
    <row r="1270" spans="1:6" ht="12.75">
      <c r="A1270" s="372" t="s">
        <v>316</v>
      </c>
      <c r="B1270" s="379" t="s">
        <v>256</v>
      </c>
      <c r="C1270" s="327"/>
      <c r="D1270" s="151"/>
      <c r="E1270" s="327"/>
      <c r="F1270" s="136"/>
    </row>
    <row r="1271" spans="1:6" ht="12.75">
      <c r="A1271" s="371" t="s">
        <v>317</v>
      </c>
      <c r="B1271" s="199" t="s">
        <v>681</v>
      </c>
      <c r="C1271" s="327"/>
      <c r="D1271" s="151"/>
      <c r="E1271" s="327"/>
      <c r="F1271" s="151">
        <f>SUM(C1271:E1271)</f>
        <v>0</v>
      </c>
    </row>
    <row r="1272" spans="1:6" ht="12.75">
      <c r="A1272" s="371" t="s">
        <v>318</v>
      </c>
      <c r="B1272" s="228" t="s">
        <v>683</v>
      </c>
      <c r="C1272" s="327"/>
      <c r="D1272" s="151"/>
      <c r="E1272" s="327"/>
      <c r="F1272" s="151">
        <f>SUM(C1272:E1272)</f>
        <v>0</v>
      </c>
    </row>
    <row r="1273" spans="1:6" ht="12.75">
      <c r="A1273" s="371" t="s">
        <v>319</v>
      </c>
      <c r="B1273" s="228" t="s">
        <v>682</v>
      </c>
      <c r="C1273" s="327">
        <v>1001</v>
      </c>
      <c r="D1273" s="151"/>
      <c r="E1273" s="327"/>
      <c r="F1273" s="151">
        <f>SUM(C1273:E1273)</f>
        <v>1001</v>
      </c>
    </row>
    <row r="1274" spans="1:6" ht="12.75">
      <c r="A1274" s="371" t="s">
        <v>320</v>
      </c>
      <c r="B1274" s="228" t="s">
        <v>684</v>
      </c>
      <c r="C1274" s="327"/>
      <c r="D1274" s="151"/>
      <c r="E1274" s="327"/>
      <c r="F1274" s="151">
        <f>SUM(C1274:E1274)</f>
        <v>0</v>
      </c>
    </row>
    <row r="1275" spans="1:6" ht="12.75">
      <c r="A1275" s="371" t="s">
        <v>321</v>
      </c>
      <c r="B1275" s="228" t="s">
        <v>685</v>
      </c>
      <c r="C1275" s="327"/>
      <c r="D1275" s="151"/>
      <c r="E1275" s="327"/>
      <c r="F1275" s="151">
        <f>SUM(C1275:E1275)</f>
        <v>0</v>
      </c>
    </row>
    <row r="1276" spans="1:6" ht="12.75">
      <c r="A1276" s="371" t="s">
        <v>322</v>
      </c>
      <c r="B1276" s="228" t="s">
        <v>686</v>
      </c>
      <c r="C1276" s="327">
        <f>C1277+C1278+C1279+C1280+C1281+C1282+C1283</f>
        <v>0</v>
      </c>
      <c r="D1276" s="327">
        <f>D1277+D1278+D1279+D1280+D1281+D1282+D1283</f>
        <v>0</v>
      </c>
      <c r="E1276" s="327">
        <f>E1277+E1278+E1279+E1280+E1281+E1282+E1283</f>
        <v>0</v>
      </c>
      <c r="F1276" s="151">
        <f>F1277+F1278+F1279+F1280+F1281+F1282+F1283</f>
        <v>0</v>
      </c>
    </row>
    <row r="1277" spans="1:6" ht="12.75">
      <c r="A1277" s="371" t="s">
        <v>323</v>
      </c>
      <c r="B1277" s="228" t="s">
        <v>690</v>
      </c>
      <c r="C1277" s="327">
        <v>0</v>
      </c>
      <c r="D1277" s="151">
        <v>0</v>
      </c>
      <c r="E1277" s="327">
        <v>0</v>
      </c>
      <c r="F1277" s="151">
        <f>E1277+D1277+C1277</f>
        <v>0</v>
      </c>
    </row>
    <row r="1278" spans="1:6" ht="12.75">
      <c r="A1278" s="371" t="s">
        <v>324</v>
      </c>
      <c r="B1278" s="228" t="s">
        <v>691</v>
      </c>
      <c r="C1278" s="327"/>
      <c r="D1278" s="151"/>
      <c r="E1278" s="327"/>
      <c r="F1278" s="151">
        <f aca="true" t="shared" si="68" ref="F1278:F1284">E1278+D1278+C1278</f>
        <v>0</v>
      </c>
    </row>
    <row r="1279" spans="1:6" ht="12.75">
      <c r="A1279" s="371" t="s">
        <v>325</v>
      </c>
      <c r="B1279" s="228" t="s">
        <v>692</v>
      </c>
      <c r="C1279" s="327"/>
      <c r="D1279" s="151"/>
      <c r="E1279" s="327"/>
      <c r="F1279" s="151">
        <f t="shared" si="68"/>
        <v>0</v>
      </c>
    </row>
    <row r="1280" spans="1:6" ht="12.75">
      <c r="A1280" s="371" t="s">
        <v>326</v>
      </c>
      <c r="B1280" s="380" t="s">
        <v>688</v>
      </c>
      <c r="C1280" s="262"/>
      <c r="D1280" s="155"/>
      <c r="E1280" s="327"/>
      <c r="F1280" s="151">
        <f t="shared" si="68"/>
        <v>0</v>
      </c>
    </row>
    <row r="1281" spans="1:6" ht="12.75">
      <c r="A1281" s="371" t="s">
        <v>327</v>
      </c>
      <c r="B1281" s="834" t="s">
        <v>689</v>
      </c>
      <c r="C1281" s="328"/>
      <c r="D1281" s="152"/>
      <c r="E1281" s="327"/>
      <c r="F1281" s="151">
        <f t="shared" si="68"/>
        <v>0</v>
      </c>
    </row>
    <row r="1282" spans="1:6" ht="12.75">
      <c r="A1282" s="371" t="s">
        <v>328</v>
      </c>
      <c r="B1282" s="835" t="s">
        <v>687</v>
      </c>
      <c r="C1282" s="330"/>
      <c r="D1282" s="152"/>
      <c r="E1282" s="327"/>
      <c r="F1282" s="151">
        <f t="shared" si="68"/>
        <v>0</v>
      </c>
    </row>
    <row r="1283" spans="1:6" ht="12.75">
      <c r="A1283" s="371" t="s">
        <v>329</v>
      </c>
      <c r="B1283" s="309" t="s">
        <v>957</v>
      </c>
      <c r="C1283" s="330"/>
      <c r="D1283" s="152"/>
      <c r="E1283" s="327"/>
      <c r="F1283" s="156"/>
    </row>
    <row r="1284" spans="1:6" ht="13.5" thickBot="1">
      <c r="A1284" s="371" t="s">
        <v>330</v>
      </c>
      <c r="B1284" s="230" t="s">
        <v>694</v>
      </c>
      <c r="C1284" s="328"/>
      <c r="D1284" s="156"/>
      <c r="E1284" s="327"/>
      <c r="F1284" s="325">
        <f t="shared" si="68"/>
        <v>0</v>
      </c>
    </row>
    <row r="1285" spans="1:6" ht="13.5" thickBot="1">
      <c r="A1285" s="615" t="s">
        <v>331</v>
      </c>
      <c r="B1285" s="616" t="s">
        <v>6</v>
      </c>
      <c r="C1285" s="624">
        <f>C1271+C1272+C1273+C1274+C1276+C1284</f>
        <v>1001</v>
      </c>
      <c r="D1285" s="624">
        <f>D1271+D1272+D1273+D1274+D1276+D1284</f>
        <v>0</v>
      </c>
      <c r="E1285" s="624">
        <f>E1271+E1272+E1273+E1274+E1276+E1284</f>
        <v>0</v>
      </c>
      <c r="F1285" s="625">
        <f>F1271+F1272+F1273+F1274+F1276+F1284</f>
        <v>1001</v>
      </c>
    </row>
    <row r="1286" spans="1:6" ht="9.75" customHeight="1" thickTop="1">
      <c r="A1286" s="604"/>
      <c r="B1286" s="379"/>
      <c r="C1286" s="261"/>
      <c r="D1286" s="261"/>
      <c r="E1286" s="261"/>
      <c r="F1286" s="159"/>
    </row>
    <row r="1287" spans="1:6" ht="12.75">
      <c r="A1287" s="372" t="s">
        <v>332</v>
      </c>
      <c r="B1287" s="381" t="s">
        <v>257</v>
      </c>
      <c r="C1287" s="329"/>
      <c r="D1287" s="154"/>
      <c r="E1287" s="329"/>
      <c r="F1287" s="206"/>
    </row>
    <row r="1288" spans="1:6" ht="12.75">
      <c r="A1288" s="372" t="s">
        <v>333</v>
      </c>
      <c r="B1288" s="228" t="s">
        <v>695</v>
      </c>
      <c r="C1288" s="327">
        <f>'33_sz_ melléklet'!C79</f>
        <v>1379</v>
      </c>
      <c r="D1288" s="151"/>
      <c r="E1288" s="327"/>
      <c r="F1288" s="151">
        <f>SUM(C1288:E1288)</f>
        <v>1379</v>
      </c>
    </row>
    <row r="1289" spans="1:6" ht="12.75">
      <c r="A1289" s="372" t="s">
        <v>334</v>
      </c>
      <c r="B1289" s="228" t="s">
        <v>696</v>
      </c>
      <c r="C1289" s="327"/>
      <c r="D1289" s="151"/>
      <c r="E1289" s="327"/>
      <c r="F1289" s="151">
        <f>SUM(C1289:E1289)</f>
        <v>0</v>
      </c>
    </row>
    <row r="1290" spans="1:6" ht="12.75">
      <c r="A1290" s="372" t="s">
        <v>336</v>
      </c>
      <c r="B1290" s="228" t="s">
        <v>697</v>
      </c>
      <c r="C1290" s="327">
        <f>C1291+C1292+C1293+C1294+C1295+C1296+C1297</f>
        <v>0</v>
      </c>
      <c r="D1290" s="327">
        <f>D1291+D1292+D1293+D1294+D1295+D1296+D1297</f>
        <v>0</v>
      </c>
      <c r="E1290" s="327">
        <f>E1291+E1292+E1293+E1294+E1295+E1296+E1297</f>
        <v>0</v>
      </c>
      <c r="F1290" s="151">
        <f>F1291+F1292+F1293+F1294+F1295+F1296+F1297</f>
        <v>0</v>
      </c>
    </row>
    <row r="1291" spans="1:6" ht="12.75">
      <c r="A1291" s="372" t="s">
        <v>337</v>
      </c>
      <c r="B1291" s="380" t="s">
        <v>698</v>
      </c>
      <c r="C1291" s="327"/>
      <c r="D1291" s="151"/>
      <c r="E1291" s="327"/>
      <c r="F1291" s="151">
        <f>SUM(C1291:E1291)</f>
        <v>0</v>
      </c>
    </row>
    <row r="1292" spans="1:6" ht="12.75">
      <c r="A1292" s="372" t="s">
        <v>338</v>
      </c>
      <c r="B1292" s="380" t="s">
        <v>699</v>
      </c>
      <c r="C1292" s="327"/>
      <c r="D1292" s="151"/>
      <c r="E1292" s="327"/>
      <c r="F1292" s="151">
        <f aca="true" t="shared" si="69" ref="F1292:F1298">SUM(C1292:E1292)</f>
        <v>0</v>
      </c>
    </row>
    <row r="1293" spans="1:6" ht="12.75">
      <c r="A1293" s="372" t="s">
        <v>339</v>
      </c>
      <c r="B1293" s="380" t="s">
        <v>700</v>
      </c>
      <c r="C1293" s="327"/>
      <c r="D1293" s="151"/>
      <c r="E1293" s="327"/>
      <c r="F1293" s="151">
        <f t="shared" si="69"/>
        <v>0</v>
      </c>
    </row>
    <row r="1294" spans="1:6" ht="12.75">
      <c r="A1294" s="372" t="s">
        <v>340</v>
      </c>
      <c r="B1294" s="380" t="s">
        <v>701</v>
      </c>
      <c r="C1294" s="327"/>
      <c r="D1294" s="151"/>
      <c r="E1294" s="327"/>
      <c r="F1294" s="151">
        <f t="shared" si="69"/>
        <v>0</v>
      </c>
    </row>
    <row r="1295" spans="1:6" ht="12.75">
      <c r="A1295" s="372" t="s">
        <v>341</v>
      </c>
      <c r="B1295" s="834" t="s">
        <v>702</v>
      </c>
      <c r="C1295" s="327"/>
      <c r="D1295" s="151"/>
      <c r="E1295" s="327"/>
      <c r="F1295" s="151">
        <f t="shared" si="69"/>
        <v>0</v>
      </c>
    </row>
    <row r="1296" spans="1:6" ht="12.75">
      <c r="A1296" s="372" t="s">
        <v>342</v>
      </c>
      <c r="B1296" s="309" t="s">
        <v>703</v>
      </c>
      <c r="C1296" s="327"/>
      <c r="D1296" s="151"/>
      <c r="E1296" s="327"/>
      <c r="F1296" s="151">
        <f t="shared" si="69"/>
        <v>0</v>
      </c>
    </row>
    <row r="1297" spans="1:6" ht="12.75">
      <c r="A1297" s="372" t="s">
        <v>343</v>
      </c>
      <c r="B1297" s="1091" t="s">
        <v>704</v>
      </c>
      <c r="C1297" s="327"/>
      <c r="D1297" s="151"/>
      <c r="E1297" s="327"/>
      <c r="F1297" s="151">
        <f t="shared" si="69"/>
        <v>0</v>
      </c>
    </row>
    <row r="1298" spans="1:6" ht="12.75">
      <c r="A1298" s="372" t="s">
        <v>344</v>
      </c>
      <c r="B1298" s="228"/>
      <c r="C1298" s="327"/>
      <c r="D1298" s="151"/>
      <c r="E1298" s="327"/>
      <c r="F1298" s="151">
        <f t="shared" si="69"/>
        <v>0</v>
      </c>
    </row>
    <row r="1299" spans="1:6" ht="13.5" thickBot="1">
      <c r="A1299" s="372" t="s">
        <v>345</v>
      </c>
      <c r="B1299" s="230"/>
      <c r="C1299" s="330">
        <f>-C1274</f>
        <v>0</v>
      </c>
      <c r="D1299" s="330">
        <f>-D1274</f>
        <v>0</v>
      </c>
      <c r="E1299" s="330">
        <f>-E1274</f>
        <v>0</v>
      </c>
      <c r="F1299" s="152">
        <f>-F1274</f>
        <v>0</v>
      </c>
    </row>
    <row r="1300" spans="1:6" ht="13.5" thickBot="1">
      <c r="A1300" s="615" t="s">
        <v>346</v>
      </c>
      <c r="B1300" s="616" t="s">
        <v>7</v>
      </c>
      <c r="C1300" s="624">
        <f>C1288+C1289+C1290+C1298+C1299</f>
        <v>1379</v>
      </c>
      <c r="D1300" s="624">
        <f>D1288+D1289+D1290+D1298+D1299</f>
        <v>0</v>
      </c>
      <c r="E1300" s="624">
        <f>E1288+E1289+E1290+E1298+E1299</f>
        <v>0</v>
      </c>
      <c r="F1300" s="625">
        <f>F1288+F1289+F1290+F1298+F1299</f>
        <v>1379</v>
      </c>
    </row>
    <row r="1301" spans="1:6" ht="27" thickBot="1" thickTop="1">
      <c r="A1301" s="615" t="s">
        <v>347</v>
      </c>
      <c r="B1301" s="620" t="s">
        <v>503</v>
      </c>
      <c r="C1301" s="627">
        <f>C1285+C1300</f>
        <v>2380</v>
      </c>
      <c r="D1301" s="627">
        <f>D1285+D1300</f>
        <v>0</v>
      </c>
      <c r="E1301" s="627">
        <f>E1285+E1300</f>
        <v>0</v>
      </c>
      <c r="F1301" s="628">
        <f>F1285+F1300</f>
        <v>2380</v>
      </c>
    </row>
    <row r="1302" spans="1:6" ht="9.75" customHeight="1" thickTop="1">
      <c r="A1302" s="604"/>
      <c r="B1302" s="848"/>
      <c r="C1302" s="267"/>
      <c r="D1302" s="267"/>
      <c r="E1302" s="267"/>
      <c r="F1302" s="272"/>
    </row>
    <row r="1303" spans="1:6" ht="12.75">
      <c r="A1303" s="372" t="s">
        <v>348</v>
      </c>
      <c r="B1303" s="485" t="s">
        <v>504</v>
      </c>
      <c r="C1303" s="626"/>
      <c r="D1303" s="154"/>
      <c r="E1303" s="329"/>
      <c r="F1303" s="206"/>
    </row>
    <row r="1304" spans="1:6" ht="12.75">
      <c r="A1304" s="371" t="s">
        <v>349</v>
      </c>
      <c r="B1304" s="229" t="s">
        <v>726</v>
      </c>
      <c r="C1304" s="332"/>
      <c r="D1304" s="151"/>
      <c r="E1304" s="327"/>
      <c r="F1304" s="151">
        <f>SUM(C1304:E1304)</f>
        <v>0</v>
      </c>
    </row>
    <row r="1305" spans="1:6" ht="12.75">
      <c r="A1305" s="371" t="s">
        <v>350</v>
      </c>
      <c r="B1305" s="697" t="s">
        <v>724</v>
      </c>
      <c r="C1305" s="841"/>
      <c r="D1305" s="156"/>
      <c r="E1305" s="328"/>
      <c r="F1305" s="151">
        <f aca="true" t="shared" si="70" ref="F1305:F1311">SUM(C1305:E1305)</f>
        <v>0</v>
      </c>
    </row>
    <row r="1306" spans="1:6" ht="12.75">
      <c r="A1306" s="371" t="s">
        <v>351</v>
      </c>
      <c r="B1306" s="697" t="s">
        <v>723</v>
      </c>
      <c r="C1306" s="841"/>
      <c r="D1306" s="156"/>
      <c r="E1306" s="328"/>
      <c r="F1306" s="151">
        <f t="shared" si="70"/>
        <v>0</v>
      </c>
    </row>
    <row r="1307" spans="1:6" ht="12.75">
      <c r="A1307" s="371" t="s">
        <v>352</v>
      </c>
      <c r="B1307" s="697" t="s">
        <v>725</v>
      </c>
      <c r="C1307" s="841"/>
      <c r="D1307" s="156"/>
      <c r="E1307" s="328"/>
      <c r="F1307" s="151">
        <f t="shared" si="70"/>
        <v>0</v>
      </c>
    </row>
    <row r="1308" spans="1:6" ht="12.75">
      <c r="A1308" s="371" t="s">
        <v>353</v>
      </c>
      <c r="B1308" s="836" t="s">
        <v>727</v>
      </c>
      <c r="C1308" s="841"/>
      <c r="D1308" s="156"/>
      <c r="E1308" s="328"/>
      <c r="F1308" s="151">
        <f t="shared" si="70"/>
        <v>0</v>
      </c>
    </row>
    <row r="1309" spans="1:6" ht="12.75">
      <c r="A1309" s="371" t="s">
        <v>354</v>
      </c>
      <c r="B1309" s="837" t="s">
        <v>730</v>
      </c>
      <c r="C1309" s="841"/>
      <c r="D1309" s="156"/>
      <c r="E1309" s="328"/>
      <c r="F1309" s="151">
        <f t="shared" si="70"/>
        <v>0</v>
      </c>
    </row>
    <row r="1310" spans="1:6" ht="12.75">
      <c r="A1310" s="371" t="s">
        <v>355</v>
      </c>
      <c r="B1310" s="838" t="s">
        <v>729</v>
      </c>
      <c r="C1310" s="841"/>
      <c r="D1310" s="156"/>
      <c r="E1310" s="328"/>
      <c r="F1310" s="151">
        <f t="shared" si="70"/>
        <v>0</v>
      </c>
    </row>
    <row r="1311" spans="1:6" ht="13.5" thickBot="1">
      <c r="A1311" s="371" t="s">
        <v>356</v>
      </c>
      <c r="B1311" s="382" t="s">
        <v>728</v>
      </c>
      <c r="C1311" s="841"/>
      <c r="D1311" s="156"/>
      <c r="E1311" s="328"/>
      <c r="F1311" s="151">
        <f t="shared" si="70"/>
        <v>0</v>
      </c>
    </row>
    <row r="1312" spans="1:6" ht="13.5" thickBot="1">
      <c r="A1312" s="395" t="s">
        <v>357</v>
      </c>
      <c r="B1312" s="315" t="s">
        <v>505</v>
      </c>
      <c r="C1312" s="842">
        <f>SUM(C1304:C1311)</f>
        <v>0</v>
      </c>
      <c r="D1312" s="842">
        <f>SUM(D1304:D1311)</f>
        <v>0</v>
      </c>
      <c r="E1312" s="842">
        <f>SUM(E1304:E1311)</f>
        <v>0</v>
      </c>
      <c r="F1312" s="948">
        <f>SUM(F1304:F1311)</f>
        <v>0</v>
      </c>
    </row>
    <row r="1313" spans="1:6" ht="12.75">
      <c r="A1313" s="604"/>
      <c r="B1313" s="44"/>
      <c r="C1313" s="854"/>
      <c r="D1313" s="856"/>
      <c r="E1313" s="816"/>
      <c r="F1313" s="693"/>
    </row>
    <row r="1314" spans="1:6" ht="13.5" thickBot="1">
      <c r="A1314" s="456" t="s">
        <v>358</v>
      </c>
      <c r="B1314" s="1379" t="s">
        <v>506</v>
      </c>
      <c r="C1314" s="994">
        <f>C1301+C1312</f>
        <v>2380</v>
      </c>
      <c r="D1314" s="995">
        <f>D1301+D1312</f>
        <v>0</v>
      </c>
      <c r="E1314" s="994">
        <f>E1301+E1312</f>
        <v>0</v>
      </c>
      <c r="F1314" s="994">
        <f>F1301+F1312</f>
        <v>2380</v>
      </c>
    </row>
    <row r="1315" spans="1:6" ht="12.75">
      <c r="A1315" s="1675">
        <v>25</v>
      </c>
      <c r="B1315" s="1675"/>
      <c r="C1315" s="1675"/>
      <c r="D1315" s="1675"/>
      <c r="E1315" s="1675"/>
      <c r="F1315" s="1675"/>
    </row>
    <row r="1316" spans="1:5" ht="12.75">
      <c r="A1316" s="1654" t="s">
        <v>1456</v>
      </c>
      <c r="B1316" s="1654"/>
      <c r="C1316" s="1654"/>
      <c r="D1316" s="1654"/>
      <c r="E1316" s="1654"/>
    </row>
    <row r="1317" spans="1:5" ht="12.75">
      <c r="A1317" s="384"/>
      <c r="B1317" s="384"/>
      <c r="C1317" s="384"/>
      <c r="D1317" s="384"/>
      <c r="E1317" s="384"/>
    </row>
    <row r="1318" spans="1:6" ht="14.25">
      <c r="A1318" s="1809" t="s">
        <v>1098</v>
      </c>
      <c r="B1318" s="1810"/>
      <c r="C1318" s="1810"/>
      <c r="D1318" s="1810"/>
      <c r="E1318" s="1810"/>
      <c r="F1318" s="1810"/>
    </row>
    <row r="1319" spans="2:5" ht="9.75" customHeight="1">
      <c r="B1319" s="21"/>
      <c r="C1319" s="21"/>
      <c r="D1319" s="21"/>
      <c r="E1319" s="21"/>
    </row>
    <row r="1320" spans="2:5" ht="15.75">
      <c r="B1320" s="21" t="s">
        <v>500</v>
      </c>
      <c r="C1320" s="21"/>
      <c r="D1320" s="21"/>
      <c r="E1320" s="21"/>
    </row>
    <row r="1321" spans="2:5" ht="13.5" thickBot="1">
      <c r="B1321" s="1"/>
      <c r="C1321" s="1"/>
      <c r="D1321" s="1"/>
      <c r="E1321" s="22" t="s">
        <v>8</v>
      </c>
    </row>
    <row r="1322" spans="1:6" ht="48.75" thickBot="1">
      <c r="A1322" s="399" t="s">
        <v>311</v>
      </c>
      <c r="B1322" s="610" t="s">
        <v>13</v>
      </c>
      <c r="C1322" s="387" t="s">
        <v>540</v>
      </c>
      <c r="D1322" s="388" t="s">
        <v>541</v>
      </c>
      <c r="E1322" s="387" t="s">
        <v>536</v>
      </c>
      <c r="F1322" s="388" t="s">
        <v>535</v>
      </c>
    </row>
    <row r="1323" spans="1:6" ht="12.75">
      <c r="A1323" s="611" t="s">
        <v>312</v>
      </c>
      <c r="B1323" s="612" t="s">
        <v>313</v>
      </c>
      <c r="C1323" s="621" t="s">
        <v>314</v>
      </c>
      <c r="D1323" s="622" t="s">
        <v>315</v>
      </c>
      <c r="E1323" s="796" t="s">
        <v>335</v>
      </c>
      <c r="F1323" s="797" t="s">
        <v>360</v>
      </c>
    </row>
    <row r="1324" spans="1:6" ht="12.75">
      <c r="A1324" s="372" t="s">
        <v>316</v>
      </c>
      <c r="B1324" s="379" t="s">
        <v>256</v>
      </c>
      <c r="C1324" s="327"/>
      <c r="D1324" s="151"/>
      <c r="E1324" s="327"/>
      <c r="F1324" s="136"/>
    </row>
    <row r="1325" spans="1:6" ht="12.75">
      <c r="A1325" s="371" t="s">
        <v>317</v>
      </c>
      <c r="B1325" s="199" t="s">
        <v>681</v>
      </c>
      <c r="C1325" s="327"/>
      <c r="D1325" s="151"/>
      <c r="E1325" s="327"/>
      <c r="F1325" s="151">
        <f>SUM(C1325:E1325)</f>
        <v>0</v>
      </c>
    </row>
    <row r="1326" spans="1:6" ht="12.75">
      <c r="A1326" s="371" t="s">
        <v>318</v>
      </c>
      <c r="B1326" s="228" t="s">
        <v>683</v>
      </c>
      <c r="C1326" s="327"/>
      <c r="D1326" s="151"/>
      <c r="E1326" s="327"/>
      <c r="F1326" s="151">
        <f>SUM(C1326:E1326)</f>
        <v>0</v>
      </c>
    </row>
    <row r="1327" spans="1:6" ht="12.75">
      <c r="A1327" s="371" t="s">
        <v>319</v>
      </c>
      <c r="B1327" s="228" t="s">
        <v>682</v>
      </c>
      <c r="C1327" s="327">
        <v>3850</v>
      </c>
      <c r="D1327" s="151"/>
      <c r="E1327" s="327"/>
      <c r="F1327" s="151">
        <f>SUM(C1327:E1327)</f>
        <v>3850</v>
      </c>
    </row>
    <row r="1328" spans="1:6" ht="12.75">
      <c r="A1328" s="371" t="s">
        <v>320</v>
      </c>
      <c r="B1328" s="228" t="s">
        <v>684</v>
      </c>
      <c r="C1328" s="327"/>
      <c r="D1328" s="151"/>
      <c r="E1328" s="327"/>
      <c r="F1328" s="151">
        <f>SUM(C1328:E1328)</f>
        <v>0</v>
      </c>
    </row>
    <row r="1329" spans="1:6" ht="12.75">
      <c r="A1329" s="371" t="s">
        <v>321</v>
      </c>
      <c r="B1329" s="228" t="s">
        <v>685</v>
      </c>
      <c r="C1329" s="327"/>
      <c r="D1329" s="151"/>
      <c r="E1329" s="327"/>
      <c r="F1329" s="151">
        <f>SUM(C1329:E1329)</f>
        <v>0</v>
      </c>
    </row>
    <row r="1330" spans="1:6" ht="12.75">
      <c r="A1330" s="371" t="s">
        <v>322</v>
      </c>
      <c r="B1330" s="228" t="s">
        <v>686</v>
      </c>
      <c r="C1330" s="327">
        <f>C1331+C1332+C1333+C1334+C1335+C1336+C1337</f>
        <v>29481</v>
      </c>
      <c r="D1330" s="327">
        <f>D1331+D1332+D1333+D1334+D1335+D1336+D1337</f>
        <v>0</v>
      </c>
      <c r="E1330" s="327">
        <f>E1331+E1332+E1333+E1334+E1335+E1336+E1337</f>
        <v>0</v>
      </c>
      <c r="F1330" s="151">
        <f>F1331+F1332+F1333+F1334+F1335+F1336+F1337</f>
        <v>29481</v>
      </c>
    </row>
    <row r="1331" spans="1:6" ht="12.75">
      <c r="A1331" s="371" t="s">
        <v>323</v>
      </c>
      <c r="B1331" s="228" t="s">
        <v>690</v>
      </c>
      <c r="C1331" s="327">
        <v>0</v>
      </c>
      <c r="D1331" s="151">
        <v>0</v>
      </c>
      <c r="E1331" s="327">
        <v>0</v>
      </c>
      <c r="F1331" s="151">
        <f>E1331+D1331+C1331</f>
        <v>0</v>
      </c>
    </row>
    <row r="1332" spans="1:6" ht="12.75">
      <c r="A1332" s="371" t="s">
        <v>324</v>
      </c>
      <c r="B1332" s="228" t="s">
        <v>691</v>
      </c>
      <c r="C1332" s="327"/>
      <c r="D1332" s="151"/>
      <c r="E1332" s="327"/>
      <c r="F1332" s="151">
        <f aca="true" t="shared" si="71" ref="F1332:F1338">E1332+D1332+C1332</f>
        <v>0</v>
      </c>
    </row>
    <row r="1333" spans="1:6" ht="12.75">
      <c r="A1333" s="371" t="s">
        <v>325</v>
      </c>
      <c r="B1333" s="228" t="s">
        <v>692</v>
      </c>
      <c r="C1333" s="327"/>
      <c r="D1333" s="151"/>
      <c r="E1333" s="327"/>
      <c r="F1333" s="151">
        <f t="shared" si="71"/>
        <v>0</v>
      </c>
    </row>
    <row r="1334" spans="1:6" ht="12.75">
      <c r="A1334" s="371" t="s">
        <v>326</v>
      </c>
      <c r="B1334" s="380" t="s">
        <v>688</v>
      </c>
      <c r="C1334" s="327">
        <f>'6 7_sz_melléklet'!E34</f>
        <v>29481</v>
      </c>
      <c r="D1334" s="155"/>
      <c r="E1334" s="327"/>
      <c r="F1334" s="151">
        <f t="shared" si="71"/>
        <v>29481</v>
      </c>
    </row>
    <row r="1335" spans="1:6" ht="12.75">
      <c r="A1335" s="371" t="s">
        <v>327</v>
      </c>
      <c r="B1335" s="834" t="s">
        <v>689</v>
      </c>
      <c r="C1335" s="328"/>
      <c r="D1335" s="152"/>
      <c r="E1335" s="327"/>
      <c r="F1335" s="151">
        <f t="shared" si="71"/>
        <v>0</v>
      </c>
    </row>
    <row r="1336" spans="1:6" ht="12.75">
      <c r="A1336" s="371" t="s">
        <v>328</v>
      </c>
      <c r="B1336" s="835" t="s">
        <v>687</v>
      </c>
      <c r="C1336" s="330"/>
      <c r="D1336" s="152"/>
      <c r="E1336" s="327"/>
      <c r="F1336" s="151">
        <f t="shared" si="71"/>
        <v>0</v>
      </c>
    </row>
    <row r="1337" spans="1:6" ht="12.75">
      <c r="A1337" s="371" t="s">
        <v>329</v>
      </c>
      <c r="B1337" s="309" t="s">
        <v>957</v>
      </c>
      <c r="C1337" s="330"/>
      <c r="D1337" s="152"/>
      <c r="E1337" s="327"/>
      <c r="F1337" s="156"/>
    </row>
    <row r="1338" spans="1:6" ht="13.5" thickBot="1">
      <c r="A1338" s="371" t="s">
        <v>330</v>
      </c>
      <c r="B1338" s="230" t="s">
        <v>694</v>
      </c>
      <c r="C1338" s="328"/>
      <c r="D1338" s="156"/>
      <c r="E1338" s="327"/>
      <c r="F1338" s="325">
        <f t="shared" si="71"/>
        <v>0</v>
      </c>
    </row>
    <row r="1339" spans="1:6" ht="13.5" thickBot="1">
      <c r="A1339" s="615" t="s">
        <v>331</v>
      </c>
      <c r="B1339" s="616" t="s">
        <v>6</v>
      </c>
      <c r="C1339" s="624">
        <f>C1325+C1326+C1327+C1328+C1330+C1338</f>
        <v>33331</v>
      </c>
      <c r="D1339" s="624">
        <f>D1325+D1326+D1327+D1328+D1330+D1338</f>
        <v>0</v>
      </c>
      <c r="E1339" s="624">
        <f>E1325+E1326+E1327+E1328+E1330+E1338</f>
        <v>0</v>
      </c>
      <c r="F1339" s="625">
        <f>F1325+F1326+F1327+F1328+F1330+F1338</f>
        <v>33331</v>
      </c>
    </row>
    <row r="1340" spans="1:6" ht="8.25" customHeight="1" thickTop="1">
      <c r="A1340" s="604"/>
      <c r="B1340" s="379"/>
      <c r="C1340" s="261"/>
      <c r="D1340" s="261"/>
      <c r="E1340" s="261"/>
      <c r="F1340" s="159"/>
    </row>
    <row r="1341" spans="1:6" ht="12.75">
      <c r="A1341" s="372" t="s">
        <v>332</v>
      </c>
      <c r="B1341" s="381" t="s">
        <v>257</v>
      </c>
      <c r="C1341" s="329"/>
      <c r="D1341" s="154"/>
      <c r="E1341" s="329"/>
      <c r="F1341" s="206"/>
    </row>
    <row r="1342" spans="1:6" ht="12.75">
      <c r="A1342" s="372" t="s">
        <v>333</v>
      </c>
      <c r="B1342" s="228" t="s">
        <v>695</v>
      </c>
      <c r="C1342" s="327">
        <f>'33_sz_ melléklet'!C123</f>
        <v>7515</v>
      </c>
      <c r="D1342" s="151"/>
      <c r="E1342" s="327"/>
      <c r="F1342" s="151">
        <f>SUM(C1342:E1342)</f>
        <v>7515</v>
      </c>
    </row>
    <row r="1343" spans="1:6" ht="12.75">
      <c r="A1343" s="372" t="s">
        <v>334</v>
      </c>
      <c r="B1343" s="228" t="s">
        <v>696</v>
      </c>
      <c r="C1343" s="327">
        <f>'4_sz_ melléklet'!C500</f>
        <v>362</v>
      </c>
      <c r="D1343" s="151"/>
      <c r="E1343" s="327"/>
      <c r="F1343" s="151">
        <f>SUM(C1343:E1343)</f>
        <v>362</v>
      </c>
    </row>
    <row r="1344" spans="1:6" ht="12.75">
      <c r="A1344" s="372" t="s">
        <v>336</v>
      </c>
      <c r="B1344" s="228" t="s">
        <v>697</v>
      </c>
      <c r="C1344" s="327">
        <f>C1345+C1346+C1347+C1348+C1349+C1350+C1351</f>
        <v>0</v>
      </c>
      <c r="D1344" s="327">
        <f>D1345+D1346+D1347+D1348+D1349+D1350+D1351</f>
        <v>0</v>
      </c>
      <c r="E1344" s="327">
        <f>E1345+E1346+E1347+E1348+E1349+E1350+E1351</f>
        <v>0</v>
      </c>
      <c r="F1344" s="151">
        <f>F1345+F1346+F1347+F1348+F1349+F1350+F1351</f>
        <v>0</v>
      </c>
    </row>
    <row r="1345" spans="1:6" ht="12.75">
      <c r="A1345" s="372" t="s">
        <v>337</v>
      </c>
      <c r="B1345" s="380" t="s">
        <v>698</v>
      </c>
      <c r="C1345" s="327"/>
      <c r="D1345" s="151"/>
      <c r="E1345" s="327"/>
      <c r="F1345" s="151">
        <f>SUM(C1345:E1345)</f>
        <v>0</v>
      </c>
    </row>
    <row r="1346" spans="1:6" ht="12.75">
      <c r="A1346" s="372" t="s">
        <v>338</v>
      </c>
      <c r="B1346" s="380" t="s">
        <v>699</v>
      </c>
      <c r="C1346" s="327"/>
      <c r="D1346" s="151"/>
      <c r="E1346" s="327"/>
      <c r="F1346" s="151">
        <f aca="true" t="shared" si="72" ref="F1346:F1352">SUM(C1346:E1346)</f>
        <v>0</v>
      </c>
    </row>
    <row r="1347" spans="1:6" ht="12.75">
      <c r="A1347" s="372" t="s">
        <v>339</v>
      </c>
      <c r="B1347" s="380" t="s">
        <v>700</v>
      </c>
      <c r="C1347" s="327"/>
      <c r="D1347" s="151"/>
      <c r="E1347" s="327"/>
      <c r="F1347" s="151">
        <f t="shared" si="72"/>
        <v>0</v>
      </c>
    </row>
    <row r="1348" spans="1:6" ht="12.75">
      <c r="A1348" s="372" t="s">
        <v>340</v>
      </c>
      <c r="B1348" s="380" t="s">
        <v>701</v>
      </c>
      <c r="C1348" s="327"/>
      <c r="D1348" s="151"/>
      <c r="E1348" s="327"/>
      <c r="F1348" s="151">
        <f t="shared" si="72"/>
        <v>0</v>
      </c>
    </row>
    <row r="1349" spans="1:6" ht="12.75">
      <c r="A1349" s="372" t="s">
        <v>341</v>
      </c>
      <c r="B1349" s="834" t="s">
        <v>702</v>
      </c>
      <c r="C1349" s="327"/>
      <c r="D1349" s="151"/>
      <c r="E1349" s="327"/>
      <c r="F1349" s="151">
        <f t="shared" si="72"/>
        <v>0</v>
      </c>
    </row>
    <row r="1350" spans="1:6" ht="12.75">
      <c r="A1350" s="372" t="s">
        <v>342</v>
      </c>
      <c r="B1350" s="309" t="s">
        <v>703</v>
      </c>
      <c r="C1350" s="327"/>
      <c r="D1350" s="151"/>
      <c r="E1350" s="327"/>
      <c r="F1350" s="151">
        <f t="shared" si="72"/>
        <v>0</v>
      </c>
    </row>
    <row r="1351" spans="1:6" ht="12.75">
      <c r="A1351" s="372" t="s">
        <v>343</v>
      </c>
      <c r="B1351" s="1091" t="s">
        <v>704</v>
      </c>
      <c r="C1351" s="327"/>
      <c r="D1351" s="151"/>
      <c r="E1351" s="327"/>
      <c r="F1351" s="151">
        <f t="shared" si="72"/>
        <v>0</v>
      </c>
    </row>
    <row r="1352" spans="1:6" ht="12.75">
      <c r="A1352" s="372" t="s">
        <v>344</v>
      </c>
      <c r="B1352" s="228"/>
      <c r="C1352" s="327"/>
      <c r="D1352" s="151"/>
      <c r="E1352" s="327"/>
      <c r="F1352" s="151">
        <f t="shared" si="72"/>
        <v>0</v>
      </c>
    </row>
    <row r="1353" spans="1:6" ht="13.5" thickBot="1">
      <c r="A1353" s="372" t="s">
        <v>345</v>
      </c>
      <c r="B1353" s="230"/>
      <c r="C1353" s="330">
        <f>-C1328</f>
        <v>0</v>
      </c>
      <c r="D1353" s="330">
        <f>-D1328</f>
        <v>0</v>
      </c>
      <c r="E1353" s="330">
        <f>-E1328</f>
        <v>0</v>
      </c>
      <c r="F1353" s="152">
        <f>-F1328</f>
        <v>0</v>
      </c>
    </row>
    <row r="1354" spans="1:6" ht="13.5" thickBot="1">
      <c r="A1354" s="615" t="s">
        <v>346</v>
      </c>
      <c r="B1354" s="616" t="s">
        <v>7</v>
      </c>
      <c r="C1354" s="624">
        <f>C1342+C1343+C1344+C1352+C1353</f>
        <v>7877</v>
      </c>
      <c r="D1354" s="624">
        <f>D1342+D1343+D1344+D1352+D1353</f>
        <v>0</v>
      </c>
      <c r="E1354" s="624">
        <f>E1342+E1343+E1344+E1352+E1353</f>
        <v>0</v>
      </c>
      <c r="F1354" s="625">
        <f>F1342+F1343+F1344+F1352+F1353</f>
        <v>7877</v>
      </c>
    </row>
    <row r="1355" spans="1:6" ht="27" thickBot="1" thickTop="1">
      <c r="A1355" s="615" t="s">
        <v>347</v>
      </c>
      <c r="B1355" s="620" t="s">
        <v>503</v>
      </c>
      <c r="C1355" s="627">
        <f>C1339+C1354</f>
        <v>41208</v>
      </c>
      <c r="D1355" s="627">
        <f>D1339+D1354</f>
        <v>0</v>
      </c>
      <c r="E1355" s="627">
        <f>E1339+E1354</f>
        <v>0</v>
      </c>
      <c r="F1355" s="628">
        <f>F1339+F1354</f>
        <v>41208</v>
      </c>
    </row>
    <row r="1356" spans="1:6" ht="6.75" customHeight="1" thickTop="1">
      <c r="A1356" s="604"/>
      <c r="B1356" s="848"/>
      <c r="C1356" s="267"/>
      <c r="D1356" s="267"/>
      <c r="E1356" s="267"/>
      <c r="F1356" s="272"/>
    </row>
    <row r="1357" spans="1:6" ht="12.75">
      <c r="A1357" s="372" t="s">
        <v>348</v>
      </c>
      <c r="B1357" s="485" t="s">
        <v>504</v>
      </c>
      <c r="C1357" s="626"/>
      <c r="D1357" s="154"/>
      <c r="E1357" s="329"/>
      <c r="F1357" s="206"/>
    </row>
    <row r="1358" spans="1:6" ht="12.75">
      <c r="A1358" s="371" t="s">
        <v>349</v>
      </c>
      <c r="B1358" s="229" t="s">
        <v>726</v>
      </c>
      <c r="C1358" s="332"/>
      <c r="D1358" s="151"/>
      <c r="E1358" s="327"/>
      <c r="F1358" s="151">
        <f>SUM(C1358:E1358)</f>
        <v>0</v>
      </c>
    </row>
    <row r="1359" spans="1:6" ht="12.75">
      <c r="A1359" s="371" t="s">
        <v>350</v>
      </c>
      <c r="B1359" s="697" t="s">
        <v>724</v>
      </c>
      <c r="C1359" s="841"/>
      <c r="D1359" s="156"/>
      <c r="E1359" s="328"/>
      <c r="F1359" s="151">
        <f aca="true" t="shared" si="73" ref="F1359:F1365">SUM(C1359:E1359)</f>
        <v>0</v>
      </c>
    </row>
    <row r="1360" spans="1:6" ht="12.75">
      <c r="A1360" s="371" t="s">
        <v>351</v>
      </c>
      <c r="B1360" s="697" t="s">
        <v>723</v>
      </c>
      <c r="C1360" s="841"/>
      <c r="D1360" s="156"/>
      <c r="E1360" s="328"/>
      <c r="F1360" s="151">
        <f t="shared" si="73"/>
        <v>0</v>
      </c>
    </row>
    <row r="1361" spans="1:6" ht="12.75">
      <c r="A1361" s="371" t="s">
        <v>352</v>
      </c>
      <c r="B1361" s="697" t="s">
        <v>725</v>
      </c>
      <c r="C1361" s="841"/>
      <c r="D1361" s="156"/>
      <c r="E1361" s="328"/>
      <c r="F1361" s="151">
        <f t="shared" si="73"/>
        <v>0</v>
      </c>
    </row>
    <row r="1362" spans="1:6" ht="12.75">
      <c r="A1362" s="371" t="s">
        <v>353</v>
      </c>
      <c r="B1362" s="836" t="s">
        <v>727</v>
      </c>
      <c r="C1362" s="841"/>
      <c r="D1362" s="156"/>
      <c r="E1362" s="328"/>
      <c r="F1362" s="151">
        <f t="shared" si="73"/>
        <v>0</v>
      </c>
    </row>
    <row r="1363" spans="1:6" ht="12.75">
      <c r="A1363" s="371" t="s">
        <v>354</v>
      </c>
      <c r="B1363" s="837" t="s">
        <v>730</v>
      </c>
      <c r="C1363" s="841"/>
      <c r="D1363" s="156"/>
      <c r="E1363" s="328"/>
      <c r="F1363" s="151">
        <f t="shared" si="73"/>
        <v>0</v>
      </c>
    </row>
    <row r="1364" spans="1:6" ht="12.75">
      <c r="A1364" s="371" t="s">
        <v>355</v>
      </c>
      <c r="B1364" s="838" t="s">
        <v>729</v>
      </c>
      <c r="C1364" s="841"/>
      <c r="D1364" s="156"/>
      <c r="E1364" s="328"/>
      <c r="F1364" s="151">
        <f t="shared" si="73"/>
        <v>0</v>
      </c>
    </row>
    <row r="1365" spans="1:6" ht="13.5" thickBot="1">
      <c r="A1365" s="371" t="s">
        <v>356</v>
      </c>
      <c r="B1365" s="382" t="s">
        <v>728</v>
      </c>
      <c r="C1365" s="841"/>
      <c r="D1365" s="156"/>
      <c r="E1365" s="328"/>
      <c r="F1365" s="151">
        <f t="shared" si="73"/>
        <v>0</v>
      </c>
    </row>
    <row r="1366" spans="1:6" ht="13.5" thickBot="1">
      <c r="A1366" s="395" t="s">
        <v>357</v>
      </c>
      <c r="B1366" s="315" t="s">
        <v>505</v>
      </c>
      <c r="C1366" s="842">
        <f>SUM(C1358:C1365)</f>
        <v>0</v>
      </c>
      <c r="D1366" s="842">
        <f>SUM(D1358:D1365)</f>
        <v>0</v>
      </c>
      <c r="E1366" s="842">
        <f>SUM(E1358:E1365)</f>
        <v>0</v>
      </c>
      <c r="F1366" s="948">
        <f>SUM(F1358:F1365)</f>
        <v>0</v>
      </c>
    </row>
    <row r="1367" spans="1:6" ht="18" customHeight="1" thickBot="1">
      <c r="A1367" s="456"/>
      <c r="B1367" s="1381"/>
      <c r="C1367" s="948"/>
      <c r="D1367" s="1382"/>
      <c r="E1367" s="153"/>
      <c r="F1367" s="662"/>
    </row>
    <row r="1368" spans="1:6" ht="13.5" thickBot="1">
      <c r="A1368" s="631" t="s">
        <v>358</v>
      </c>
      <c r="B1368" s="839" t="s">
        <v>506</v>
      </c>
      <c r="C1368" s="853">
        <f>C1355+C1366</f>
        <v>41208</v>
      </c>
      <c r="D1368" s="855">
        <f>D1355+D1366</f>
        <v>0</v>
      </c>
      <c r="E1368" s="853">
        <f>E1355+E1366</f>
        <v>0</v>
      </c>
      <c r="F1368" s="853">
        <f>F1355+F1366</f>
        <v>41208</v>
      </c>
    </row>
    <row r="1369" spans="1:6" ht="13.5" thickTop="1">
      <c r="A1369" s="393"/>
      <c r="B1369" s="827"/>
      <c r="C1369" s="695"/>
      <c r="D1369" s="695"/>
      <c r="E1369" s="695"/>
      <c r="F1369" s="695"/>
    </row>
    <row r="1370" spans="1:6" ht="12.75">
      <c r="A1370" s="1675">
        <v>26</v>
      </c>
      <c r="B1370" s="1675"/>
      <c r="C1370" s="1675"/>
      <c r="D1370" s="1675"/>
      <c r="E1370" s="1675"/>
      <c r="F1370" s="1675"/>
    </row>
    <row r="1371" spans="1:5" ht="12.75">
      <c r="A1371" s="1654" t="s">
        <v>1456</v>
      </c>
      <c r="B1371" s="1654"/>
      <c r="C1371" s="1654"/>
      <c r="D1371" s="1654"/>
      <c r="E1371" s="1654"/>
    </row>
    <row r="1372" spans="1:5" ht="12.75">
      <c r="A1372" s="384"/>
      <c r="B1372" s="384"/>
      <c r="C1372" s="384"/>
      <c r="D1372" s="384"/>
      <c r="E1372" s="384"/>
    </row>
    <row r="1373" spans="1:6" ht="14.25">
      <c r="A1373" s="1809" t="s">
        <v>1098</v>
      </c>
      <c r="B1373" s="1810"/>
      <c r="C1373" s="1810"/>
      <c r="D1373" s="1810"/>
      <c r="E1373" s="1810"/>
      <c r="F1373" s="1810"/>
    </row>
    <row r="1374" spans="2:5" ht="15.75">
      <c r="B1374" s="21"/>
      <c r="C1374" s="21"/>
      <c r="D1374" s="21"/>
      <c r="E1374" s="21"/>
    </row>
    <row r="1375" spans="2:5" ht="15.75">
      <c r="B1375" s="21" t="s">
        <v>459</v>
      </c>
      <c r="C1375" s="21"/>
      <c r="D1375" s="21"/>
      <c r="E1375" s="21"/>
    </row>
    <row r="1376" spans="2:5" ht="13.5" thickBot="1">
      <c r="B1376" s="1"/>
      <c r="C1376" s="1"/>
      <c r="D1376" s="1"/>
      <c r="E1376" s="22" t="s">
        <v>8</v>
      </c>
    </row>
    <row r="1377" spans="1:6" ht="48.75" thickBot="1">
      <c r="A1377" s="399" t="s">
        <v>311</v>
      </c>
      <c r="B1377" s="610" t="s">
        <v>13</v>
      </c>
      <c r="C1377" s="387" t="s">
        <v>540</v>
      </c>
      <c r="D1377" s="388" t="s">
        <v>541</v>
      </c>
      <c r="E1377" s="387" t="s">
        <v>536</v>
      </c>
      <c r="F1377" s="388" t="s">
        <v>535</v>
      </c>
    </row>
    <row r="1378" spans="1:6" ht="12.75">
      <c r="A1378" s="611" t="s">
        <v>312</v>
      </c>
      <c r="B1378" s="612" t="s">
        <v>313</v>
      </c>
      <c r="C1378" s="621" t="s">
        <v>314</v>
      </c>
      <c r="D1378" s="622" t="s">
        <v>315</v>
      </c>
      <c r="E1378" s="796" t="s">
        <v>335</v>
      </c>
      <c r="F1378" s="797" t="s">
        <v>360</v>
      </c>
    </row>
    <row r="1379" spans="1:6" ht="12.75">
      <c r="A1379" s="372" t="s">
        <v>316</v>
      </c>
      <c r="B1379" s="379" t="s">
        <v>256</v>
      </c>
      <c r="C1379" s="327"/>
      <c r="D1379" s="151"/>
      <c r="E1379" s="327"/>
      <c r="F1379" s="136"/>
    </row>
    <row r="1380" spans="1:6" ht="12.75">
      <c r="A1380" s="371" t="s">
        <v>317</v>
      </c>
      <c r="B1380" s="199" t="s">
        <v>681</v>
      </c>
      <c r="C1380" s="327"/>
      <c r="D1380" s="151"/>
      <c r="E1380" s="327"/>
      <c r="F1380" s="151">
        <f>SUM(C1380:E1380)</f>
        <v>0</v>
      </c>
    </row>
    <row r="1381" spans="1:6" ht="12.75">
      <c r="A1381" s="371" t="s">
        <v>318</v>
      </c>
      <c r="B1381" s="228" t="s">
        <v>683</v>
      </c>
      <c r="C1381" s="327"/>
      <c r="D1381" s="151"/>
      <c r="E1381" s="327"/>
      <c r="F1381" s="151">
        <f>SUM(C1381:E1381)</f>
        <v>0</v>
      </c>
    </row>
    <row r="1382" spans="1:6" ht="12.75">
      <c r="A1382" s="371" t="s">
        <v>319</v>
      </c>
      <c r="B1382" s="228" t="s">
        <v>682</v>
      </c>
      <c r="C1382" s="327"/>
      <c r="D1382" s="151"/>
      <c r="E1382" s="327"/>
      <c r="F1382" s="151">
        <f>SUM(C1382:E1382)</f>
        <v>0</v>
      </c>
    </row>
    <row r="1383" spans="1:6" ht="12.75">
      <c r="A1383" s="371" t="s">
        <v>320</v>
      </c>
      <c r="B1383" s="228" t="s">
        <v>684</v>
      </c>
      <c r="C1383" s="327"/>
      <c r="D1383" s="151"/>
      <c r="E1383" s="327"/>
      <c r="F1383" s="151">
        <f>SUM(C1383:E1383)</f>
        <v>0</v>
      </c>
    </row>
    <row r="1384" spans="1:6" ht="12.75">
      <c r="A1384" s="371" t="s">
        <v>321</v>
      </c>
      <c r="B1384" s="228" t="s">
        <v>685</v>
      </c>
      <c r="C1384" s="327"/>
      <c r="D1384" s="151"/>
      <c r="E1384" s="327"/>
      <c r="F1384" s="151">
        <f>SUM(C1384:E1384)</f>
        <v>0</v>
      </c>
    </row>
    <row r="1385" spans="1:6" ht="12.75">
      <c r="A1385" s="371" t="s">
        <v>322</v>
      </c>
      <c r="B1385" s="228" t="s">
        <v>686</v>
      </c>
      <c r="C1385" s="327">
        <f>C1386+C1387+C1388+C1389+C1390+C1391+C1392</f>
        <v>143</v>
      </c>
      <c r="D1385" s="327">
        <f>D1386+D1387+D1388+D1389+D1390+D1391+D1392</f>
        <v>0</v>
      </c>
      <c r="E1385" s="327">
        <f>E1386+E1387+E1388+E1389+E1390+E1391+E1392</f>
        <v>0</v>
      </c>
      <c r="F1385" s="151">
        <f>F1386+F1387+F1388+F1389+F1390+F1391+F1392</f>
        <v>0</v>
      </c>
    </row>
    <row r="1386" spans="1:6" ht="12.75">
      <c r="A1386" s="371" t="s">
        <v>323</v>
      </c>
      <c r="B1386" s="228" t="s">
        <v>690</v>
      </c>
      <c r="C1386" s="327">
        <v>0</v>
      </c>
      <c r="D1386" s="151">
        <v>0</v>
      </c>
      <c r="E1386" s="327">
        <v>0</v>
      </c>
      <c r="F1386" s="151">
        <f>E1386+D1386+C1386</f>
        <v>0</v>
      </c>
    </row>
    <row r="1387" spans="1:6" ht="12.75">
      <c r="A1387" s="371" t="s">
        <v>324</v>
      </c>
      <c r="B1387" s="228" t="s">
        <v>691</v>
      </c>
      <c r="C1387" s="327"/>
      <c r="D1387" s="151"/>
      <c r="E1387" s="327"/>
      <c r="F1387" s="151">
        <f aca="true" t="shared" si="74" ref="F1387:F1393">E1387+D1387+C1387</f>
        <v>0</v>
      </c>
    </row>
    <row r="1388" spans="1:6" ht="12.75">
      <c r="A1388" s="371" t="s">
        <v>325</v>
      </c>
      <c r="B1388" s="228" t="s">
        <v>692</v>
      </c>
      <c r="C1388" s="327"/>
      <c r="D1388" s="151"/>
      <c r="E1388" s="327"/>
      <c r="F1388" s="151">
        <f t="shared" si="74"/>
        <v>0</v>
      </c>
    </row>
    <row r="1389" spans="1:6" ht="12.75">
      <c r="A1389" s="371" t="s">
        <v>326</v>
      </c>
      <c r="B1389" s="380" t="s">
        <v>688</v>
      </c>
      <c r="C1389" s="262"/>
      <c r="D1389" s="155"/>
      <c r="E1389" s="327"/>
      <c r="F1389" s="151">
        <f t="shared" si="74"/>
        <v>0</v>
      </c>
    </row>
    <row r="1390" spans="1:6" ht="12.75">
      <c r="A1390" s="371" t="s">
        <v>327</v>
      </c>
      <c r="B1390" s="834" t="s">
        <v>689</v>
      </c>
      <c r="C1390" s="328"/>
      <c r="D1390" s="152"/>
      <c r="E1390" s="327"/>
      <c r="F1390" s="151">
        <f t="shared" si="74"/>
        <v>0</v>
      </c>
    </row>
    <row r="1391" spans="1:6" ht="12.75">
      <c r="A1391" s="371" t="s">
        <v>328</v>
      </c>
      <c r="B1391" s="835" t="s">
        <v>687</v>
      </c>
      <c r="C1391" s="330"/>
      <c r="D1391" s="152"/>
      <c r="E1391" s="327"/>
      <c r="F1391" s="151">
        <f t="shared" si="74"/>
        <v>0</v>
      </c>
    </row>
    <row r="1392" spans="1:6" ht="12.75">
      <c r="A1392" s="371" t="s">
        <v>329</v>
      </c>
      <c r="B1392" s="309" t="s">
        <v>957</v>
      </c>
      <c r="C1392" s="328">
        <f>'6 7_sz_melléklet'!F22</f>
        <v>143</v>
      </c>
      <c r="D1392" s="152"/>
      <c r="E1392" s="327"/>
      <c r="F1392" s="156"/>
    </row>
    <row r="1393" spans="1:6" ht="13.5" thickBot="1">
      <c r="A1393" s="371" t="s">
        <v>330</v>
      </c>
      <c r="B1393" s="230" t="s">
        <v>694</v>
      </c>
      <c r="C1393" s="328"/>
      <c r="D1393" s="156"/>
      <c r="E1393" s="327"/>
      <c r="F1393" s="325">
        <f t="shared" si="74"/>
        <v>0</v>
      </c>
    </row>
    <row r="1394" spans="1:6" ht="13.5" thickBot="1">
      <c r="A1394" s="615" t="s">
        <v>331</v>
      </c>
      <c r="B1394" s="616" t="s">
        <v>6</v>
      </c>
      <c r="C1394" s="624">
        <f>C1380+C1381+C1382+C1383+C1385+C1393</f>
        <v>143</v>
      </c>
      <c r="D1394" s="624">
        <f>D1380+D1381+D1382+D1383+D1385+D1393</f>
        <v>0</v>
      </c>
      <c r="E1394" s="624">
        <f>E1380+E1381+E1382+E1383+E1385+E1393</f>
        <v>0</v>
      </c>
      <c r="F1394" s="625">
        <f>F1380+F1381+F1382+F1383+F1385+F1393</f>
        <v>0</v>
      </c>
    </row>
    <row r="1395" spans="1:6" ht="9.75" customHeight="1" thickTop="1">
      <c r="A1395" s="604"/>
      <c r="B1395" s="379"/>
      <c r="C1395" s="261"/>
      <c r="D1395" s="261"/>
      <c r="E1395" s="261"/>
      <c r="F1395" s="159"/>
    </row>
    <row r="1396" spans="1:6" ht="12.75">
      <c r="A1396" s="372" t="s">
        <v>332</v>
      </c>
      <c r="B1396" s="381" t="s">
        <v>257</v>
      </c>
      <c r="C1396" s="329"/>
      <c r="D1396" s="154"/>
      <c r="E1396" s="329"/>
      <c r="F1396" s="206"/>
    </row>
    <row r="1397" spans="1:6" ht="12.75">
      <c r="A1397" s="372" t="s">
        <v>333</v>
      </c>
      <c r="B1397" s="228" t="s">
        <v>695</v>
      </c>
      <c r="C1397" s="327"/>
      <c r="D1397" s="151"/>
      <c r="E1397" s="327"/>
      <c r="F1397" s="151">
        <f>SUM(C1397:E1397)</f>
        <v>0</v>
      </c>
    </row>
    <row r="1398" spans="1:6" ht="12.75">
      <c r="A1398" s="372" t="s">
        <v>334</v>
      </c>
      <c r="B1398" s="228" t="s">
        <v>696</v>
      </c>
      <c r="C1398" s="327"/>
      <c r="D1398" s="151"/>
      <c r="E1398" s="327"/>
      <c r="F1398" s="151">
        <f>SUM(C1398:E1398)</f>
        <v>0</v>
      </c>
    </row>
    <row r="1399" spans="1:6" ht="12.75">
      <c r="A1399" s="372" t="s">
        <v>336</v>
      </c>
      <c r="B1399" s="228" t="s">
        <v>697</v>
      </c>
      <c r="C1399" s="327">
        <f>C1400+C1401+C1402+C1403+C1404+C1405+C1406</f>
        <v>0</v>
      </c>
      <c r="D1399" s="327">
        <f>D1400+D1401+D1402+D1403+D1404+D1405+D1406</f>
        <v>0</v>
      </c>
      <c r="E1399" s="327">
        <f>E1400+E1401+E1402+E1403+E1404+E1405+E1406</f>
        <v>0</v>
      </c>
      <c r="F1399" s="151">
        <f>F1400+F1401+F1402+F1403+F1404+F1405+F1406</f>
        <v>0</v>
      </c>
    </row>
    <row r="1400" spans="1:6" ht="12.75">
      <c r="A1400" s="372" t="s">
        <v>337</v>
      </c>
      <c r="B1400" s="380" t="s">
        <v>698</v>
      </c>
      <c r="C1400" s="327"/>
      <c r="D1400" s="151"/>
      <c r="E1400" s="327"/>
      <c r="F1400" s="151">
        <f>SUM(C1400:E1400)</f>
        <v>0</v>
      </c>
    </row>
    <row r="1401" spans="1:6" ht="12.75">
      <c r="A1401" s="372" t="s">
        <v>338</v>
      </c>
      <c r="B1401" s="380" t="s">
        <v>699</v>
      </c>
      <c r="C1401" s="327"/>
      <c r="D1401" s="151"/>
      <c r="E1401" s="327"/>
      <c r="F1401" s="151">
        <f aca="true" t="shared" si="75" ref="F1401:F1407">SUM(C1401:E1401)</f>
        <v>0</v>
      </c>
    </row>
    <row r="1402" spans="1:6" ht="12.75">
      <c r="A1402" s="372" t="s">
        <v>339</v>
      </c>
      <c r="B1402" s="380" t="s">
        <v>700</v>
      </c>
      <c r="C1402" s="327"/>
      <c r="D1402" s="151"/>
      <c r="E1402" s="327"/>
      <c r="F1402" s="151">
        <f t="shared" si="75"/>
        <v>0</v>
      </c>
    </row>
    <row r="1403" spans="1:6" ht="12.75">
      <c r="A1403" s="372" t="s">
        <v>340</v>
      </c>
      <c r="B1403" s="380" t="s">
        <v>701</v>
      </c>
      <c r="C1403" s="327"/>
      <c r="D1403" s="151"/>
      <c r="E1403" s="327"/>
      <c r="F1403" s="151">
        <f t="shared" si="75"/>
        <v>0</v>
      </c>
    </row>
    <row r="1404" spans="1:6" ht="12.75">
      <c r="A1404" s="372" t="s">
        <v>341</v>
      </c>
      <c r="B1404" s="834" t="s">
        <v>702</v>
      </c>
      <c r="C1404" s="327"/>
      <c r="D1404" s="151"/>
      <c r="E1404" s="327"/>
      <c r="F1404" s="151">
        <f t="shared" si="75"/>
        <v>0</v>
      </c>
    </row>
    <row r="1405" spans="1:6" ht="12.75">
      <c r="A1405" s="372" t="s">
        <v>342</v>
      </c>
      <c r="B1405" s="309" t="s">
        <v>703</v>
      </c>
      <c r="C1405" s="327"/>
      <c r="D1405" s="151"/>
      <c r="E1405" s="327"/>
      <c r="F1405" s="151">
        <f t="shared" si="75"/>
        <v>0</v>
      </c>
    </row>
    <row r="1406" spans="1:6" ht="12.75">
      <c r="A1406" s="372" t="s">
        <v>343</v>
      </c>
      <c r="B1406" s="1091" t="s">
        <v>704</v>
      </c>
      <c r="C1406" s="327"/>
      <c r="D1406" s="151"/>
      <c r="E1406" s="327"/>
      <c r="F1406" s="151">
        <f t="shared" si="75"/>
        <v>0</v>
      </c>
    </row>
    <row r="1407" spans="1:6" ht="12.75">
      <c r="A1407" s="372" t="s">
        <v>344</v>
      </c>
      <c r="B1407" s="228"/>
      <c r="C1407" s="327"/>
      <c r="D1407" s="151"/>
      <c r="E1407" s="327"/>
      <c r="F1407" s="151">
        <f t="shared" si="75"/>
        <v>0</v>
      </c>
    </row>
    <row r="1408" spans="1:6" ht="13.5" thickBot="1">
      <c r="A1408" s="372" t="s">
        <v>345</v>
      </c>
      <c r="B1408" s="230"/>
      <c r="C1408" s="330">
        <f>-C1383</f>
        <v>0</v>
      </c>
      <c r="D1408" s="330">
        <f>-D1383</f>
        <v>0</v>
      </c>
      <c r="E1408" s="330">
        <f>-E1383</f>
        <v>0</v>
      </c>
      <c r="F1408" s="152">
        <f>-F1383</f>
        <v>0</v>
      </c>
    </row>
    <row r="1409" spans="1:6" ht="13.5" thickBot="1">
      <c r="A1409" s="615" t="s">
        <v>346</v>
      </c>
      <c r="B1409" s="616" t="s">
        <v>7</v>
      </c>
      <c r="C1409" s="624">
        <f>C1397+C1398+C1399+C1407+C1408</f>
        <v>0</v>
      </c>
      <c r="D1409" s="624">
        <f>D1397+D1398+D1399+D1407+D1408</f>
        <v>0</v>
      </c>
      <c r="E1409" s="624">
        <f>E1397+E1398+E1399+E1407+E1408</f>
        <v>0</v>
      </c>
      <c r="F1409" s="625">
        <f>F1397+F1398+F1399+F1407+F1408</f>
        <v>0</v>
      </c>
    </row>
    <row r="1410" spans="1:6" ht="27" thickBot="1" thickTop="1">
      <c r="A1410" s="615" t="s">
        <v>347</v>
      </c>
      <c r="B1410" s="620" t="s">
        <v>503</v>
      </c>
      <c r="C1410" s="627">
        <f>C1394+C1409</f>
        <v>143</v>
      </c>
      <c r="D1410" s="627">
        <f>D1394+D1409</f>
        <v>0</v>
      </c>
      <c r="E1410" s="627">
        <f>E1394+E1409</f>
        <v>0</v>
      </c>
      <c r="F1410" s="628">
        <f>F1394+F1409</f>
        <v>0</v>
      </c>
    </row>
    <row r="1411" spans="1:6" ht="6" customHeight="1" thickTop="1">
      <c r="A1411" s="604"/>
      <c r="B1411" s="848"/>
      <c r="C1411" s="267"/>
      <c r="D1411" s="267"/>
      <c r="E1411" s="267"/>
      <c r="F1411" s="272"/>
    </row>
    <row r="1412" spans="1:6" ht="12.75">
      <c r="A1412" s="372" t="s">
        <v>348</v>
      </c>
      <c r="B1412" s="485" t="s">
        <v>504</v>
      </c>
      <c r="C1412" s="626"/>
      <c r="D1412" s="154"/>
      <c r="E1412" s="329"/>
      <c r="F1412" s="206"/>
    </row>
    <row r="1413" spans="1:6" ht="12.75">
      <c r="A1413" s="371" t="s">
        <v>349</v>
      </c>
      <c r="B1413" s="229" t="s">
        <v>1337</v>
      </c>
      <c r="C1413" s="332">
        <v>30526</v>
      </c>
      <c r="D1413" s="151"/>
      <c r="E1413" s="327"/>
      <c r="F1413" s="151">
        <f>SUM(C1413:E1413)</f>
        <v>30526</v>
      </c>
    </row>
    <row r="1414" spans="1:6" ht="12.75">
      <c r="A1414" s="371" t="s">
        <v>350</v>
      </c>
      <c r="B1414" s="697" t="s">
        <v>724</v>
      </c>
      <c r="C1414" s="841">
        <v>12023365</v>
      </c>
      <c r="D1414" s="156"/>
      <c r="E1414" s="328"/>
      <c r="F1414" s="151">
        <f aca="true" t="shared" si="76" ref="F1414:F1420">SUM(C1414:E1414)</f>
        <v>12023365</v>
      </c>
    </row>
    <row r="1415" spans="1:6" ht="12.75">
      <c r="A1415" s="371" t="s">
        <v>351</v>
      </c>
      <c r="B1415" s="697" t="s">
        <v>723</v>
      </c>
      <c r="C1415" s="841">
        <f>'4_sz_ melléklet'!D517</f>
        <v>1219077</v>
      </c>
      <c r="D1415" s="156"/>
      <c r="E1415" s="328"/>
      <c r="F1415" s="151">
        <f t="shared" si="76"/>
        <v>1219077</v>
      </c>
    </row>
    <row r="1416" spans="1:6" ht="12.75">
      <c r="A1416" s="371" t="s">
        <v>352</v>
      </c>
      <c r="B1416" s="697" t="s">
        <v>725</v>
      </c>
      <c r="C1416" s="841"/>
      <c r="D1416" s="156"/>
      <c r="E1416" s="328"/>
      <c r="F1416" s="151">
        <f t="shared" si="76"/>
        <v>0</v>
      </c>
    </row>
    <row r="1417" spans="1:6" ht="12.75">
      <c r="A1417" s="371" t="s">
        <v>353</v>
      </c>
      <c r="B1417" s="836" t="s">
        <v>727</v>
      </c>
      <c r="C1417" s="841"/>
      <c r="D1417" s="156"/>
      <c r="E1417" s="328"/>
      <c r="F1417" s="151">
        <f t="shared" si="76"/>
        <v>0</v>
      </c>
    </row>
    <row r="1418" spans="1:6" ht="12.75">
      <c r="A1418" s="371" t="s">
        <v>354</v>
      </c>
      <c r="B1418" s="837" t="s">
        <v>730</v>
      </c>
      <c r="C1418" s="841">
        <v>100000</v>
      </c>
      <c r="D1418" s="156"/>
      <c r="E1418" s="328"/>
      <c r="F1418" s="151">
        <f t="shared" si="76"/>
        <v>100000</v>
      </c>
    </row>
    <row r="1419" spans="1:6" ht="12.75">
      <c r="A1419" s="371" t="s">
        <v>355</v>
      </c>
      <c r="B1419" s="838" t="s">
        <v>729</v>
      </c>
      <c r="C1419" s="841"/>
      <c r="D1419" s="156"/>
      <c r="E1419" s="328"/>
      <c r="F1419" s="151">
        <f t="shared" si="76"/>
        <v>0</v>
      </c>
    </row>
    <row r="1420" spans="1:6" ht="13.5" thickBot="1">
      <c r="A1420" s="371" t="s">
        <v>356</v>
      </c>
      <c r="B1420" s="382" t="s">
        <v>728</v>
      </c>
      <c r="C1420" s="841"/>
      <c r="D1420" s="156"/>
      <c r="E1420" s="328"/>
      <c r="F1420" s="151">
        <f t="shared" si="76"/>
        <v>0</v>
      </c>
    </row>
    <row r="1421" spans="1:6" ht="13.5" thickBot="1">
      <c r="A1421" s="395" t="s">
        <v>357</v>
      </c>
      <c r="B1421" s="315" t="s">
        <v>505</v>
      </c>
      <c r="C1421" s="842">
        <f>SUM(C1413:C1420)</f>
        <v>13372968</v>
      </c>
      <c r="D1421" s="842">
        <f>SUM(D1413:D1420)</f>
        <v>0</v>
      </c>
      <c r="E1421" s="842">
        <f>SUM(E1413:E1420)</f>
        <v>0</v>
      </c>
      <c r="F1421" s="948">
        <f>SUM(F1413:F1420)</f>
        <v>13372968</v>
      </c>
    </row>
    <row r="1422" spans="1:6" ht="12.75">
      <c r="A1422" s="604"/>
      <c r="B1422" s="44"/>
      <c r="C1422" s="854"/>
      <c r="D1422" s="856"/>
      <c r="E1422" s="816"/>
      <c r="F1422" s="693"/>
    </row>
    <row r="1423" spans="1:6" ht="13.5" thickBot="1">
      <c r="A1423" s="456" t="s">
        <v>358</v>
      </c>
      <c r="B1423" s="1379" t="s">
        <v>506</v>
      </c>
      <c r="C1423" s="994">
        <f>C1410+C1421</f>
        <v>13373111</v>
      </c>
      <c r="D1423" s="995">
        <f>D1410+D1421</f>
        <v>0</v>
      </c>
      <c r="E1423" s="994">
        <f>E1410+E1421</f>
        <v>0</v>
      </c>
      <c r="F1423" s="1601">
        <f>F1410+F1421</f>
        <v>13372968</v>
      </c>
    </row>
    <row r="1424" spans="1:6" ht="12.75">
      <c r="A1424" s="393"/>
      <c r="B1424" s="827"/>
      <c r="C1424" s="695"/>
      <c r="D1424" s="695"/>
      <c r="E1424" s="695"/>
      <c r="F1424" s="695"/>
    </row>
    <row r="1425" spans="1:6" ht="12.75">
      <c r="A1425" s="1675">
        <v>27</v>
      </c>
      <c r="B1425" s="1675"/>
      <c r="C1425" s="1675"/>
      <c r="D1425" s="1675"/>
      <c r="E1425" s="1675"/>
      <c r="F1425" s="1675"/>
    </row>
    <row r="1426" spans="1:5" ht="12.75">
      <c r="A1426" s="1654" t="s">
        <v>1456</v>
      </c>
      <c r="B1426" s="1654"/>
      <c r="C1426" s="1654"/>
      <c r="D1426" s="1654"/>
      <c r="E1426" s="1654"/>
    </row>
    <row r="1427" spans="1:5" ht="12.75">
      <c r="A1427" s="384"/>
      <c r="B1427" s="384"/>
      <c r="C1427" s="384"/>
      <c r="D1427" s="384"/>
      <c r="E1427" s="384"/>
    </row>
    <row r="1428" spans="1:6" ht="14.25">
      <c r="A1428" s="1809" t="s">
        <v>1098</v>
      </c>
      <c r="B1428" s="1810"/>
      <c r="C1428" s="1810"/>
      <c r="D1428" s="1810"/>
      <c r="E1428" s="1810"/>
      <c r="F1428" s="1810"/>
    </row>
    <row r="1429" spans="2:5" ht="12" customHeight="1">
      <c r="B1429" s="21"/>
      <c r="C1429" s="21"/>
      <c r="D1429" s="21"/>
      <c r="E1429" s="21"/>
    </row>
    <row r="1430" spans="2:5" ht="15.75">
      <c r="B1430" s="21" t="s">
        <v>995</v>
      </c>
      <c r="C1430" s="21"/>
      <c r="D1430" s="21"/>
      <c r="E1430" s="21"/>
    </row>
    <row r="1431" spans="2:5" ht="13.5" thickBot="1">
      <c r="B1431" s="1"/>
      <c r="C1431" s="1"/>
      <c r="D1431" s="1"/>
      <c r="E1431" s="22" t="s">
        <v>8</v>
      </c>
    </row>
    <row r="1432" spans="1:6" ht="48.75" thickBot="1">
      <c r="A1432" s="399" t="s">
        <v>311</v>
      </c>
      <c r="B1432" s="610" t="s">
        <v>13</v>
      </c>
      <c r="C1432" s="387" t="s">
        <v>540</v>
      </c>
      <c r="D1432" s="388" t="s">
        <v>541</v>
      </c>
      <c r="E1432" s="387" t="s">
        <v>536</v>
      </c>
      <c r="F1432" s="388" t="s">
        <v>535</v>
      </c>
    </row>
    <row r="1433" spans="1:6" ht="12.75">
      <c r="A1433" s="611" t="s">
        <v>312</v>
      </c>
      <c r="B1433" s="612" t="s">
        <v>313</v>
      </c>
      <c r="C1433" s="621" t="s">
        <v>314</v>
      </c>
      <c r="D1433" s="622" t="s">
        <v>315</v>
      </c>
      <c r="E1433" s="796" t="s">
        <v>335</v>
      </c>
      <c r="F1433" s="797" t="s">
        <v>360</v>
      </c>
    </row>
    <row r="1434" spans="1:6" ht="12.75">
      <c r="A1434" s="372" t="s">
        <v>316</v>
      </c>
      <c r="B1434" s="379" t="s">
        <v>256</v>
      </c>
      <c r="C1434" s="327"/>
      <c r="D1434" s="151"/>
      <c r="E1434" s="327"/>
      <c r="F1434" s="136"/>
    </row>
    <row r="1435" spans="1:6" ht="12.75">
      <c r="A1435" s="371" t="s">
        <v>317</v>
      </c>
      <c r="B1435" s="199" t="s">
        <v>681</v>
      </c>
      <c r="C1435" s="327"/>
      <c r="D1435" s="151"/>
      <c r="E1435" s="327"/>
      <c r="F1435" s="151">
        <f>SUM(C1435:E1435)</f>
        <v>0</v>
      </c>
    </row>
    <row r="1436" spans="1:6" ht="12.75">
      <c r="A1436" s="371" t="s">
        <v>318</v>
      </c>
      <c r="B1436" s="228" t="s">
        <v>683</v>
      </c>
      <c r="C1436" s="327"/>
      <c r="D1436" s="151"/>
      <c r="E1436" s="327"/>
      <c r="F1436" s="151"/>
    </row>
    <row r="1437" spans="1:6" ht="12.75">
      <c r="A1437" s="371" t="s">
        <v>319</v>
      </c>
      <c r="B1437" s="228" t="s">
        <v>682</v>
      </c>
      <c r="C1437" s="327"/>
      <c r="D1437" s="151"/>
      <c r="E1437" s="327"/>
      <c r="F1437" s="151"/>
    </row>
    <row r="1438" spans="1:6" ht="12.75">
      <c r="A1438" s="371" t="s">
        <v>320</v>
      </c>
      <c r="B1438" s="228" t="s">
        <v>684</v>
      </c>
      <c r="C1438" s="327"/>
      <c r="D1438" s="151"/>
      <c r="E1438" s="327"/>
      <c r="F1438" s="151"/>
    </row>
    <row r="1439" spans="1:6" ht="12.75">
      <c r="A1439" s="371" t="s">
        <v>321</v>
      </c>
      <c r="B1439" s="228" t="s">
        <v>685</v>
      </c>
      <c r="C1439" s="327"/>
      <c r="D1439" s="151"/>
      <c r="E1439" s="327"/>
      <c r="F1439" s="151"/>
    </row>
    <row r="1440" spans="1:6" ht="12.75">
      <c r="A1440" s="371" t="s">
        <v>322</v>
      </c>
      <c r="B1440" s="228" t="s">
        <v>686</v>
      </c>
      <c r="C1440" s="327">
        <f>C1441+C1442+C1443+C1444+C1445+C1446+C1447</f>
        <v>4662</v>
      </c>
      <c r="D1440" s="327">
        <f>D1441+D1442+D1443+D1444+D1445+D1446+D1447</f>
        <v>0</v>
      </c>
      <c r="E1440" s="327">
        <f>E1441+E1442+E1443+E1444+E1445+E1446+E1447</f>
        <v>0</v>
      </c>
      <c r="F1440" s="151">
        <f>F1441+F1442+F1443+F1444+F1445+F1446+F1447</f>
        <v>4662</v>
      </c>
    </row>
    <row r="1441" spans="1:6" ht="12.75">
      <c r="A1441" s="371" t="s">
        <v>323</v>
      </c>
      <c r="B1441" s="228" t="s">
        <v>690</v>
      </c>
      <c r="C1441" s="327">
        <v>0</v>
      </c>
      <c r="D1441" s="151">
        <v>0</v>
      </c>
      <c r="E1441" s="327">
        <v>0</v>
      </c>
      <c r="F1441" s="151">
        <f>E1441+D1441+C1441</f>
        <v>0</v>
      </c>
    </row>
    <row r="1442" spans="1:6" ht="12.75">
      <c r="A1442" s="371" t="s">
        <v>324</v>
      </c>
      <c r="B1442" s="228" t="s">
        <v>691</v>
      </c>
      <c r="C1442" s="327"/>
      <c r="D1442" s="151"/>
      <c r="E1442" s="327"/>
      <c r="F1442" s="151">
        <f aca="true" t="shared" si="77" ref="F1442:F1448">E1442+D1442+C1442</f>
        <v>0</v>
      </c>
    </row>
    <row r="1443" spans="1:6" ht="12.75">
      <c r="A1443" s="371" t="s">
        <v>325</v>
      </c>
      <c r="B1443" s="228" t="s">
        <v>692</v>
      </c>
      <c r="C1443" s="327"/>
      <c r="D1443" s="151"/>
      <c r="E1443" s="327"/>
      <c r="F1443" s="151">
        <f t="shared" si="77"/>
        <v>0</v>
      </c>
    </row>
    <row r="1444" spans="1:6" ht="12.75">
      <c r="A1444" s="371" t="s">
        <v>326</v>
      </c>
      <c r="B1444" s="380" t="s">
        <v>688</v>
      </c>
      <c r="C1444" s="327">
        <f>'4_sz_ melléklet'!E491</f>
        <v>4662</v>
      </c>
      <c r="D1444" s="155"/>
      <c r="E1444" s="327"/>
      <c r="F1444" s="151">
        <f t="shared" si="77"/>
        <v>4662</v>
      </c>
    </row>
    <row r="1445" spans="1:6" ht="12.75">
      <c r="A1445" s="371" t="s">
        <v>327</v>
      </c>
      <c r="B1445" s="834" t="s">
        <v>689</v>
      </c>
      <c r="C1445" s="328"/>
      <c r="D1445" s="152"/>
      <c r="E1445" s="327"/>
      <c r="F1445" s="151">
        <f t="shared" si="77"/>
        <v>0</v>
      </c>
    </row>
    <row r="1446" spans="1:6" ht="12.75">
      <c r="A1446" s="371" t="s">
        <v>328</v>
      </c>
      <c r="B1446" s="835" t="s">
        <v>687</v>
      </c>
      <c r="C1446" s="330"/>
      <c r="D1446" s="152"/>
      <c r="E1446" s="327"/>
      <c r="F1446" s="151">
        <f t="shared" si="77"/>
        <v>0</v>
      </c>
    </row>
    <row r="1447" spans="1:6" ht="12.75">
      <c r="A1447" s="371" t="s">
        <v>329</v>
      </c>
      <c r="B1447" s="309" t="s">
        <v>957</v>
      </c>
      <c r="C1447" s="330"/>
      <c r="D1447" s="152"/>
      <c r="E1447" s="327"/>
      <c r="F1447" s="156"/>
    </row>
    <row r="1448" spans="1:6" ht="13.5" thickBot="1">
      <c r="A1448" s="371" t="s">
        <v>330</v>
      </c>
      <c r="B1448" s="230" t="s">
        <v>694</v>
      </c>
      <c r="C1448" s="328"/>
      <c r="D1448" s="156"/>
      <c r="E1448" s="327"/>
      <c r="F1448" s="325">
        <f t="shared" si="77"/>
        <v>0</v>
      </c>
    </row>
    <row r="1449" spans="1:6" ht="13.5" thickBot="1">
      <c r="A1449" s="615" t="s">
        <v>331</v>
      </c>
      <c r="B1449" s="616" t="s">
        <v>6</v>
      </c>
      <c r="C1449" s="624">
        <f>C1435+C1436+C1437+C1438+C1440+C1448</f>
        <v>4662</v>
      </c>
      <c r="D1449" s="624">
        <f>D1435+D1436+D1437+D1438+D1440+D1448</f>
        <v>0</v>
      </c>
      <c r="E1449" s="624">
        <f>E1435+E1436+E1437+E1438+E1440+E1448</f>
        <v>0</v>
      </c>
      <c r="F1449" s="625">
        <f>F1435+F1436+F1437+F1438+F1440+F1448</f>
        <v>4662</v>
      </c>
    </row>
    <row r="1450" spans="1:6" ht="9.75" customHeight="1" thickTop="1">
      <c r="A1450" s="604"/>
      <c r="B1450" s="379"/>
      <c r="C1450" s="261"/>
      <c r="D1450" s="261"/>
      <c r="E1450" s="261"/>
      <c r="F1450" s="159"/>
    </row>
    <row r="1451" spans="1:6" ht="12.75">
      <c r="A1451" s="372" t="s">
        <v>332</v>
      </c>
      <c r="B1451" s="381" t="s">
        <v>257</v>
      </c>
      <c r="C1451" s="329"/>
      <c r="D1451" s="154"/>
      <c r="E1451" s="329"/>
      <c r="F1451" s="206"/>
    </row>
    <row r="1452" spans="1:6" ht="12.75">
      <c r="A1452" s="372" t="s">
        <v>333</v>
      </c>
      <c r="B1452" s="228" t="s">
        <v>695</v>
      </c>
      <c r="C1452" s="327"/>
      <c r="D1452" s="151"/>
      <c r="E1452" s="327"/>
      <c r="F1452" s="151">
        <f>SUM(C1452:E1452)</f>
        <v>0</v>
      </c>
    </row>
    <row r="1453" spans="1:6" ht="12.75">
      <c r="A1453" s="372" t="s">
        <v>334</v>
      </c>
      <c r="B1453" s="228" t="s">
        <v>696</v>
      </c>
      <c r="C1453" s="327"/>
      <c r="D1453" s="151"/>
      <c r="E1453" s="327"/>
      <c r="F1453" s="151">
        <f>SUM(C1453:E1453)</f>
        <v>0</v>
      </c>
    </row>
    <row r="1454" spans="1:6" ht="12.75">
      <c r="A1454" s="372" t="s">
        <v>336</v>
      </c>
      <c r="B1454" s="228" t="s">
        <v>697</v>
      </c>
      <c r="C1454" s="327">
        <f>C1455+C1456+C1457+C1458+C1459+C1460+C1461</f>
        <v>0</v>
      </c>
      <c r="D1454" s="327">
        <f>D1455+D1456+D1457+D1458+D1459+D1460+D1461</f>
        <v>0</v>
      </c>
      <c r="E1454" s="327">
        <f>E1455+E1456+E1457+E1458+E1459+E1460+E1461</f>
        <v>0</v>
      </c>
      <c r="F1454" s="151">
        <f>F1455+F1456+F1457+F1458+F1459+F1460+F1461</f>
        <v>0</v>
      </c>
    </row>
    <row r="1455" spans="1:6" ht="12.75">
      <c r="A1455" s="372" t="s">
        <v>337</v>
      </c>
      <c r="B1455" s="380" t="s">
        <v>698</v>
      </c>
      <c r="C1455" s="327"/>
      <c r="D1455" s="151"/>
      <c r="E1455" s="327"/>
      <c r="F1455" s="151">
        <f>SUM(C1455:E1455)</f>
        <v>0</v>
      </c>
    </row>
    <row r="1456" spans="1:6" ht="12.75">
      <c r="A1456" s="372" t="s">
        <v>338</v>
      </c>
      <c r="B1456" s="380" t="s">
        <v>699</v>
      </c>
      <c r="C1456" s="327"/>
      <c r="D1456" s="151"/>
      <c r="E1456" s="327"/>
      <c r="F1456" s="151">
        <f aca="true" t="shared" si="78" ref="F1456:F1461">SUM(C1456:E1456)</f>
        <v>0</v>
      </c>
    </row>
    <row r="1457" spans="1:6" ht="12.75">
      <c r="A1457" s="372" t="s">
        <v>339</v>
      </c>
      <c r="B1457" s="380" t="s">
        <v>700</v>
      </c>
      <c r="C1457" s="327"/>
      <c r="D1457" s="151"/>
      <c r="E1457" s="327"/>
      <c r="F1457" s="151">
        <f t="shared" si="78"/>
        <v>0</v>
      </c>
    </row>
    <row r="1458" spans="1:6" ht="12.75">
      <c r="A1458" s="372" t="s">
        <v>340</v>
      </c>
      <c r="B1458" s="380" t="s">
        <v>701</v>
      </c>
      <c r="C1458" s="327"/>
      <c r="D1458" s="151"/>
      <c r="E1458" s="327"/>
      <c r="F1458" s="151">
        <f t="shared" si="78"/>
        <v>0</v>
      </c>
    </row>
    <row r="1459" spans="1:6" ht="12.75">
      <c r="A1459" s="372" t="s">
        <v>341</v>
      </c>
      <c r="B1459" s="834" t="s">
        <v>702</v>
      </c>
      <c r="C1459" s="327"/>
      <c r="D1459" s="151"/>
      <c r="E1459" s="327"/>
      <c r="F1459" s="151">
        <f t="shared" si="78"/>
        <v>0</v>
      </c>
    </row>
    <row r="1460" spans="1:6" ht="12.75">
      <c r="A1460" s="372" t="s">
        <v>342</v>
      </c>
      <c r="B1460" s="309" t="s">
        <v>703</v>
      </c>
      <c r="C1460" s="327"/>
      <c r="D1460" s="151"/>
      <c r="E1460" s="327"/>
      <c r="F1460" s="151">
        <f t="shared" si="78"/>
        <v>0</v>
      </c>
    </row>
    <row r="1461" spans="1:6" ht="12.75">
      <c r="A1461" s="372" t="s">
        <v>343</v>
      </c>
      <c r="B1461" s="1091" t="s">
        <v>704</v>
      </c>
      <c r="C1461" s="327"/>
      <c r="D1461" s="151"/>
      <c r="E1461" s="327"/>
      <c r="F1461" s="151">
        <f t="shared" si="78"/>
        <v>0</v>
      </c>
    </row>
    <row r="1462" spans="1:6" ht="12.75">
      <c r="A1462" s="372" t="s">
        <v>344</v>
      </c>
      <c r="B1462" s="228"/>
      <c r="C1462" s="327"/>
      <c r="D1462" s="151"/>
      <c r="E1462" s="327"/>
      <c r="F1462" s="151"/>
    </row>
    <row r="1463" spans="1:6" ht="13.5" thickBot="1">
      <c r="A1463" s="372" t="s">
        <v>345</v>
      </c>
      <c r="B1463" s="230"/>
      <c r="C1463" s="330"/>
      <c r="D1463" s="330"/>
      <c r="E1463" s="330"/>
      <c r="F1463" s="152"/>
    </row>
    <row r="1464" spans="1:6" ht="13.5" thickBot="1">
      <c r="A1464" s="615" t="s">
        <v>346</v>
      </c>
      <c r="B1464" s="616" t="s">
        <v>7</v>
      </c>
      <c r="C1464" s="624">
        <f>C1452+C1453+C1454+C1462+C1463</f>
        <v>0</v>
      </c>
      <c r="D1464" s="624">
        <f>D1452+D1453+D1454+D1462+D1463</f>
        <v>0</v>
      </c>
      <c r="E1464" s="624">
        <f>E1452+E1453+E1454+E1462+E1463</f>
        <v>0</v>
      </c>
      <c r="F1464" s="625">
        <f>F1452+F1453+F1454+F1462+F1463</f>
        <v>0</v>
      </c>
    </row>
    <row r="1465" spans="1:6" ht="27" thickBot="1" thickTop="1">
      <c r="A1465" s="615" t="s">
        <v>347</v>
      </c>
      <c r="B1465" s="620" t="s">
        <v>503</v>
      </c>
      <c r="C1465" s="627">
        <f>C1449+C1464</f>
        <v>4662</v>
      </c>
      <c r="D1465" s="627">
        <f>D1449+D1464</f>
        <v>0</v>
      </c>
      <c r="E1465" s="627">
        <f>E1449+E1464</f>
        <v>0</v>
      </c>
      <c r="F1465" s="628">
        <f>F1449+F1464</f>
        <v>4662</v>
      </c>
    </row>
    <row r="1466" spans="1:6" ht="9.75" customHeight="1" thickTop="1">
      <c r="A1466" s="604"/>
      <c r="B1466" s="848"/>
      <c r="C1466" s="267"/>
      <c r="D1466" s="267"/>
      <c r="E1466" s="267"/>
      <c r="F1466" s="272"/>
    </row>
    <row r="1467" spans="1:6" ht="12.75">
      <c r="A1467" s="372" t="s">
        <v>348</v>
      </c>
      <c r="B1467" s="485" t="s">
        <v>504</v>
      </c>
      <c r="C1467" s="626"/>
      <c r="D1467" s="154"/>
      <c r="E1467" s="329"/>
      <c r="F1467" s="206"/>
    </row>
    <row r="1468" spans="1:6" ht="12.75">
      <c r="A1468" s="371" t="s">
        <v>349</v>
      </c>
      <c r="B1468" s="229" t="s">
        <v>726</v>
      </c>
      <c r="C1468" s="332"/>
      <c r="D1468" s="151"/>
      <c r="E1468" s="327"/>
      <c r="F1468" s="151">
        <f>SUM(C1468:E1468)</f>
        <v>0</v>
      </c>
    </row>
    <row r="1469" spans="1:6" ht="12.75">
      <c r="A1469" s="371" t="s">
        <v>350</v>
      </c>
      <c r="B1469" s="697" t="s">
        <v>724</v>
      </c>
      <c r="C1469" s="841"/>
      <c r="D1469" s="156"/>
      <c r="E1469" s="328"/>
      <c r="F1469" s="151">
        <f aca="true" t="shared" si="79" ref="F1469:F1475">SUM(C1469:E1469)</f>
        <v>0</v>
      </c>
    </row>
    <row r="1470" spans="1:6" ht="12.75">
      <c r="A1470" s="371" t="s">
        <v>351</v>
      </c>
      <c r="B1470" s="697" t="s">
        <v>723</v>
      </c>
      <c r="C1470" s="841"/>
      <c r="D1470" s="156"/>
      <c r="E1470" s="328"/>
      <c r="F1470" s="151">
        <f t="shared" si="79"/>
        <v>0</v>
      </c>
    </row>
    <row r="1471" spans="1:6" ht="12.75">
      <c r="A1471" s="371" t="s">
        <v>352</v>
      </c>
      <c r="B1471" s="697" t="s">
        <v>725</v>
      </c>
      <c r="C1471" s="841"/>
      <c r="D1471" s="156"/>
      <c r="E1471" s="328"/>
      <c r="F1471" s="151">
        <f t="shared" si="79"/>
        <v>0</v>
      </c>
    </row>
    <row r="1472" spans="1:6" ht="12.75">
      <c r="A1472" s="371" t="s">
        <v>353</v>
      </c>
      <c r="B1472" s="836" t="s">
        <v>727</v>
      </c>
      <c r="C1472" s="841"/>
      <c r="D1472" s="156"/>
      <c r="E1472" s="328"/>
      <c r="F1472" s="151">
        <f t="shared" si="79"/>
        <v>0</v>
      </c>
    </row>
    <row r="1473" spans="1:6" ht="12.75">
      <c r="A1473" s="371" t="s">
        <v>354</v>
      </c>
      <c r="B1473" s="837" t="s">
        <v>730</v>
      </c>
      <c r="C1473" s="841"/>
      <c r="D1473" s="156"/>
      <c r="E1473" s="328"/>
      <c r="F1473" s="151">
        <f t="shared" si="79"/>
        <v>0</v>
      </c>
    </row>
    <row r="1474" spans="1:6" ht="12.75">
      <c r="A1474" s="371" t="s">
        <v>355</v>
      </c>
      <c r="B1474" s="838" t="s">
        <v>729</v>
      </c>
      <c r="C1474" s="841"/>
      <c r="D1474" s="156"/>
      <c r="E1474" s="328"/>
      <c r="F1474" s="151">
        <f t="shared" si="79"/>
        <v>0</v>
      </c>
    </row>
    <row r="1475" spans="1:6" ht="13.5" thickBot="1">
      <c r="A1475" s="371" t="s">
        <v>356</v>
      </c>
      <c r="B1475" s="382" t="s">
        <v>728</v>
      </c>
      <c r="C1475" s="841"/>
      <c r="D1475" s="156"/>
      <c r="E1475" s="328"/>
      <c r="F1475" s="151">
        <f t="shared" si="79"/>
        <v>0</v>
      </c>
    </row>
    <row r="1476" spans="1:6" ht="13.5" thickBot="1">
      <c r="A1476" s="395" t="s">
        <v>357</v>
      </c>
      <c r="B1476" s="315" t="s">
        <v>505</v>
      </c>
      <c r="C1476" s="842">
        <f>SUM(C1468:C1475)</f>
        <v>0</v>
      </c>
      <c r="D1476" s="842">
        <f>SUM(D1468:D1475)</f>
        <v>0</v>
      </c>
      <c r="E1476" s="842">
        <f>SUM(E1468:E1475)</f>
        <v>0</v>
      </c>
      <c r="F1476" s="948">
        <f>SUM(F1468:F1475)</f>
        <v>0</v>
      </c>
    </row>
    <row r="1477" spans="1:6" ht="6" customHeight="1">
      <c r="A1477" s="604"/>
      <c r="B1477" s="44"/>
      <c r="C1477" s="854"/>
      <c r="D1477" s="856"/>
      <c r="E1477" s="816"/>
      <c r="F1477" s="693"/>
    </row>
    <row r="1478" spans="1:6" ht="13.5" thickBot="1">
      <c r="A1478" s="456" t="s">
        <v>358</v>
      </c>
      <c r="B1478" s="1379" t="s">
        <v>506</v>
      </c>
      <c r="C1478" s="994">
        <f>C1465+C1476</f>
        <v>4662</v>
      </c>
      <c r="D1478" s="995">
        <f>D1465+D1476</f>
        <v>0</v>
      </c>
      <c r="E1478" s="994">
        <f>E1465+E1476</f>
        <v>0</v>
      </c>
      <c r="F1478" s="994">
        <f>F1465+F1476</f>
        <v>4662</v>
      </c>
    </row>
    <row r="1479" spans="1:6" ht="12.75">
      <c r="A1479" s="393"/>
      <c r="B1479" s="827"/>
      <c r="C1479" s="695"/>
      <c r="D1479" s="695"/>
      <c r="E1479" s="695"/>
      <c r="F1479" s="695"/>
    </row>
    <row r="1480" spans="1:6" ht="12.75">
      <c r="A1480" s="1675">
        <v>27</v>
      </c>
      <c r="B1480" s="1675"/>
      <c r="C1480" s="1675"/>
      <c r="D1480" s="1675"/>
      <c r="E1480" s="1675"/>
      <c r="F1480" s="1675"/>
    </row>
    <row r="1481" spans="1:5" ht="12.75">
      <c r="A1481" s="1654" t="s">
        <v>1456</v>
      </c>
      <c r="B1481" s="1654"/>
      <c r="C1481" s="1654"/>
      <c r="D1481" s="1654"/>
      <c r="E1481" s="1654"/>
    </row>
    <row r="1482" spans="1:5" ht="12.75">
      <c r="A1482" s="384"/>
      <c r="B1482" s="384"/>
      <c r="C1482" s="384"/>
      <c r="D1482" s="384"/>
      <c r="E1482" s="384"/>
    </row>
    <row r="1483" spans="1:6" ht="14.25">
      <c r="A1483" s="1809" t="s">
        <v>1098</v>
      </c>
      <c r="B1483" s="1810"/>
      <c r="C1483" s="1810"/>
      <c r="D1483" s="1810"/>
      <c r="E1483" s="1810"/>
      <c r="F1483" s="1810"/>
    </row>
    <row r="1484" spans="2:5" ht="15.75">
      <c r="B1484" s="21"/>
      <c r="C1484" s="21"/>
      <c r="D1484" s="21"/>
      <c r="E1484" s="21"/>
    </row>
    <row r="1485" spans="2:5" ht="15.75">
      <c r="B1485" s="21" t="s">
        <v>1402</v>
      </c>
      <c r="C1485" s="21"/>
      <c r="D1485" s="21"/>
      <c r="E1485" s="21"/>
    </row>
    <row r="1486" spans="2:5" ht="13.5" thickBot="1">
      <c r="B1486" s="1"/>
      <c r="C1486" s="1"/>
      <c r="D1486" s="1"/>
      <c r="E1486" s="22" t="s">
        <v>8</v>
      </c>
    </row>
    <row r="1487" spans="1:6" ht="48.75" thickBot="1">
      <c r="A1487" s="399" t="s">
        <v>311</v>
      </c>
      <c r="B1487" s="610" t="s">
        <v>13</v>
      </c>
      <c r="C1487" s="387" t="s">
        <v>540</v>
      </c>
      <c r="D1487" s="388" t="s">
        <v>541</v>
      </c>
      <c r="E1487" s="387" t="s">
        <v>536</v>
      </c>
      <c r="F1487" s="388" t="s">
        <v>535</v>
      </c>
    </row>
    <row r="1488" spans="1:6" ht="12.75">
      <c r="A1488" s="611" t="s">
        <v>312</v>
      </c>
      <c r="B1488" s="612" t="s">
        <v>313</v>
      </c>
      <c r="C1488" s="621" t="s">
        <v>314</v>
      </c>
      <c r="D1488" s="622" t="s">
        <v>315</v>
      </c>
      <c r="E1488" s="796" t="s">
        <v>335</v>
      </c>
      <c r="F1488" s="797" t="s">
        <v>360</v>
      </c>
    </row>
    <row r="1489" spans="1:6" ht="12.75">
      <c r="A1489" s="372" t="s">
        <v>316</v>
      </c>
      <c r="B1489" s="379" t="s">
        <v>256</v>
      </c>
      <c r="C1489" s="327"/>
      <c r="D1489" s="151"/>
      <c r="E1489" s="327"/>
      <c r="F1489" s="136"/>
    </row>
    <row r="1490" spans="1:6" ht="12.75">
      <c r="A1490" s="371" t="s">
        <v>317</v>
      </c>
      <c r="B1490" s="199" t="s">
        <v>681</v>
      </c>
      <c r="C1490" s="327"/>
      <c r="D1490" s="151"/>
      <c r="E1490" s="327"/>
      <c r="F1490" s="151">
        <f>SUM(C1490:E1490)</f>
        <v>0</v>
      </c>
    </row>
    <row r="1491" spans="1:6" ht="12.75">
      <c r="A1491" s="371" t="s">
        <v>318</v>
      </c>
      <c r="B1491" s="228" t="s">
        <v>683</v>
      </c>
      <c r="C1491" s="327"/>
      <c r="D1491" s="151"/>
      <c r="E1491" s="327"/>
      <c r="F1491" s="151"/>
    </row>
    <row r="1492" spans="1:6" ht="12.75">
      <c r="A1492" s="371" t="s">
        <v>319</v>
      </c>
      <c r="B1492" s="228" t="s">
        <v>682</v>
      </c>
      <c r="C1492" s="327">
        <v>80937</v>
      </c>
      <c r="D1492" s="151"/>
      <c r="E1492" s="327"/>
      <c r="F1492" s="151">
        <f>SUM(C1492:E1492)</f>
        <v>80937</v>
      </c>
    </row>
    <row r="1493" spans="1:6" ht="12.75">
      <c r="A1493" s="371" t="s">
        <v>320</v>
      </c>
      <c r="B1493" s="228" t="s">
        <v>684</v>
      </c>
      <c r="C1493" s="327"/>
      <c r="D1493" s="151"/>
      <c r="E1493" s="327"/>
      <c r="F1493" s="151"/>
    </row>
    <row r="1494" spans="1:6" ht="12.75">
      <c r="A1494" s="371" t="s">
        <v>321</v>
      </c>
      <c r="B1494" s="228" t="s">
        <v>685</v>
      </c>
      <c r="C1494" s="327"/>
      <c r="D1494" s="151"/>
      <c r="E1494" s="327"/>
      <c r="F1494" s="151"/>
    </row>
    <row r="1495" spans="1:6" ht="12.75">
      <c r="A1495" s="371" t="s">
        <v>322</v>
      </c>
      <c r="B1495" s="228" t="s">
        <v>686</v>
      </c>
      <c r="C1495" s="327">
        <f>C1496+C1497+C1498+C1499+C1500+C1501+C1502</f>
        <v>0</v>
      </c>
      <c r="D1495" s="327">
        <f>D1496+D1497+D1498+D1499+D1500+D1501+D1502</f>
        <v>0</v>
      </c>
      <c r="E1495" s="327">
        <f>E1496+E1497+E1498+E1499+E1500+E1501+E1502</f>
        <v>0</v>
      </c>
      <c r="F1495" s="151">
        <f>F1496+F1497+F1498+F1499+F1500+F1501+F1502</f>
        <v>0</v>
      </c>
    </row>
    <row r="1496" spans="1:6" ht="12.75">
      <c r="A1496" s="371" t="s">
        <v>323</v>
      </c>
      <c r="B1496" s="228" t="s">
        <v>690</v>
      </c>
      <c r="C1496" s="327">
        <v>0</v>
      </c>
      <c r="D1496" s="151">
        <v>0</v>
      </c>
      <c r="E1496" s="327">
        <v>0</v>
      </c>
      <c r="F1496" s="151">
        <f aca="true" t="shared" si="80" ref="F1496:F1501">E1496+D1496+C1496</f>
        <v>0</v>
      </c>
    </row>
    <row r="1497" spans="1:6" ht="12.75">
      <c r="A1497" s="371" t="s">
        <v>324</v>
      </c>
      <c r="B1497" s="228" t="s">
        <v>691</v>
      </c>
      <c r="C1497" s="327"/>
      <c r="D1497" s="151"/>
      <c r="E1497" s="327"/>
      <c r="F1497" s="151">
        <f t="shared" si="80"/>
        <v>0</v>
      </c>
    </row>
    <row r="1498" spans="1:6" ht="12.75">
      <c r="A1498" s="371" t="s">
        <v>325</v>
      </c>
      <c r="B1498" s="228" t="s">
        <v>692</v>
      </c>
      <c r="C1498" s="327"/>
      <c r="D1498" s="151"/>
      <c r="E1498" s="327"/>
      <c r="F1498" s="151">
        <f t="shared" si="80"/>
        <v>0</v>
      </c>
    </row>
    <row r="1499" spans="1:6" ht="12.75">
      <c r="A1499" s="371" t="s">
        <v>326</v>
      </c>
      <c r="B1499" s="380" t="s">
        <v>688</v>
      </c>
      <c r="C1499" s="327">
        <f>'4_sz_ melléklet'!E546</f>
        <v>0</v>
      </c>
      <c r="D1499" s="155"/>
      <c r="E1499" s="327"/>
      <c r="F1499" s="151">
        <f t="shared" si="80"/>
        <v>0</v>
      </c>
    </row>
    <row r="1500" spans="1:6" ht="12.75">
      <c r="A1500" s="371" t="s">
        <v>327</v>
      </c>
      <c r="B1500" s="834" t="s">
        <v>689</v>
      </c>
      <c r="C1500" s="328"/>
      <c r="D1500" s="152"/>
      <c r="E1500" s="327"/>
      <c r="F1500" s="151">
        <f t="shared" si="80"/>
        <v>0</v>
      </c>
    </row>
    <row r="1501" spans="1:6" ht="12.75">
      <c r="A1501" s="371" t="s">
        <v>328</v>
      </c>
      <c r="B1501" s="835" t="s">
        <v>687</v>
      </c>
      <c r="C1501" s="330"/>
      <c r="D1501" s="152"/>
      <c r="E1501" s="327"/>
      <c r="F1501" s="151">
        <f t="shared" si="80"/>
        <v>0</v>
      </c>
    </row>
    <row r="1502" spans="1:6" ht="12.75">
      <c r="A1502" s="371" t="s">
        <v>329</v>
      </c>
      <c r="B1502" s="309" t="s">
        <v>957</v>
      </c>
      <c r="C1502" s="330"/>
      <c r="D1502" s="152"/>
      <c r="E1502" s="327"/>
      <c r="F1502" s="156"/>
    </row>
    <row r="1503" spans="1:6" ht="13.5" thickBot="1">
      <c r="A1503" s="371" t="s">
        <v>330</v>
      </c>
      <c r="B1503" s="230" t="s">
        <v>694</v>
      </c>
      <c r="C1503" s="328"/>
      <c r="D1503" s="156"/>
      <c r="E1503" s="327"/>
      <c r="F1503" s="325">
        <f>E1503+D1503+C1503</f>
        <v>0</v>
      </c>
    </row>
    <row r="1504" spans="1:6" ht="13.5" thickBot="1">
      <c r="A1504" s="615" t="s">
        <v>331</v>
      </c>
      <c r="B1504" s="616" t="s">
        <v>6</v>
      </c>
      <c r="C1504" s="624">
        <f>C1490+C1491+C1492+C1493+C1495+C1503</f>
        <v>80937</v>
      </c>
      <c r="D1504" s="624">
        <f>D1490+D1491+D1492+D1493+D1495+D1503</f>
        <v>0</v>
      </c>
      <c r="E1504" s="624">
        <f>E1490+E1491+E1492+E1493+E1495+E1503</f>
        <v>0</v>
      </c>
      <c r="F1504" s="625">
        <f>F1490+F1491+F1492+F1493+F1495+F1503</f>
        <v>80937</v>
      </c>
    </row>
    <row r="1505" spans="1:6" ht="13.5" thickTop="1">
      <c r="A1505" s="604"/>
      <c r="B1505" s="379"/>
      <c r="C1505" s="261"/>
      <c r="D1505" s="261"/>
      <c r="E1505" s="261"/>
      <c r="F1505" s="159"/>
    </row>
    <row r="1506" spans="1:6" ht="12.75">
      <c r="A1506" s="372" t="s">
        <v>332</v>
      </c>
      <c r="B1506" s="381" t="s">
        <v>257</v>
      </c>
      <c r="C1506" s="329"/>
      <c r="D1506" s="154"/>
      <c r="E1506" s="329"/>
      <c r="F1506" s="206"/>
    </row>
    <row r="1507" spans="1:6" ht="12.75">
      <c r="A1507" s="372" t="s">
        <v>333</v>
      </c>
      <c r="B1507" s="228" t="s">
        <v>695</v>
      </c>
      <c r="C1507" s="327"/>
      <c r="D1507" s="151"/>
      <c r="E1507" s="327"/>
      <c r="F1507" s="151">
        <f>SUM(C1507:E1507)</f>
        <v>0</v>
      </c>
    </row>
    <row r="1508" spans="1:6" ht="12.75">
      <c r="A1508" s="372" t="s">
        <v>334</v>
      </c>
      <c r="B1508" s="228" t="s">
        <v>696</v>
      </c>
      <c r="C1508" s="327"/>
      <c r="D1508" s="151"/>
      <c r="E1508" s="327"/>
      <c r="F1508" s="151">
        <f>SUM(C1508:E1508)</f>
        <v>0</v>
      </c>
    </row>
    <row r="1509" spans="1:6" ht="12.75">
      <c r="A1509" s="372" t="s">
        <v>336</v>
      </c>
      <c r="B1509" s="228" t="s">
        <v>697</v>
      </c>
      <c r="C1509" s="327">
        <f>C1510+C1511+C1512+C1513+C1514+C1515+C1516</f>
        <v>0</v>
      </c>
      <c r="D1509" s="327">
        <f>D1510+D1511+D1512+D1513+D1514+D1515+D1516</f>
        <v>0</v>
      </c>
      <c r="E1509" s="327">
        <f>E1510+E1511+E1512+E1513+E1514+E1515+E1516</f>
        <v>0</v>
      </c>
      <c r="F1509" s="151">
        <f>F1510+F1511+F1512+F1513+F1514+F1515+F1516</f>
        <v>0</v>
      </c>
    </row>
    <row r="1510" spans="1:6" ht="12.75">
      <c r="A1510" s="372" t="s">
        <v>337</v>
      </c>
      <c r="B1510" s="380" t="s">
        <v>698</v>
      </c>
      <c r="C1510" s="327"/>
      <c r="D1510" s="151"/>
      <c r="E1510" s="327"/>
      <c r="F1510" s="151">
        <f>SUM(C1510:E1510)</f>
        <v>0</v>
      </c>
    </row>
    <row r="1511" spans="1:6" ht="12.75">
      <c r="A1511" s="372" t="s">
        <v>338</v>
      </c>
      <c r="B1511" s="380" t="s">
        <v>699</v>
      </c>
      <c r="C1511" s="327"/>
      <c r="D1511" s="151"/>
      <c r="E1511" s="327"/>
      <c r="F1511" s="151">
        <f aca="true" t="shared" si="81" ref="F1511:F1516">SUM(C1511:E1511)</f>
        <v>0</v>
      </c>
    </row>
    <row r="1512" spans="1:6" ht="12.75">
      <c r="A1512" s="372" t="s">
        <v>339</v>
      </c>
      <c r="B1512" s="380" t="s">
        <v>700</v>
      </c>
      <c r="C1512" s="327"/>
      <c r="D1512" s="151"/>
      <c r="E1512" s="327"/>
      <c r="F1512" s="151">
        <f t="shared" si="81"/>
        <v>0</v>
      </c>
    </row>
    <row r="1513" spans="1:6" ht="12.75">
      <c r="A1513" s="372" t="s">
        <v>340</v>
      </c>
      <c r="B1513" s="380" t="s">
        <v>701</v>
      </c>
      <c r="C1513" s="327"/>
      <c r="D1513" s="151"/>
      <c r="E1513" s="327"/>
      <c r="F1513" s="151">
        <f t="shared" si="81"/>
        <v>0</v>
      </c>
    </row>
    <row r="1514" spans="1:6" ht="12.75">
      <c r="A1514" s="372" t="s">
        <v>341</v>
      </c>
      <c r="B1514" s="834" t="s">
        <v>702</v>
      </c>
      <c r="C1514" s="327"/>
      <c r="D1514" s="151"/>
      <c r="E1514" s="327"/>
      <c r="F1514" s="151">
        <f t="shared" si="81"/>
        <v>0</v>
      </c>
    </row>
    <row r="1515" spans="1:6" ht="12.75">
      <c r="A1515" s="372" t="s">
        <v>342</v>
      </c>
      <c r="B1515" s="309" t="s">
        <v>703</v>
      </c>
      <c r="C1515" s="327"/>
      <c r="D1515" s="151"/>
      <c r="E1515" s="327"/>
      <c r="F1515" s="151">
        <f t="shared" si="81"/>
        <v>0</v>
      </c>
    </row>
    <row r="1516" spans="1:6" ht="12.75">
      <c r="A1516" s="372" t="s">
        <v>343</v>
      </c>
      <c r="B1516" s="1091" t="s">
        <v>704</v>
      </c>
      <c r="C1516" s="327"/>
      <c r="D1516" s="151"/>
      <c r="E1516" s="327"/>
      <c r="F1516" s="151">
        <f t="shared" si="81"/>
        <v>0</v>
      </c>
    </row>
    <row r="1517" spans="1:6" ht="12.75">
      <c r="A1517" s="372" t="s">
        <v>344</v>
      </c>
      <c r="B1517" s="228"/>
      <c r="C1517" s="327"/>
      <c r="D1517" s="151"/>
      <c r="E1517" s="327"/>
      <c r="F1517" s="151"/>
    </row>
    <row r="1518" spans="1:6" ht="13.5" thickBot="1">
      <c r="A1518" s="372" t="s">
        <v>345</v>
      </c>
      <c r="B1518" s="230"/>
      <c r="C1518" s="330"/>
      <c r="D1518" s="330"/>
      <c r="E1518" s="330"/>
      <c r="F1518" s="152"/>
    </row>
    <row r="1519" spans="1:6" ht="13.5" thickBot="1">
      <c r="A1519" s="615" t="s">
        <v>346</v>
      </c>
      <c r="B1519" s="616" t="s">
        <v>7</v>
      </c>
      <c r="C1519" s="624">
        <f>C1507+C1508+C1509+C1517+C1518</f>
        <v>0</v>
      </c>
      <c r="D1519" s="624">
        <f>D1507+D1508+D1509+D1517+D1518</f>
        <v>0</v>
      </c>
      <c r="E1519" s="624">
        <f>E1507+E1508+E1509+E1517+E1518</f>
        <v>0</v>
      </c>
      <c r="F1519" s="625">
        <f>F1507+F1508+F1509+F1517+F1518</f>
        <v>0</v>
      </c>
    </row>
    <row r="1520" spans="1:6" ht="27" thickBot="1" thickTop="1">
      <c r="A1520" s="615" t="s">
        <v>347</v>
      </c>
      <c r="B1520" s="620" t="s">
        <v>503</v>
      </c>
      <c r="C1520" s="627">
        <f>C1504+C1519</f>
        <v>80937</v>
      </c>
      <c r="D1520" s="627">
        <f>D1504+D1519</f>
        <v>0</v>
      </c>
      <c r="E1520" s="627">
        <f>E1504+E1519</f>
        <v>0</v>
      </c>
      <c r="F1520" s="628">
        <f>F1504+F1519</f>
        <v>80937</v>
      </c>
    </row>
    <row r="1521" spans="1:6" ht="13.5" thickTop="1">
      <c r="A1521" s="604"/>
      <c r="B1521" s="848"/>
      <c r="C1521" s="267"/>
      <c r="D1521" s="267"/>
      <c r="E1521" s="267"/>
      <c r="F1521" s="272"/>
    </row>
    <row r="1522" spans="1:6" ht="12.75">
      <c r="A1522" s="372" t="s">
        <v>348</v>
      </c>
      <c r="B1522" s="485" t="s">
        <v>504</v>
      </c>
      <c r="C1522" s="626"/>
      <c r="D1522" s="154"/>
      <c r="E1522" s="329"/>
      <c r="F1522" s="206"/>
    </row>
    <row r="1523" spans="1:6" ht="12.75">
      <c r="A1523" s="371" t="s">
        <v>349</v>
      </c>
      <c r="B1523" s="229" t="s">
        <v>726</v>
      </c>
      <c r="C1523" s="332"/>
      <c r="D1523" s="151"/>
      <c r="E1523" s="327"/>
      <c r="F1523" s="151">
        <f>SUM(C1523:E1523)</f>
        <v>0</v>
      </c>
    </row>
    <row r="1524" spans="1:6" ht="12.75">
      <c r="A1524" s="371" t="s">
        <v>350</v>
      </c>
      <c r="B1524" s="697" t="s">
        <v>724</v>
      </c>
      <c r="C1524" s="841"/>
      <c r="D1524" s="156"/>
      <c r="E1524" s="328"/>
      <c r="F1524" s="151">
        <f aca="true" t="shared" si="82" ref="F1524:F1530">SUM(C1524:E1524)</f>
        <v>0</v>
      </c>
    </row>
    <row r="1525" spans="1:6" ht="12.75">
      <c r="A1525" s="371" t="s">
        <v>351</v>
      </c>
      <c r="B1525" s="697" t="s">
        <v>723</v>
      </c>
      <c r="C1525" s="841"/>
      <c r="D1525" s="156"/>
      <c r="E1525" s="328"/>
      <c r="F1525" s="151">
        <f t="shared" si="82"/>
        <v>0</v>
      </c>
    </row>
    <row r="1526" spans="1:6" ht="12.75">
      <c r="A1526" s="371" t="s">
        <v>352</v>
      </c>
      <c r="B1526" s="697" t="s">
        <v>725</v>
      </c>
      <c r="C1526" s="841"/>
      <c r="D1526" s="156"/>
      <c r="E1526" s="328"/>
      <c r="F1526" s="151">
        <f t="shared" si="82"/>
        <v>0</v>
      </c>
    </row>
    <row r="1527" spans="1:6" ht="12.75">
      <c r="A1527" s="371" t="s">
        <v>353</v>
      </c>
      <c r="B1527" s="836" t="s">
        <v>727</v>
      </c>
      <c r="C1527" s="841"/>
      <c r="D1527" s="156"/>
      <c r="E1527" s="328"/>
      <c r="F1527" s="151">
        <f t="shared" si="82"/>
        <v>0</v>
      </c>
    </row>
    <row r="1528" spans="1:6" ht="12.75">
      <c r="A1528" s="371" t="s">
        <v>354</v>
      </c>
      <c r="B1528" s="837" t="s">
        <v>730</v>
      </c>
      <c r="C1528" s="841"/>
      <c r="D1528" s="156"/>
      <c r="E1528" s="328"/>
      <c r="F1528" s="151">
        <f t="shared" si="82"/>
        <v>0</v>
      </c>
    </row>
    <row r="1529" spans="1:6" ht="12.75">
      <c r="A1529" s="371" t="s">
        <v>355</v>
      </c>
      <c r="B1529" s="838" t="s">
        <v>729</v>
      </c>
      <c r="C1529" s="841"/>
      <c r="D1529" s="156"/>
      <c r="E1529" s="328"/>
      <c r="F1529" s="151">
        <f t="shared" si="82"/>
        <v>0</v>
      </c>
    </row>
    <row r="1530" spans="1:6" ht="13.5" thickBot="1">
      <c r="A1530" s="371" t="s">
        <v>356</v>
      </c>
      <c r="B1530" s="382" t="s">
        <v>728</v>
      </c>
      <c r="C1530" s="841"/>
      <c r="D1530" s="156"/>
      <c r="E1530" s="328"/>
      <c r="F1530" s="151">
        <f t="shared" si="82"/>
        <v>0</v>
      </c>
    </row>
    <row r="1531" spans="1:6" ht="13.5" thickBot="1">
      <c r="A1531" s="395" t="s">
        <v>357</v>
      </c>
      <c r="B1531" s="315" t="s">
        <v>505</v>
      </c>
      <c r="C1531" s="842">
        <f>SUM(C1523:C1530)</f>
        <v>0</v>
      </c>
      <c r="D1531" s="842">
        <f>SUM(D1523:D1530)</f>
        <v>0</v>
      </c>
      <c r="E1531" s="842">
        <f>SUM(E1523:E1530)</f>
        <v>0</v>
      </c>
      <c r="F1531" s="948">
        <f>SUM(F1523:F1530)</f>
        <v>0</v>
      </c>
    </row>
    <row r="1532" spans="1:6" ht="12.75">
      <c r="A1532" s="604"/>
      <c r="B1532" s="44"/>
      <c r="C1532" s="854"/>
      <c r="D1532" s="856"/>
      <c r="E1532" s="816"/>
      <c r="F1532" s="693"/>
    </row>
    <row r="1533" spans="1:6" ht="13.5" thickBot="1">
      <c r="A1533" s="456" t="s">
        <v>358</v>
      </c>
      <c r="B1533" s="1379" t="s">
        <v>506</v>
      </c>
      <c r="C1533" s="994">
        <f>C1520+C1531</f>
        <v>80937</v>
      </c>
      <c r="D1533" s="995">
        <f>D1520+D1531</f>
        <v>0</v>
      </c>
      <c r="E1533" s="994">
        <f>E1520+E1531</f>
        <v>0</v>
      </c>
      <c r="F1533" s="994">
        <f>F1520+F1531</f>
        <v>80937</v>
      </c>
    </row>
    <row r="1534" spans="1:6" ht="12.75">
      <c r="A1534" s="1675">
        <v>29</v>
      </c>
      <c r="B1534" s="1675"/>
      <c r="C1534" s="1675"/>
      <c r="D1534" s="1675"/>
      <c r="E1534" s="1675"/>
      <c r="F1534" s="1675"/>
    </row>
    <row r="1535" spans="1:5" ht="12.75">
      <c r="A1535" s="1654" t="s">
        <v>1456</v>
      </c>
      <c r="B1535" s="1654"/>
      <c r="C1535" s="1654"/>
      <c r="D1535" s="1654"/>
      <c r="E1535" s="1654"/>
    </row>
    <row r="1536" spans="1:5" ht="12.75">
      <c r="A1536" s="384"/>
      <c r="B1536" s="384"/>
      <c r="C1536" s="384"/>
      <c r="D1536" s="384"/>
      <c r="E1536" s="384"/>
    </row>
    <row r="1537" spans="1:6" ht="14.25">
      <c r="A1537" s="1809" t="s">
        <v>1098</v>
      </c>
      <c r="B1537" s="1810"/>
      <c r="C1537" s="1810"/>
      <c r="D1537" s="1810"/>
      <c r="E1537" s="1810"/>
      <c r="F1537" s="1810"/>
    </row>
    <row r="1538" spans="2:5" ht="15.75">
      <c r="B1538" s="21"/>
      <c r="C1538" s="21"/>
      <c r="D1538" s="21"/>
      <c r="E1538" s="21"/>
    </row>
    <row r="1539" spans="2:5" ht="15.75">
      <c r="B1539" s="21" t="s">
        <v>561</v>
      </c>
      <c r="C1539" s="21"/>
      <c r="D1539" s="21"/>
      <c r="E1539" s="21"/>
    </row>
    <row r="1540" spans="2:5" ht="13.5" thickBot="1">
      <c r="B1540" s="1"/>
      <c r="C1540" s="1"/>
      <c r="D1540" s="1"/>
      <c r="E1540" s="22" t="s">
        <v>8</v>
      </c>
    </row>
    <row r="1541" spans="1:6" ht="48.75" thickBot="1">
      <c r="A1541" s="399" t="s">
        <v>311</v>
      </c>
      <c r="B1541" s="610" t="s">
        <v>13</v>
      </c>
      <c r="C1541" s="387" t="s">
        <v>540</v>
      </c>
      <c r="D1541" s="388" t="s">
        <v>541</v>
      </c>
      <c r="E1541" s="387" t="s">
        <v>536</v>
      </c>
      <c r="F1541" s="388" t="s">
        <v>535</v>
      </c>
    </row>
    <row r="1542" spans="1:6" ht="12.75">
      <c r="A1542" s="611" t="s">
        <v>312</v>
      </c>
      <c r="B1542" s="612" t="s">
        <v>313</v>
      </c>
      <c r="C1542" s="621" t="s">
        <v>314</v>
      </c>
      <c r="D1542" s="622" t="s">
        <v>315</v>
      </c>
      <c r="E1542" s="796" t="s">
        <v>335</v>
      </c>
      <c r="F1542" s="797" t="s">
        <v>360</v>
      </c>
    </row>
    <row r="1543" spans="1:6" ht="12.75">
      <c r="A1543" s="372" t="s">
        <v>316</v>
      </c>
      <c r="B1543" s="379" t="s">
        <v>256</v>
      </c>
      <c r="C1543" s="327"/>
      <c r="D1543" s="151"/>
      <c r="E1543" s="327"/>
      <c r="F1543" s="136"/>
    </row>
    <row r="1544" spans="1:6" ht="12.75">
      <c r="A1544" s="371" t="s">
        <v>317</v>
      </c>
      <c r="B1544" s="199" t="s">
        <v>681</v>
      </c>
      <c r="C1544" s="327">
        <f>C1435+C1380+C1325+C1271+C1216+C1162+C1107+C1052+C998+C943+C889+C834+C779+C724+C669+C614+C559+C504+C449+C394+C339+C284+C229+C175+C120+C65+C10+C1490</f>
        <v>215854</v>
      </c>
      <c r="D1544" s="327">
        <f>D1435+D1380+D1325+D1271+D1216+D1162+D1107+D1052+D998+D943+D889+D834+D779+D724+D669+D614+D559+D504+D449+D394+D339+D284+D229+D175+D120+D65+D10+D1490</f>
        <v>0</v>
      </c>
      <c r="E1544" s="327">
        <f>E1435+E1380+E1325+E1271+E1216+E1162+E1107+E1052+E998+E943+E889+E834+E779+E724+E669+E614+E559+E504+E449+E394+E339+E284+E229+E175+E120+E65+E10+E1490</f>
        <v>0</v>
      </c>
      <c r="F1544" s="151">
        <f>SUM(C1544:E1544)</f>
        <v>215854</v>
      </c>
    </row>
    <row r="1545" spans="1:6" ht="12.75">
      <c r="A1545" s="371" t="s">
        <v>318</v>
      </c>
      <c r="B1545" s="228" t="s">
        <v>683</v>
      </c>
      <c r="C1545" s="327">
        <f aca="true" t="shared" si="83" ref="C1545:E1546">C1436+C1381+C1326+C1272+C1217+C1163+C1108+C1053+C999+C944+C890+C835+C780+C725+C670+C615+C560+C505+C450+C395+C340+C285+C230+C176+C121+C66+C11+C1491</f>
        <v>36729</v>
      </c>
      <c r="D1545" s="327">
        <f t="shared" si="83"/>
        <v>0</v>
      </c>
      <c r="E1545" s="327">
        <f t="shared" si="83"/>
        <v>0</v>
      </c>
      <c r="F1545" s="151">
        <f>SUM(C1545:E1545)</f>
        <v>36729</v>
      </c>
    </row>
    <row r="1546" spans="1:6" ht="12.75">
      <c r="A1546" s="371" t="s">
        <v>319</v>
      </c>
      <c r="B1546" s="228" t="s">
        <v>682</v>
      </c>
      <c r="C1546" s="327">
        <f t="shared" si="83"/>
        <v>580711.74</v>
      </c>
      <c r="D1546" s="327">
        <f t="shared" si="83"/>
        <v>7559</v>
      </c>
      <c r="E1546" s="327">
        <f t="shared" si="83"/>
        <v>0</v>
      </c>
      <c r="F1546" s="151">
        <f>SUM(C1546:E1546)</f>
        <v>588270.74</v>
      </c>
    </row>
    <row r="1547" spans="1:6" ht="12.75">
      <c r="A1547" s="371" t="s">
        <v>320</v>
      </c>
      <c r="B1547" s="228" t="s">
        <v>684</v>
      </c>
      <c r="C1547" s="327">
        <f aca="true" t="shared" si="84" ref="C1547:E1548">C1438+C1383+C1328+C1274+C1219+C1165+C1110+C1055+C1001+C946+C892+C837+C782+C727+C672+C617+C562+C507+C452+C397+C342+C287+C232+C178+C123+C68+C13</f>
        <v>0</v>
      </c>
      <c r="D1547" s="327">
        <f t="shared" si="84"/>
        <v>0</v>
      </c>
      <c r="E1547" s="327">
        <f t="shared" si="84"/>
        <v>0</v>
      </c>
      <c r="F1547" s="151">
        <f>SUM(C1547:E1547)</f>
        <v>0</v>
      </c>
    </row>
    <row r="1548" spans="1:6" ht="12.75">
      <c r="A1548" s="371" t="s">
        <v>321</v>
      </c>
      <c r="B1548" s="228" t="s">
        <v>685</v>
      </c>
      <c r="C1548" s="327">
        <f t="shared" si="84"/>
        <v>2463</v>
      </c>
      <c r="D1548" s="327">
        <f t="shared" si="84"/>
        <v>0</v>
      </c>
      <c r="E1548" s="327">
        <f t="shared" si="84"/>
        <v>0</v>
      </c>
      <c r="F1548" s="151">
        <f>SUM(C1548:E1548)</f>
        <v>2463</v>
      </c>
    </row>
    <row r="1549" spans="1:6" ht="12.75">
      <c r="A1549" s="371" t="s">
        <v>322</v>
      </c>
      <c r="B1549" s="228" t="s">
        <v>686</v>
      </c>
      <c r="C1549" s="327">
        <f>C1550+C1551+C1552+C1553+C1554+C1555+C1556</f>
        <v>711533</v>
      </c>
      <c r="D1549" s="327">
        <f>D1550+D1551+D1552+D1553+D1554+D1555+D1556</f>
        <v>75588</v>
      </c>
      <c r="E1549" s="327">
        <f>E1550+E1551+E1552+E1553+E1554+E1555+E1556</f>
        <v>0</v>
      </c>
      <c r="F1549" s="151">
        <f>F1550+F1551+F1552+F1553+F1554+F1555+F1556</f>
        <v>787121</v>
      </c>
    </row>
    <row r="1550" spans="1:6" ht="12.75">
      <c r="A1550" s="371" t="s">
        <v>323</v>
      </c>
      <c r="B1550" s="228" t="s">
        <v>690</v>
      </c>
      <c r="C1550" s="327">
        <f aca="true" t="shared" si="85" ref="C1550:E1557">C1441+C1386+C1331+C1277+C1222+C1168+C1113+C1058+C1004+C949+C895+C840+C785+C730+C675+C620+C565+C510+C455+C400+C345+C290+C235+C181+C126+C71+C16</f>
        <v>255521</v>
      </c>
      <c r="D1550" s="327">
        <f t="shared" si="85"/>
        <v>0</v>
      </c>
      <c r="E1550" s="327">
        <f t="shared" si="85"/>
        <v>0</v>
      </c>
      <c r="F1550" s="151">
        <f>E1550+D1550+C1550</f>
        <v>255521</v>
      </c>
    </row>
    <row r="1551" spans="1:6" ht="12.75">
      <c r="A1551" s="371" t="s">
        <v>324</v>
      </c>
      <c r="B1551" s="228" t="s">
        <v>691</v>
      </c>
      <c r="C1551" s="327">
        <f t="shared" si="85"/>
        <v>0</v>
      </c>
      <c r="D1551" s="327">
        <f t="shared" si="85"/>
        <v>0</v>
      </c>
      <c r="E1551" s="327">
        <f t="shared" si="85"/>
        <v>0</v>
      </c>
      <c r="F1551" s="151">
        <f aca="true" t="shared" si="86" ref="F1551:F1557">E1551+D1551+C1551</f>
        <v>0</v>
      </c>
    </row>
    <row r="1552" spans="1:6" ht="12.75">
      <c r="A1552" s="371" t="s">
        <v>325</v>
      </c>
      <c r="B1552" s="228" t="s">
        <v>692</v>
      </c>
      <c r="C1552" s="327">
        <f t="shared" si="85"/>
        <v>0</v>
      </c>
      <c r="D1552" s="327">
        <f t="shared" si="85"/>
        <v>0</v>
      </c>
      <c r="E1552" s="327">
        <f t="shared" si="85"/>
        <v>0</v>
      </c>
      <c r="F1552" s="151">
        <f t="shared" si="86"/>
        <v>0</v>
      </c>
    </row>
    <row r="1553" spans="1:6" ht="12.75">
      <c r="A1553" s="371" t="s">
        <v>326</v>
      </c>
      <c r="B1553" s="380" t="s">
        <v>688</v>
      </c>
      <c r="C1553" s="327">
        <f t="shared" si="85"/>
        <v>455869</v>
      </c>
      <c r="D1553" s="327">
        <f t="shared" si="85"/>
        <v>75588</v>
      </c>
      <c r="E1553" s="327">
        <f t="shared" si="85"/>
        <v>0</v>
      </c>
      <c r="F1553" s="151">
        <f t="shared" si="86"/>
        <v>531457</v>
      </c>
    </row>
    <row r="1554" spans="1:6" ht="12.75">
      <c r="A1554" s="371" t="s">
        <v>327</v>
      </c>
      <c r="B1554" s="834" t="s">
        <v>689</v>
      </c>
      <c r="C1554" s="327">
        <f t="shared" si="85"/>
        <v>0</v>
      </c>
      <c r="D1554" s="327">
        <f t="shared" si="85"/>
        <v>0</v>
      </c>
      <c r="E1554" s="327">
        <f t="shared" si="85"/>
        <v>0</v>
      </c>
      <c r="F1554" s="151">
        <f t="shared" si="86"/>
        <v>0</v>
      </c>
    </row>
    <row r="1555" spans="1:6" ht="12.75">
      <c r="A1555" s="371" t="s">
        <v>328</v>
      </c>
      <c r="B1555" s="835" t="s">
        <v>687</v>
      </c>
      <c r="C1555" s="327">
        <f t="shared" si="85"/>
        <v>0</v>
      </c>
      <c r="D1555" s="327">
        <f t="shared" si="85"/>
        <v>0</v>
      </c>
      <c r="E1555" s="327">
        <f t="shared" si="85"/>
        <v>0</v>
      </c>
      <c r="F1555" s="151">
        <f t="shared" si="86"/>
        <v>0</v>
      </c>
    </row>
    <row r="1556" spans="1:6" ht="12.75">
      <c r="A1556" s="371" t="s">
        <v>329</v>
      </c>
      <c r="B1556" s="309" t="s">
        <v>957</v>
      </c>
      <c r="C1556" s="327">
        <f t="shared" si="85"/>
        <v>143</v>
      </c>
      <c r="D1556" s="327">
        <f t="shared" si="85"/>
        <v>0</v>
      </c>
      <c r="E1556" s="327">
        <f t="shared" si="85"/>
        <v>0</v>
      </c>
      <c r="F1556" s="151">
        <f t="shared" si="86"/>
        <v>143</v>
      </c>
    </row>
    <row r="1557" spans="1:6" ht="13.5" thickBot="1">
      <c r="A1557" s="371" t="s">
        <v>330</v>
      </c>
      <c r="B1557" s="230" t="s">
        <v>694</v>
      </c>
      <c r="C1557" s="327">
        <f t="shared" si="85"/>
        <v>61170</v>
      </c>
      <c r="D1557" s="327">
        <f t="shared" si="85"/>
        <v>62331</v>
      </c>
      <c r="E1557" s="327">
        <f t="shared" si="85"/>
        <v>0</v>
      </c>
      <c r="F1557" s="325">
        <f t="shared" si="86"/>
        <v>123501</v>
      </c>
    </row>
    <row r="1558" spans="1:6" ht="13.5" thickBot="1">
      <c r="A1558" s="615" t="s">
        <v>331</v>
      </c>
      <c r="B1558" s="616" t="s">
        <v>6</v>
      </c>
      <c r="C1558" s="624">
        <f>C1544+C1545+C1546+C1547+C1549+C1557</f>
        <v>1605997.74</v>
      </c>
      <c r="D1558" s="624">
        <f>D1544+D1545+D1546+D1547+D1549+D1557</f>
        <v>145478</v>
      </c>
      <c r="E1558" s="624">
        <f>E1544+E1545+E1546+E1547+E1549+E1557</f>
        <v>0</v>
      </c>
      <c r="F1558" s="625">
        <f>F1544+F1545+F1546+F1547+F1549+F1557</f>
        <v>1751475.74</v>
      </c>
    </row>
    <row r="1559" spans="1:6" ht="8.25" customHeight="1" thickTop="1">
      <c r="A1559" s="604"/>
      <c r="B1559" s="379"/>
      <c r="C1559" s="261"/>
      <c r="D1559" s="261"/>
      <c r="E1559" s="261"/>
      <c r="F1559" s="159"/>
    </row>
    <row r="1560" spans="1:6" ht="12.75">
      <c r="A1560" s="372" t="s">
        <v>332</v>
      </c>
      <c r="B1560" s="381" t="s">
        <v>257</v>
      </c>
      <c r="C1560" s="329"/>
      <c r="D1560" s="154"/>
      <c r="E1560" s="329"/>
      <c r="F1560" s="206"/>
    </row>
    <row r="1561" spans="1:6" ht="12.75">
      <c r="A1561" s="372" t="s">
        <v>333</v>
      </c>
      <c r="B1561" s="228" t="s">
        <v>695</v>
      </c>
      <c r="C1561" s="327">
        <f aca="true" t="shared" si="87" ref="C1561:E1562">C1452+C1397+C1342+C1288+C1233+C1179+C1124+C1069+C1015+C960+C906+C851+C796+C741+C686+C631+C576+C521+C466+C411+C356+C301+C246+C192+C137+C82+C27</f>
        <v>1104241</v>
      </c>
      <c r="D1561" s="327">
        <f t="shared" si="87"/>
        <v>0</v>
      </c>
      <c r="E1561" s="327">
        <f t="shared" si="87"/>
        <v>0</v>
      </c>
      <c r="F1561" s="151">
        <f>SUM(C1561:E1561)</f>
        <v>1104241</v>
      </c>
    </row>
    <row r="1562" spans="1:6" ht="12.75">
      <c r="A1562" s="372" t="s">
        <v>334</v>
      </c>
      <c r="B1562" s="228" t="s">
        <v>696</v>
      </c>
      <c r="C1562" s="327">
        <f t="shared" si="87"/>
        <v>190656</v>
      </c>
      <c r="D1562" s="327">
        <f t="shared" si="87"/>
        <v>0</v>
      </c>
      <c r="E1562" s="327">
        <f t="shared" si="87"/>
        <v>0</v>
      </c>
      <c r="F1562" s="151">
        <f>SUM(C1562:E1562)</f>
        <v>190656</v>
      </c>
    </row>
    <row r="1563" spans="1:6" ht="12.75">
      <c r="A1563" s="372" t="s">
        <v>336</v>
      </c>
      <c r="B1563" s="228" t="s">
        <v>697</v>
      </c>
      <c r="C1563" s="327">
        <f>C1564+C1565+C1566+C1567+C1568+C1569+C1570</f>
        <v>154682</v>
      </c>
      <c r="D1563" s="327">
        <f>D1564+D1565+D1566+D1567+D1568+D1569+D1570</f>
        <v>36523</v>
      </c>
      <c r="E1563" s="327">
        <f>E1564+E1565+E1566+E1567+E1568+E1569+E1570</f>
        <v>0</v>
      </c>
      <c r="F1563" s="151">
        <f>F1564+F1565+F1566+F1567+F1568+F1569+F1570</f>
        <v>191205</v>
      </c>
    </row>
    <row r="1564" spans="1:6" ht="12.75">
      <c r="A1564" s="372" t="s">
        <v>337</v>
      </c>
      <c r="B1564" s="380" t="s">
        <v>698</v>
      </c>
      <c r="C1564" s="327">
        <f aca="true" t="shared" si="88" ref="C1564:E1570">C1455+C1400+C1345+C1291+C1236+C1182+C1127+C1072+C1018+C963+C909+C854+C799+C744+C689+C634+C579+C524+C469+C414+C359+C304+C249+C195+C140+C85+C30</f>
        <v>0</v>
      </c>
      <c r="D1564" s="327">
        <f t="shared" si="88"/>
        <v>0</v>
      </c>
      <c r="E1564" s="327">
        <f t="shared" si="88"/>
        <v>0</v>
      </c>
      <c r="F1564" s="154">
        <f>SUM(C1564:E1564)</f>
        <v>0</v>
      </c>
    </row>
    <row r="1565" spans="1:6" ht="12.75">
      <c r="A1565" s="372" t="s">
        <v>338</v>
      </c>
      <c r="B1565" s="380" t="s">
        <v>699</v>
      </c>
      <c r="C1565" s="327">
        <f t="shared" si="88"/>
        <v>0</v>
      </c>
      <c r="D1565" s="327">
        <f t="shared" si="88"/>
        <v>0</v>
      </c>
      <c r="E1565" s="327">
        <f t="shared" si="88"/>
        <v>0</v>
      </c>
      <c r="F1565" s="151">
        <f aca="true" t="shared" si="89" ref="F1565:F1570">SUM(C1565:E1565)</f>
        <v>0</v>
      </c>
    </row>
    <row r="1566" spans="1:6" ht="12.75">
      <c r="A1566" s="372" t="s">
        <v>339</v>
      </c>
      <c r="B1566" s="380" t="s">
        <v>700</v>
      </c>
      <c r="C1566" s="327">
        <f t="shared" si="88"/>
        <v>0</v>
      </c>
      <c r="D1566" s="327">
        <f t="shared" si="88"/>
        <v>0</v>
      </c>
      <c r="E1566" s="327">
        <f t="shared" si="88"/>
        <v>0</v>
      </c>
      <c r="F1566" s="151">
        <f t="shared" si="89"/>
        <v>0</v>
      </c>
    </row>
    <row r="1567" spans="1:6" ht="12.75">
      <c r="A1567" s="372" t="s">
        <v>340</v>
      </c>
      <c r="B1567" s="380" t="s">
        <v>701</v>
      </c>
      <c r="C1567" s="327">
        <f t="shared" si="88"/>
        <v>154682</v>
      </c>
      <c r="D1567" s="327">
        <f t="shared" si="88"/>
        <v>0</v>
      </c>
      <c r="E1567" s="327">
        <f t="shared" si="88"/>
        <v>0</v>
      </c>
      <c r="F1567" s="151">
        <f t="shared" si="89"/>
        <v>154682</v>
      </c>
    </row>
    <row r="1568" spans="1:6" ht="12.75">
      <c r="A1568" s="372" t="s">
        <v>341</v>
      </c>
      <c r="B1568" s="834" t="s">
        <v>702</v>
      </c>
      <c r="C1568" s="327">
        <f t="shared" si="88"/>
        <v>0</v>
      </c>
      <c r="D1568" s="327">
        <f t="shared" si="88"/>
        <v>32323</v>
      </c>
      <c r="E1568" s="327">
        <f t="shared" si="88"/>
        <v>0</v>
      </c>
      <c r="F1568" s="151">
        <f t="shared" si="89"/>
        <v>32323</v>
      </c>
    </row>
    <row r="1569" spans="1:6" ht="12.75">
      <c r="A1569" s="372" t="s">
        <v>342</v>
      </c>
      <c r="B1569" s="309" t="s">
        <v>703</v>
      </c>
      <c r="C1569" s="327">
        <f t="shared" si="88"/>
        <v>0</v>
      </c>
      <c r="D1569" s="327">
        <f t="shared" si="88"/>
        <v>4200</v>
      </c>
      <c r="E1569" s="327">
        <f t="shared" si="88"/>
        <v>0</v>
      </c>
      <c r="F1569" s="151">
        <f t="shared" si="89"/>
        <v>4200</v>
      </c>
    </row>
    <row r="1570" spans="1:6" ht="12.75">
      <c r="A1570" s="372" t="s">
        <v>343</v>
      </c>
      <c r="B1570" s="1091" t="s">
        <v>704</v>
      </c>
      <c r="C1570" s="327">
        <f t="shared" si="88"/>
        <v>0</v>
      </c>
      <c r="D1570" s="327">
        <f t="shared" si="88"/>
        <v>0</v>
      </c>
      <c r="E1570" s="327">
        <f t="shared" si="88"/>
        <v>0</v>
      </c>
      <c r="F1570" s="151">
        <f t="shared" si="89"/>
        <v>0</v>
      </c>
    </row>
    <row r="1571" spans="1:6" ht="12.75">
      <c r="A1571" s="372" t="s">
        <v>344</v>
      </c>
      <c r="B1571" s="228"/>
      <c r="C1571" s="327"/>
      <c r="D1571" s="327"/>
      <c r="E1571" s="327"/>
      <c r="F1571" s="151"/>
    </row>
    <row r="1572" spans="1:6" ht="13.5" thickBot="1">
      <c r="A1572" s="372" t="s">
        <v>345</v>
      </c>
      <c r="B1572" s="230"/>
      <c r="C1572" s="328"/>
      <c r="D1572" s="328"/>
      <c r="E1572" s="328"/>
      <c r="F1572" s="156"/>
    </row>
    <row r="1573" spans="1:6" ht="13.5" thickBot="1">
      <c r="A1573" s="615" t="s">
        <v>346</v>
      </c>
      <c r="B1573" s="616" t="s">
        <v>7</v>
      </c>
      <c r="C1573" s="624">
        <f>C1561+C1562+C1563+C1571+C1572</f>
        <v>1449579</v>
      </c>
      <c r="D1573" s="624">
        <f>D1561+D1562+D1563+D1571+D1572</f>
        <v>36523</v>
      </c>
      <c r="E1573" s="624">
        <f>E1561+E1562+E1563+E1571+E1572</f>
        <v>0</v>
      </c>
      <c r="F1573" s="625">
        <f>F1561+F1562+F1563+F1571+F1572</f>
        <v>1486102</v>
      </c>
    </row>
    <row r="1574" spans="1:6" ht="27" thickBot="1" thickTop="1">
      <c r="A1574" s="615" t="s">
        <v>347</v>
      </c>
      <c r="B1574" s="620" t="s">
        <v>503</v>
      </c>
      <c r="C1574" s="627">
        <f>C1558+C1573</f>
        <v>3055576.74</v>
      </c>
      <c r="D1574" s="627">
        <f>D1558+D1573</f>
        <v>182001</v>
      </c>
      <c r="E1574" s="627">
        <f>E1558+E1573</f>
        <v>0</v>
      </c>
      <c r="F1574" s="628">
        <f>F1558+F1573</f>
        <v>3237577.74</v>
      </c>
    </row>
    <row r="1575" spans="1:6" ht="6.75" customHeight="1" thickTop="1">
      <c r="A1575" s="604"/>
      <c r="B1575" s="848"/>
      <c r="C1575" s="267"/>
      <c r="D1575" s="267"/>
      <c r="E1575" s="267"/>
      <c r="F1575" s="272"/>
    </row>
    <row r="1576" spans="1:6" ht="12.75">
      <c r="A1576" s="372" t="s">
        <v>348</v>
      </c>
      <c r="B1576" s="485" t="s">
        <v>504</v>
      </c>
      <c r="C1576" s="626"/>
      <c r="D1576" s="154"/>
      <c r="E1576" s="329"/>
      <c r="F1576" s="206"/>
    </row>
    <row r="1577" spans="1:6" ht="12.75">
      <c r="A1577" s="371" t="s">
        <v>349</v>
      </c>
      <c r="B1577" s="229" t="s">
        <v>726</v>
      </c>
      <c r="C1577" s="327">
        <f aca="true" t="shared" si="90" ref="C1577:E1584">C1468+C1413+C1358+C1304+C1249+C1195+C1140+C1085+C1031+C976+C922+C867+C812+C757+C702+C647+C592+C537+C482+C427+C372+C317+C262+C208+C153+C98+C43</f>
        <v>30526</v>
      </c>
      <c r="D1577" s="327">
        <f t="shared" si="90"/>
        <v>0</v>
      </c>
      <c r="E1577" s="327">
        <f t="shared" si="90"/>
        <v>0</v>
      </c>
      <c r="F1577" s="151">
        <f>SUM(C1577:E1577)</f>
        <v>30526</v>
      </c>
    </row>
    <row r="1578" spans="1:6" ht="12.75">
      <c r="A1578" s="371" t="s">
        <v>350</v>
      </c>
      <c r="B1578" s="697" t="s">
        <v>724</v>
      </c>
      <c r="C1578" s="327">
        <f t="shared" si="90"/>
        <v>12023365</v>
      </c>
      <c r="D1578" s="327">
        <f t="shared" si="90"/>
        <v>0</v>
      </c>
      <c r="E1578" s="327">
        <f t="shared" si="90"/>
        <v>0</v>
      </c>
      <c r="F1578" s="151">
        <f aca="true" t="shared" si="91" ref="F1578:F1584">SUM(C1578:E1578)</f>
        <v>12023365</v>
      </c>
    </row>
    <row r="1579" spans="1:6" ht="12.75">
      <c r="A1579" s="371" t="s">
        <v>351</v>
      </c>
      <c r="B1579" s="697" t="s">
        <v>723</v>
      </c>
      <c r="C1579" s="327">
        <f t="shared" si="90"/>
        <v>1219077</v>
      </c>
      <c r="D1579" s="327">
        <f t="shared" si="90"/>
        <v>0</v>
      </c>
      <c r="E1579" s="327">
        <f t="shared" si="90"/>
        <v>0</v>
      </c>
      <c r="F1579" s="151">
        <f t="shared" si="91"/>
        <v>1219077</v>
      </c>
    </row>
    <row r="1580" spans="1:6" ht="12.75">
      <c r="A1580" s="371" t="s">
        <v>352</v>
      </c>
      <c r="B1580" s="697" t="s">
        <v>725</v>
      </c>
      <c r="C1580" s="327">
        <f t="shared" si="90"/>
        <v>0</v>
      </c>
      <c r="D1580" s="327">
        <f t="shared" si="90"/>
        <v>0</v>
      </c>
      <c r="E1580" s="327">
        <f t="shared" si="90"/>
        <v>0</v>
      </c>
      <c r="F1580" s="151">
        <f t="shared" si="91"/>
        <v>0</v>
      </c>
    </row>
    <row r="1581" spans="1:6" ht="12.75">
      <c r="A1581" s="371" t="s">
        <v>353</v>
      </c>
      <c r="B1581" s="836" t="s">
        <v>727</v>
      </c>
      <c r="C1581" s="327">
        <f t="shared" si="90"/>
        <v>0</v>
      </c>
      <c r="D1581" s="327">
        <f t="shared" si="90"/>
        <v>0</v>
      </c>
      <c r="E1581" s="327">
        <f t="shared" si="90"/>
        <v>0</v>
      </c>
      <c r="F1581" s="151">
        <f t="shared" si="91"/>
        <v>0</v>
      </c>
    </row>
    <row r="1582" spans="1:6" ht="12.75">
      <c r="A1582" s="371" t="s">
        <v>354</v>
      </c>
      <c r="B1582" s="837" t="s">
        <v>730</v>
      </c>
      <c r="C1582" s="327">
        <f t="shared" si="90"/>
        <v>100000</v>
      </c>
      <c r="D1582" s="327">
        <f t="shared" si="90"/>
        <v>0</v>
      </c>
      <c r="E1582" s="327">
        <f t="shared" si="90"/>
        <v>0</v>
      </c>
      <c r="F1582" s="151">
        <f t="shared" si="91"/>
        <v>100000</v>
      </c>
    </row>
    <row r="1583" spans="1:6" ht="12.75">
      <c r="A1583" s="371" t="s">
        <v>355</v>
      </c>
      <c r="B1583" s="838" t="s">
        <v>729</v>
      </c>
      <c r="C1583" s="327">
        <f t="shared" si="90"/>
        <v>0</v>
      </c>
      <c r="D1583" s="327">
        <f t="shared" si="90"/>
        <v>0</v>
      </c>
      <c r="E1583" s="327">
        <f t="shared" si="90"/>
        <v>0</v>
      </c>
      <c r="F1583" s="151">
        <f t="shared" si="91"/>
        <v>0</v>
      </c>
    </row>
    <row r="1584" spans="1:6" ht="13.5" thickBot="1">
      <c r="A1584" s="371" t="s">
        <v>356</v>
      </c>
      <c r="B1584" s="382" t="s">
        <v>728</v>
      </c>
      <c r="C1584" s="327">
        <f t="shared" si="90"/>
        <v>0</v>
      </c>
      <c r="D1584" s="327">
        <f t="shared" si="90"/>
        <v>0</v>
      </c>
      <c r="E1584" s="327">
        <f t="shared" si="90"/>
        <v>0</v>
      </c>
      <c r="F1584" s="151">
        <f t="shared" si="91"/>
        <v>0</v>
      </c>
    </row>
    <row r="1585" spans="1:6" ht="13.5" thickBot="1">
      <c r="A1585" s="395" t="s">
        <v>357</v>
      </c>
      <c r="B1585" s="315" t="s">
        <v>505</v>
      </c>
      <c r="C1585" s="842">
        <f>SUM(C1577:C1584)</f>
        <v>13372968</v>
      </c>
      <c r="D1585" s="842">
        <f>SUM(D1577:D1584)</f>
        <v>0</v>
      </c>
      <c r="E1585" s="842">
        <f>SUM(E1577:E1584)</f>
        <v>0</v>
      </c>
      <c r="F1585" s="948">
        <f>SUM(F1577:F1584)</f>
        <v>13372968</v>
      </c>
    </row>
    <row r="1586" spans="1:6" ht="13.5" thickBot="1">
      <c r="A1586" s="456"/>
      <c r="B1586" s="1381"/>
      <c r="C1586" s="948"/>
      <c r="D1586" s="1382"/>
      <c r="E1586" s="153"/>
      <c r="F1586" s="662"/>
    </row>
    <row r="1587" spans="1:6" ht="13.5" thickBot="1">
      <c r="A1587" s="631" t="s">
        <v>358</v>
      </c>
      <c r="B1587" s="839" t="s">
        <v>506</v>
      </c>
      <c r="C1587" s="853">
        <f>C1574+C1585</f>
        <v>16428544.74</v>
      </c>
      <c r="D1587" s="855">
        <f>D1574+D1585</f>
        <v>182001</v>
      </c>
      <c r="E1587" s="853">
        <f>E1574+E1585</f>
        <v>0</v>
      </c>
      <c r="F1587" s="1602">
        <f>F1574+F1585</f>
        <v>16610545.74</v>
      </c>
    </row>
    <row r="1588" spans="1:6" ht="13.5" thickTop="1">
      <c r="A1588" s="393"/>
      <c r="B1588" s="827"/>
      <c r="C1588" s="695"/>
      <c r="D1588" s="695"/>
      <c r="E1588" s="695"/>
      <c r="F1588" s="695"/>
    </row>
    <row r="1589" spans="1:6" ht="12.75">
      <c r="A1589" s="1675">
        <v>30</v>
      </c>
      <c r="B1589" s="1675"/>
      <c r="C1589" s="1675"/>
      <c r="D1589" s="1675"/>
      <c r="E1589" s="1675"/>
      <c r="F1589" s="1675"/>
    </row>
    <row r="1590" spans="1:5" ht="12.75">
      <c r="A1590" s="1654" t="s">
        <v>1456</v>
      </c>
      <c r="B1590" s="1654"/>
      <c r="C1590" s="1654"/>
      <c r="D1590" s="1654"/>
      <c r="E1590" s="1654"/>
    </row>
    <row r="1591" spans="1:5" ht="12.75">
      <c r="A1591" s="384"/>
      <c r="B1591" s="384"/>
      <c r="C1591" s="384"/>
      <c r="D1591" s="384"/>
      <c r="E1591" s="384"/>
    </row>
    <row r="1592" spans="1:6" ht="14.25">
      <c r="A1592" s="1809" t="s">
        <v>1098</v>
      </c>
      <c r="B1592" s="1810"/>
      <c r="C1592" s="1810"/>
      <c r="D1592" s="1810"/>
      <c r="E1592" s="1810"/>
      <c r="F1592" s="1810"/>
    </row>
    <row r="1593" spans="2:5" ht="9.75" customHeight="1">
      <c r="B1593" s="21"/>
      <c r="C1593" s="21"/>
      <c r="D1593" s="21"/>
      <c r="E1593" s="21"/>
    </row>
    <row r="1594" spans="2:5" ht="15.75">
      <c r="B1594" s="21" t="s">
        <v>562</v>
      </c>
      <c r="C1594" s="21"/>
      <c r="D1594" s="21"/>
      <c r="E1594" s="21"/>
    </row>
    <row r="1595" spans="2:5" ht="13.5" thickBot="1">
      <c r="B1595" s="1"/>
      <c r="C1595" s="1"/>
      <c r="D1595" s="1"/>
      <c r="E1595" s="22" t="s">
        <v>8</v>
      </c>
    </row>
    <row r="1596" spans="1:6" ht="48.75" thickBot="1">
      <c r="A1596" s="399" t="s">
        <v>311</v>
      </c>
      <c r="B1596" s="610" t="s">
        <v>13</v>
      </c>
      <c r="C1596" s="387" t="s">
        <v>540</v>
      </c>
      <c r="D1596" s="388" t="s">
        <v>541</v>
      </c>
      <c r="E1596" s="387" t="s">
        <v>536</v>
      </c>
      <c r="F1596" s="388" t="s">
        <v>535</v>
      </c>
    </row>
    <row r="1597" spans="1:6" ht="12.75">
      <c r="A1597" s="611" t="s">
        <v>312</v>
      </c>
      <c r="B1597" s="612" t="s">
        <v>313</v>
      </c>
      <c r="C1597" s="621" t="s">
        <v>314</v>
      </c>
      <c r="D1597" s="622" t="s">
        <v>315</v>
      </c>
      <c r="E1597" s="796" t="s">
        <v>335</v>
      </c>
      <c r="F1597" s="797" t="s">
        <v>360</v>
      </c>
    </row>
    <row r="1598" spans="1:6" ht="12.75">
      <c r="A1598" s="372" t="s">
        <v>316</v>
      </c>
      <c r="B1598" s="379" t="s">
        <v>256</v>
      </c>
      <c r="C1598" s="327"/>
      <c r="D1598" s="151"/>
      <c r="E1598" s="327"/>
      <c r="F1598" s="136"/>
    </row>
    <row r="1599" spans="1:6" ht="12.75">
      <c r="A1599" s="371" t="s">
        <v>317</v>
      </c>
      <c r="B1599" s="199" t="s">
        <v>681</v>
      </c>
      <c r="C1599" s="327"/>
      <c r="D1599" s="151"/>
      <c r="E1599" s="327"/>
      <c r="F1599" s="151">
        <f>SUM(C1599:E1599)</f>
        <v>0</v>
      </c>
    </row>
    <row r="1600" spans="1:6" ht="12.75">
      <c r="A1600" s="371" t="s">
        <v>318</v>
      </c>
      <c r="B1600" s="228" t="s">
        <v>683</v>
      </c>
      <c r="C1600" s="327"/>
      <c r="D1600" s="151"/>
      <c r="E1600" s="327"/>
      <c r="F1600" s="151">
        <f>SUM(C1600:E1600)</f>
        <v>0</v>
      </c>
    </row>
    <row r="1601" spans="1:6" ht="12.75">
      <c r="A1601" s="371" t="s">
        <v>319</v>
      </c>
      <c r="B1601" s="228" t="s">
        <v>682</v>
      </c>
      <c r="C1601" s="327"/>
      <c r="D1601" s="151"/>
      <c r="E1601" s="327"/>
      <c r="F1601" s="151">
        <f>SUM(C1601:E1601)</f>
        <v>0</v>
      </c>
    </row>
    <row r="1602" spans="1:6" ht="12.75">
      <c r="A1602" s="371" t="s">
        <v>320</v>
      </c>
      <c r="B1602" s="228" t="s">
        <v>684</v>
      </c>
      <c r="C1602" s="327"/>
      <c r="D1602" s="151"/>
      <c r="E1602" s="327"/>
      <c r="F1602" s="151">
        <f>SUM(C1602:E1602)</f>
        <v>0</v>
      </c>
    </row>
    <row r="1603" spans="1:6" ht="12.75">
      <c r="A1603" s="371" t="s">
        <v>321</v>
      </c>
      <c r="B1603" s="228" t="s">
        <v>685</v>
      </c>
      <c r="C1603" s="327"/>
      <c r="D1603" s="151"/>
      <c r="E1603" s="327"/>
      <c r="F1603" s="151">
        <f>SUM(C1603:E1603)</f>
        <v>0</v>
      </c>
    </row>
    <row r="1604" spans="1:6" ht="12.75">
      <c r="A1604" s="371" t="s">
        <v>322</v>
      </c>
      <c r="B1604" s="228" t="s">
        <v>686</v>
      </c>
      <c r="C1604" s="327">
        <f>C1605+C1606+C1607+C1608+C1609+C1610+C1611</f>
        <v>770603</v>
      </c>
      <c r="D1604" s="327">
        <f>D1605+D1606+D1607+D1608+D1609+D1610+D1611</f>
        <v>26174</v>
      </c>
      <c r="E1604" s="327">
        <f>E1605+E1606+E1607+E1608+E1609+E1610+E1611</f>
        <v>0</v>
      </c>
      <c r="F1604" s="151">
        <f>F1605+F1606+F1607+F1608+F1609+F1610+F1611</f>
        <v>796777</v>
      </c>
    </row>
    <row r="1605" spans="1:6" ht="12.75">
      <c r="A1605" s="371" t="s">
        <v>323</v>
      </c>
      <c r="B1605" s="228" t="s">
        <v>690</v>
      </c>
      <c r="C1605" s="327">
        <v>0</v>
      </c>
      <c r="D1605" s="151">
        <v>0</v>
      </c>
      <c r="E1605" s="327">
        <v>0</v>
      </c>
      <c r="F1605" s="151">
        <f>E1605+D1605+C1605</f>
        <v>0</v>
      </c>
    </row>
    <row r="1606" spans="1:6" ht="12.75">
      <c r="A1606" s="371" t="s">
        <v>324</v>
      </c>
      <c r="B1606" s="228" t="s">
        <v>691</v>
      </c>
      <c r="C1606" s="327"/>
      <c r="D1606" s="151"/>
      <c r="E1606" s="327"/>
      <c r="F1606" s="151">
        <f aca="true" t="shared" si="92" ref="F1606:F1612">E1606+D1606+C1606</f>
        <v>0</v>
      </c>
    </row>
    <row r="1607" spans="1:6" ht="12.75">
      <c r="A1607" s="371" t="s">
        <v>325</v>
      </c>
      <c r="B1607" s="228" t="s">
        <v>692</v>
      </c>
      <c r="C1607" s="327"/>
      <c r="D1607" s="151"/>
      <c r="E1607" s="327"/>
      <c r="F1607" s="151">
        <f t="shared" si="92"/>
        <v>0</v>
      </c>
    </row>
    <row r="1608" spans="1:6" ht="12.75">
      <c r="A1608" s="371" t="s">
        <v>326</v>
      </c>
      <c r="B1608" s="380" t="s">
        <v>688</v>
      </c>
      <c r="C1608" s="262"/>
      <c r="D1608" s="155"/>
      <c r="E1608" s="327"/>
      <c r="F1608" s="151">
        <f t="shared" si="92"/>
        <v>0</v>
      </c>
    </row>
    <row r="1609" spans="1:6" ht="12.75">
      <c r="A1609" s="371" t="s">
        <v>327</v>
      </c>
      <c r="B1609" s="834" t="s">
        <v>689</v>
      </c>
      <c r="C1609" s="328"/>
      <c r="D1609" s="152"/>
      <c r="E1609" s="327"/>
      <c r="F1609" s="151">
        <f t="shared" si="92"/>
        <v>0</v>
      </c>
    </row>
    <row r="1610" spans="1:6" ht="12.75">
      <c r="A1610" s="371" t="s">
        <v>328</v>
      </c>
      <c r="B1610" s="835" t="s">
        <v>687</v>
      </c>
      <c r="C1610" s="328">
        <f>'34 sz melléklet'!C35-'34 sz melléklet'!C27-'34 sz melléklet'!C12-'34 sz melléklet'!C13</f>
        <v>770603</v>
      </c>
      <c r="D1610" s="156">
        <f>'34 sz melléklet'!C12+'34 sz melléklet'!C13+'34 sz melléklet'!C27</f>
        <v>26174</v>
      </c>
      <c r="E1610" s="327"/>
      <c r="F1610" s="151">
        <f t="shared" si="92"/>
        <v>796777</v>
      </c>
    </row>
    <row r="1611" spans="1:6" ht="12.75">
      <c r="A1611" s="371" t="s">
        <v>329</v>
      </c>
      <c r="B1611" s="309" t="s">
        <v>957</v>
      </c>
      <c r="C1611" s="328"/>
      <c r="D1611" s="156"/>
      <c r="E1611" s="327"/>
      <c r="F1611" s="156"/>
    </row>
    <row r="1612" spans="1:6" ht="13.5" thickBot="1">
      <c r="A1612" s="371" t="s">
        <v>330</v>
      </c>
      <c r="B1612" s="230" t="s">
        <v>694</v>
      </c>
      <c r="C1612" s="328"/>
      <c r="D1612" s="156"/>
      <c r="E1612" s="327"/>
      <c r="F1612" s="325">
        <f t="shared" si="92"/>
        <v>0</v>
      </c>
    </row>
    <row r="1613" spans="1:6" ht="13.5" thickBot="1">
      <c r="A1613" s="615" t="s">
        <v>331</v>
      </c>
      <c r="B1613" s="616" t="s">
        <v>6</v>
      </c>
      <c r="C1613" s="624">
        <f>C1599+C1600+C1601+C1602+C1604+C1612</f>
        <v>770603</v>
      </c>
      <c r="D1613" s="624">
        <f>D1599+D1600+D1601+D1602+D1604+D1612</f>
        <v>26174</v>
      </c>
      <c r="E1613" s="624">
        <f>E1599+E1600+E1601+E1602+E1604+E1612</f>
        <v>0</v>
      </c>
      <c r="F1613" s="625">
        <f>F1599+F1600+F1601+F1602+F1604+F1612</f>
        <v>796777</v>
      </c>
    </row>
    <row r="1614" spans="1:6" ht="8.25" customHeight="1" thickTop="1">
      <c r="A1614" s="604"/>
      <c r="B1614" s="379"/>
      <c r="C1614" s="261"/>
      <c r="D1614" s="261"/>
      <c r="E1614" s="261"/>
      <c r="F1614" s="159"/>
    </row>
    <row r="1615" spans="1:6" ht="12.75">
      <c r="A1615" s="372" t="s">
        <v>332</v>
      </c>
      <c r="B1615" s="381" t="s">
        <v>257</v>
      </c>
      <c r="C1615" s="329"/>
      <c r="D1615" s="154"/>
      <c r="E1615" s="329"/>
      <c r="F1615" s="206"/>
    </row>
    <row r="1616" spans="1:6" ht="12.75">
      <c r="A1616" s="372" t="s">
        <v>333</v>
      </c>
      <c r="B1616" s="228" t="s">
        <v>695</v>
      </c>
      <c r="C1616" s="327"/>
      <c r="D1616" s="151"/>
      <c r="E1616" s="327"/>
      <c r="F1616" s="151">
        <f>SUM(C1616:E1616)</f>
        <v>0</v>
      </c>
    </row>
    <row r="1617" spans="1:6" ht="12.75">
      <c r="A1617" s="372" t="s">
        <v>334</v>
      </c>
      <c r="B1617" s="228" t="s">
        <v>696</v>
      </c>
      <c r="C1617" s="327"/>
      <c r="D1617" s="151"/>
      <c r="E1617" s="327"/>
      <c r="F1617" s="151">
        <f>SUM(C1617:E1617)</f>
        <v>0</v>
      </c>
    </row>
    <row r="1618" spans="1:6" ht="12.75">
      <c r="A1618" s="372" t="s">
        <v>336</v>
      </c>
      <c r="B1618" s="228" t="s">
        <v>697</v>
      </c>
      <c r="C1618" s="327">
        <f>C1619+C1620+C1621+C1622+C1623+C1624+C1625</f>
        <v>0</v>
      </c>
      <c r="D1618" s="327">
        <f>D1619+D1620+D1621+D1622+D1623+D1624+D1625</f>
        <v>0</v>
      </c>
      <c r="E1618" s="327">
        <f>E1619+E1620+E1621+E1622+E1623+E1624+E1625</f>
        <v>0</v>
      </c>
      <c r="F1618" s="151">
        <f>F1619+F1620+F1621+F1622+F1623+F1624+F1625</f>
        <v>0</v>
      </c>
    </row>
    <row r="1619" spans="1:6" ht="12.75">
      <c r="A1619" s="372" t="s">
        <v>337</v>
      </c>
      <c r="B1619" s="380" t="s">
        <v>698</v>
      </c>
      <c r="C1619" s="327"/>
      <c r="D1619" s="151"/>
      <c r="E1619" s="327"/>
      <c r="F1619" s="151">
        <f aca="true" t="shared" si="93" ref="F1619:F1624">SUM(C1619:E1619)</f>
        <v>0</v>
      </c>
    </row>
    <row r="1620" spans="1:6" ht="12.75">
      <c r="A1620" s="372" t="s">
        <v>338</v>
      </c>
      <c r="B1620" s="380" t="s">
        <v>699</v>
      </c>
      <c r="C1620" s="327"/>
      <c r="D1620" s="151"/>
      <c r="E1620" s="327"/>
      <c r="F1620" s="151">
        <f t="shared" si="93"/>
        <v>0</v>
      </c>
    </row>
    <row r="1621" spans="1:6" ht="12.75">
      <c r="A1621" s="372" t="s">
        <v>339</v>
      </c>
      <c r="B1621" s="380" t="s">
        <v>700</v>
      </c>
      <c r="C1621" s="327"/>
      <c r="D1621" s="151"/>
      <c r="E1621" s="327"/>
      <c r="F1621" s="151">
        <f t="shared" si="93"/>
        <v>0</v>
      </c>
    </row>
    <row r="1622" spans="1:6" ht="12.75">
      <c r="A1622" s="372" t="s">
        <v>340</v>
      </c>
      <c r="B1622" s="380" t="s">
        <v>701</v>
      </c>
      <c r="C1622" s="327"/>
      <c r="D1622" s="151"/>
      <c r="E1622" s="327"/>
      <c r="F1622" s="151">
        <f t="shared" si="93"/>
        <v>0</v>
      </c>
    </row>
    <row r="1623" spans="1:6" ht="12.75">
      <c r="A1623" s="372" t="s">
        <v>341</v>
      </c>
      <c r="B1623" s="834" t="s">
        <v>702</v>
      </c>
      <c r="C1623" s="327"/>
      <c r="D1623" s="151"/>
      <c r="E1623" s="327"/>
      <c r="F1623" s="151">
        <f t="shared" si="93"/>
        <v>0</v>
      </c>
    </row>
    <row r="1624" spans="1:6" ht="12.75">
      <c r="A1624" s="372" t="s">
        <v>342</v>
      </c>
      <c r="B1624" s="309" t="s">
        <v>703</v>
      </c>
      <c r="C1624" s="327"/>
      <c r="D1624" s="151"/>
      <c r="E1624" s="327"/>
      <c r="F1624" s="151">
        <f t="shared" si="93"/>
        <v>0</v>
      </c>
    </row>
    <row r="1625" spans="1:6" ht="12.75">
      <c r="A1625" s="372" t="s">
        <v>343</v>
      </c>
      <c r="B1625" s="1091" t="s">
        <v>704</v>
      </c>
      <c r="C1625" s="327"/>
      <c r="D1625" s="151"/>
      <c r="E1625" s="327"/>
      <c r="F1625" s="151"/>
    </row>
    <row r="1626" spans="1:6" ht="12.75">
      <c r="A1626" s="372" t="s">
        <v>344</v>
      </c>
      <c r="B1626" s="228"/>
      <c r="C1626" s="327"/>
      <c r="D1626" s="151"/>
      <c r="E1626" s="327"/>
      <c r="F1626" s="151"/>
    </row>
    <row r="1627" spans="1:6" ht="13.5" thickBot="1">
      <c r="A1627" s="372" t="s">
        <v>345</v>
      </c>
      <c r="B1627" s="230"/>
      <c r="C1627" s="330"/>
      <c r="D1627" s="330"/>
      <c r="E1627" s="330"/>
      <c r="F1627" s="152"/>
    </row>
    <row r="1628" spans="1:6" ht="13.5" thickBot="1">
      <c r="A1628" s="615" t="s">
        <v>346</v>
      </c>
      <c r="B1628" s="616" t="s">
        <v>7</v>
      </c>
      <c r="C1628" s="624">
        <f>C1616+C1617+C1618+C1626+C1627</f>
        <v>0</v>
      </c>
      <c r="D1628" s="624">
        <f>D1616+D1617+D1618+D1626+D1627</f>
        <v>0</v>
      </c>
      <c r="E1628" s="624">
        <f>E1616+E1617+E1618+E1626+E1627</f>
        <v>0</v>
      </c>
      <c r="F1628" s="625">
        <f>F1616+F1617+F1618+F1626+F1627</f>
        <v>0</v>
      </c>
    </row>
    <row r="1629" spans="1:6" ht="27" thickBot="1" thickTop="1">
      <c r="A1629" s="615" t="s">
        <v>347</v>
      </c>
      <c r="B1629" s="620" t="s">
        <v>503</v>
      </c>
      <c r="C1629" s="627">
        <f>C1613+C1628</f>
        <v>770603</v>
      </c>
      <c r="D1629" s="627">
        <f>D1613+D1628</f>
        <v>26174</v>
      </c>
      <c r="E1629" s="627">
        <f>E1613+E1628</f>
        <v>0</v>
      </c>
      <c r="F1629" s="628">
        <f>F1613+F1628</f>
        <v>796777</v>
      </c>
    </row>
    <row r="1630" spans="1:6" ht="7.5" customHeight="1" thickTop="1">
      <c r="A1630" s="604"/>
      <c r="B1630" s="848"/>
      <c r="C1630" s="267"/>
      <c r="D1630" s="267"/>
      <c r="E1630" s="267"/>
      <c r="F1630" s="272"/>
    </row>
    <row r="1631" spans="1:6" ht="12.75">
      <c r="A1631" s="372" t="s">
        <v>348</v>
      </c>
      <c r="B1631" s="485" t="s">
        <v>504</v>
      </c>
      <c r="C1631" s="626"/>
      <c r="D1631" s="154"/>
      <c r="E1631" s="329"/>
      <c r="F1631" s="206"/>
    </row>
    <row r="1632" spans="1:6" ht="12.75">
      <c r="A1632" s="371" t="s">
        <v>349</v>
      </c>
      <c r="B1632" s="229" t="s">
        <v>726</v>
      </c>
      <c r="C1632" s="332"/>
      <c r="D1632" s="151"/>
      <c r="E1632" s="327"/>
      <c r="F1632" s="151">
        <f>SUM(C1632:E1632)</f>
        <v>0</v>
      </c>
    </row>
    <row r="1633" spans="1:6" ht="12.75">
      <c r="A1633" s="371" t="s">
        <v>350</v>
      </c>
      <c r="B1633" s="697" t="s">
        <v>724</v>
      </c>
      <c r="C1633" s="841"/>
      <c r="D1633" s="156"/>
      <c r="E1633" s="328"/>
      <c r="F1633" s="151">
        <f aca="true" t="shared" si="94" ref="F1633:F1639">SUM(C1633:E1633)</f>
        <v>0</v>
      </c>
    </row>
    <row r="1634" spans="1:6" ht="12.75">
      <c r="A1634" s="371" t="s">
        <v>351</v>
      </c>
      <c r="B1634" s="697" t="s">
        <v>723</v>
      </c>
      <c r="C1634" s="841"/>
      <c r="D1634" s="156"/>
      <c r="E1634" s="328"/>
      <c r="F1634" s="151">
        <f t="shared" si="94"/>
        <v>0</v>
      </c>
    </row>
    <row r="1635" spans="1:6" ht="12.75">
      <c r="A1635" s="371" t="s">
        <v>352</v>
      </c>
      <c r="B1635" s="697" t="s">
        <v>725</v>
      </c>
      <c r="C1635" s="841"/>
      <c r="D1635" s="156"/>
      <c r="E1635" s="328"/>
      <c r="F1635" s="151">
        <f t="shared" si="94"/>
        <v>0</v>
      </c>
    </row>
    <row r="1636" spans="1:6" ht="12.75">
      <c r="A1636" s="371" t="s">
        <v>353</v>
      </c>
      <c r="B1636" s="836" t="s">
        <v>727</v>
      </c>
      <c r="C1636" s="841"/>
      <c r="D1636" s="156"/>
      <c r="E1636" s="328"/>
      <c r="F1636" s="151">
        <f t="shared" si="94"/>
        <v>0</v>
      </c>
    </row>
    <row r="1637" spans="1:6" ht="12.75">
      <c r="A1637" s="371" t="s">
        <v>354</v>
      </c>
      <c r="B1637" s="837" t="s">
        <v>730</v>
      </c>
      <c r="C1637" s="841"/>
      <c r="D1637" s="156"/>
      <c r="E1637" s="328"/>
      <c r="F1637" s="151">
        <f t="shared" si="94"/>
        <v>0</v>
      </c>
    </row>
    <row r="1638" spans="1:6" ht="12.75">
      <c r="A1638" s="371" t="s">
        <v>355</v>
      </c>
      <c r="B1638" s="838" t="s">
        <v>729</v>
      </c>
      <c r="C1638" s="841"/>
      <c r="D1638" s="156"/>
      <c r="E1638" s="328"/>
      <c r="F1638" s="151">
        <f t="shared" si="94"/>
        <v>0</v>
      </c>
    </row>
    <row r="1639" spans="1:6" ht="13.5" thickBot="1">
      <c r="A1639" s="371" t="s">
        <v>356</v>
      </c>
      <c r="B1639" s="382" t="s">
        <v>728</v>
      </c>
      <c r="C1639" s="841"/>
      <c r="D1639" s="156"/>
      <c r="E1639" s="328"/>
      <c r="F1639" s="151">
        <f t="shared" si="94"/>
        <v>0</v>
      </c>
    </row>
    <row r="1640" spans="1:6" ht="13.5" thickBot="1">
      <c r="A1640" s="395" t="s">
        <v>357</v>
      </c>
      <c r="B1640" s="315" t="s">
        <v>505</v>
      </c>
      <c r="C1640" s="842">
        <f>SUM(C1632:C1639)</f>
        <v>0</v>
      </c>
      <c r="D1640" s="842">
        <f>SUM(D1632:D1639)</f>
        <v>0</v>
      </c>
      <c r="E1640" s="842">
        <f>SUM(E1632:E1639)</f>
        <v>0</v>
      </c>
      <c r="F1640" s="948">
        <f>SUM(F1632:F1639)</f>
        <v>0</v>
      </c>
    </row>
    <row r="1641" spans="1:6" ht="12.75">
      <c r="A1641" s="604"/>
      <c r="B1641" s="44"/>
      <c r="C1641" s="854"/>
      <c r="D1641" s="856"/>
      <c r="E1641" s="816"/>
      <c r="F1641" s="693"/>
    </row>
    <row r="1642" spans="1:6" ht="13.5" thickBot="1">
      <c r="A1642" s="456" t="s">
        <v>358</v>
      </c>
      <c r="B1642" s="1379" t="s">
        <v>506</v>
      </c>
      <c r="C1642" s="994">
        <f>C1629+C1640</f>
        <v>770603</v>
      </c>
      <c r="D1642" s="995">
        <f>D1629+D1640</f>
        <v>26174</v>
      </c>
      <c r="E1642" s="994">
        <f>E1629+E1640</f>
        <v>0</v>
      </c>
      <c r="F1642" s="994">
        <f>F1629+F1640</f>
        <v>796777</v>
      </c>
    </row>
    <row r="1643" spans="1:6" ht="12.75">
      <c r="A1643" s="393"/>
      <c r="B1643" s="827"/>
      <c r="C1643" s="695"/>
      <c r="D1643" s="695"/>
      <c r="E1643" s="695"/>
      <c r="F1643" s="695"/>
    </row>
    <row r="1644" spans="1:6" ht="12.75">
      <c r="A1644" s="1675">
        <v>31</v>
      </c>
      <c r="B1644" s="1675"/>
      <c r="C1644" s="1675"/>
      <c r="D1644" s="1675"/>
      <c r="E1644" s="1675"/>
      <c r="F1644" s="1675"/>
    </row>
    <row r="1645" spans="1:5" ht="12.75">
      <c r="A1645" s="1654" t="s">
        <v>1456</v>
      </c>
      <c r="B1645" s="1654"/>
      <c r="C1645" s="1654"/>
      <c r="D1645" s="1654"/>
      <c r="E1645" s="1654"/>
    </row>
    <row r="1646" spans="1:5" ht="12.75">
      <c r="A1646" s="384"/>
      <c r="B1646" s="384"/>
      <c r="C1646" s="384"/>
      <c r="D1646" s="384"/>
      <c r="E1646" s="384"/>
    </row>
    <row r="1647" spans="1:6" ht="14.25">
      <c r="A1647" s="1809" t="s">
        <v>1098</v>
      </c>
      <c r="B1647" s="1810"/>
      <c r="C1647" s="1810"/>
      <c r="D1647" s="1810"/>
      <c r="E1647" s="1810"/>
      <c r="F1647" s="1810"/>
    </row>
    <row r="1648" spans="2:5" ht="15.75">
      <c r="B1648" s="21"/>
      <c r="C1648" s="21"/>
      <c r="D1648" s="21"/>
      <c r="E1648" s="21"/>
    </row>
    <row r="1649" spans="2:5" ht="15.75">
      <c r="B1649" s="21" t="s">
        <v>25</v>
      </c>
      <c r="C1649" s="21"/>
      <c r="D1649" s="21"/>
      <c r="E1649" s="21"/>
    </row>
    <row r="1650" spans="2:5" ht="13.5" thickBot="1">
      <c r="B1650" s="1"/>
      <c r="C1650" s="1"/>
      <c r="D1650" s="1"/>
      <c r="E1650" s="22" t="s">
        <v>8</v>
      </c>
    </row>
    <row r="1651" spans="1:6" ht="48.75" thickBot="1">
      <c r="A1651" s="399" t="s">
        <v>311</v>
      </c>
      <c r="B1651" s="610" t="s">
        <v>13</v>
      </c>
      <c r="C1651" s="387" t="s">
        <v>540</v>
      </c>
      <c r="D1651" s="388" t="s">
        <v>541</v>
      </c>
      <c r="E1651" s="387" t="s">
        <v>536</v>
      </c>
      <c r="F1651" s="388" t="s">
        <v>535</v>
      </c>
    </row>
    <row r="1652" spans="1:6" ht="12.75">
      <c r="A1652" s="611" t="s">
        <v>312</v>
      </c>
      <c r="B1652" s="612" t="s">
        <v>313</v>
      </c>
      <c r="C1652" s="621" t="s">
        <v>314</v>
      </c>
      <c r="D1652" s="622" t="s">
        <v>315</v>
      </c>
      <c r="E1652" s="796" t="s">
        <v>335</v>
      </c>
      <c r="F1652" s="797" t="s">
        <v>360</v>
      </c>
    </row>
    <row r="1653" spans="1:6" ht="12.75">
      <c r="A1653" s="372" t="s">
        <v>316</v>
      </c>
      <c r="B1653" s="379" t="s">
        <v>256</v>
      </c>
      <c r="C1653" s="327"/>
      <c r="D1653" s="151"/>
      <c r="E1653" s="327"/>
      <c r="F1653" s="136"/>
    </row>
    <row r="1654" spans="1:6" ht="12.75">
      <c r="A1654" s="371" t="s">
        <v>317</v>
      </c>
      <c r="B1654" s="199" t="s">
        <v>681</v>
      </c>
      <c r="C1654" s="327">
        <f aca="true" t="shared" si="95" ref="C1654:E1658">C1599+C1544</f>
        <v>215854</v>
      </c>
      <c r="D1654" s="327">
        <f t="shared" si="95"/>
        <v>0</v>
      </c>
      <c r="E1654" s="327">
        <f t="shared" si="95"/>
        <v>0</v>
      </c>
      <c r="F1654" s="151">
        <f>SUM(C1654:E1654)</f>
        <v>215854</v>
      </c>
    </row>
    <row r="1655" spans="1:6" ht="12.75">
      <c r="A1655" s="371" t="s">
        <v>318</v>
      </c>
      <c r="B1655" s="228" t="s">
        <v>683</v>
      </c>
      <c r="C1655" s="327">
        <f t="shared" si="95"/>
        <v>36729</v>
      </c>
      <c r="D1655" s="327">
        <f t="shared" si="95"/>
        <v>0</v>
      </c>
      <c r="E1655" s="327">
        <f t="shared" si="95"/>
        <v>0</v>
      </c>
      <c r="F1655" s="151">
        <f>SUM(C1655:E1655)</f>
        <v>36729</v>
      </c>
    </row>
    <row r="1656" spans="1:6" ht="12.75">
      <c r="A1656" s="371" t="s">
        <v>319</v>
      </c>
      <c r="B1656" s="228" t="s">
        <v>682</v>
      </c>
      <c r="C1656" s="327">
        <f t="shared" si="95"/>
        <v>580711.74</v>
      </c>
      <c r="D1656" s="327">
        <f t="shared" si="95"/>
        <v>7559</v>
      </c>
      <c r="E1656" s="327">
        <f t="shared" si="95"/>
        <v>0</v>
      </c>
      <c r="F1656" s="151">
        <f>SUM(C1656:E1656)</f>
        <v>588270.74</v>
      </c>
    </row>
    <row r="1657" spans="1:6" ht="12.75">
      <c r="A1657" s="371" t="s">
        <v>320</v>
      </c>
      <c r="B1657" s="228" t="s">
        <v>684</v>
      </c>
      <c r="C1657" s="327">
        <f t="shared" si="95"/>
        <v>0</v>
      </c>
      <c r="D1657" s="327">
        <f t="shared" si="95"/>
        <v>0</v>
      </c>
      <c r="E1657" s="327">
        <f t="shared" si="95"/>
        <v>0</v>
      </c>
      <c r="F1657" s="151">
        <f>SUM(C1657:E1657)</f>
        <v>0</v>
      </c>
    </row>
    <row r="1658" spans="1:6" ht="12.75">
      <c r="A1658" s="371" t="s">
        <v>321</v>
      </c>
      <c r="B1658" s="228" t="s">
        <v>685</v>
      </c>
      <c r="C1658" s="327">
        <f t="shared" si="95"/>
        <v>2463</v>
      </c>
      <c r="D1658" s="327">
        <f t="shared" si="95"/>
        <v>0</v>
      </c>
      <c r="E1658" s="327">
        <f t="shared" si="95"/>
        <v>0</v>
      </c>
      <c r="F1658" s="151">
        <f>SUM(C1658:E1658)</f>
        <v>2463</v>
      </c>
    </row>
    <row r="1659" spans="1:6" ht="12.75">
      <c r="A1659" s="371" t="s">
        <v>322</v>
      </c>
      <c r="B1659" s="228" t="s">
        <v>686</v>
      </c>
      <c r="C1659" s="327">
        <f>C1660+C1661+C1662+C1663+C1664+C1665+C1666</f>
        <v>1482136</v>
      </c>
      <c r="D1659" s="327">
        <f>D1660+D1661+D1662+D1663+D1664+D1665+D1666</f>
        <v>101762</v>
      </c>
      <c r="E1659" s="327">
        <f>E1660+E1661+E1662+E1663+E1664+E1665+E1666</f>
        <v>0</v>
      </c>
      <c r="F1659" s="151">
        <f>F1660+F1661+F1662+F1663+F1664+F1665+F1666</f>
        <v>1583898</v>
      </c>
    </row>
    <row r="1660" spans="1:6" ht="12.75">
      <c r="A1660" s="371" t="s">
        <v>323</v>
      </c>
      <c r="B1660" s="228" t="s">
        <v>690</v>
      </c>
      <c r="C1660" s="327">
        <f aca="true" t="shared" si="96" ref="C1660:E1667">C1605+C1550</f>
        <v>255521</v>
      </c>
      <c r="D1660" s="327">
        <f t="shared" si="96"/>
        <v>0</v>
      </c>
      <c r="E1660" s="327">
        <f t="shared" si="96"/>
        <v>0</v>
      </c>
      <c r="F1660" s="151">
        <f>E1660+D1660+C1660</f>
        <v>255521</v>
      </c>
    </row>
    <row r="1661" spans="1:6" ht="12.75">
      <c r="A1661" s="371" t="s">
        <v>324</v>
      </c>
      <c r="B1661" s="228" t="s">
        <v>691</v>
      </c>
      <c r="C1661" s="327">
        <f t="shared" si="96"/>
        <v>0</v>
      </c>
      <c r="D1661" s="327">
        <f t="shared" si="96"/>
        <v>0</v>
      </c>
      <c r="E1661" s="327">
        <f t="shared" si="96"/>
        <v>0</v>
      </c>
      <c r="F1661" s="151">
        <f aca="true" t="shared" si="97" ref="F1661:F1667">E1661+D1661+C1661</f>
        <v>0</v>
      </c>
    </row>
    <row r="1662" spans="1:6" ht="12.75">
      <c r="A1662" s="371" t="s">
        <v>325</v>
      </c>
      <c r="B1662" s="228" t="s">
        <v>692</v>
      </c>
      <c r="C1662" s="327">
        <f t="shared" si="96"/>
        <v>0</v>
      </c>
      <c r="D1662" s="327">
        <f t="shared" si="96"/>
        <v>0</v>
      </c>
      <c r="E1662" s="327">
        <f t="shared" si="96"/>
        <v>0</v>
      </c>
      <c r="F1662" s="151">
        <f t="shared" si="97"/>
        <v>0</v>
      </c>
    </row>
    <row r="1663" spans="1:6" ht="12.75">
      <c r="A1663" s="371" t="s">
        <v>326</v>
      </c>
      <c r="B1663" s="380" t="s">
        <v>688</v>
      </c>
      <c r="C1663" s="327">
        <f t="shared" si="96"/>
        <v>455869</v>
      </c>
      <c r="D1663" s="327">
        <f t="shared" si="96"/>
        <v>75588</v>
      </c>
      <c r="E1663" s="327">
        <f t="shared" si="96"/>
        <v>0</v>
      </c>
      <c r="F1663" s="151">
        <f t="shared" si="97"/>
        <v>531457</v>
      </c>
    </row>
    <row r="1664" spans="1:6" ht="12.75">
      <c r="A1664" s="371" t="s">
        <v>327</v>
      </c>
      <c r="B1664" s="834" t="s">
        <v>689</v>
      </c>
      <c r="C1664" s="327">
        <f t="shared" si="96"/>
        <v>0</v>
      </c>
      <c r="D1664" s="327">
        <f t="shared" si="96"/>
        <v>0</v>
      </c>
      <c r="E1664" s="327">
        <f t="shared" si="96"/>
        <v>0</v>
      </c>
      <c r="F1664" s="151">
        <f t="shared" si="97"/>
        <v>0</v>
      </c>
    </row>
    <row r="1665" spans="1:6" ht="12.75">
      <c r="A1665" s="371" t="s">
        <v>328</v>
      </c>
      <c r="B1665" s="835" t="s">
        <v>687</v>
      </c>
      <c r="C1665" s="327">
        <f t="shared" si="96"/>
        <v>770603</v>
      </c>
      <c r="D1665" s="327">
        <f t="shared" si="96"/>
        <v>26174</v>
      </c>
      <c r="E1665" s="327">
        <f t="shared" si="96"/>
        <v>0</v>
      </c>
      <c r="F1665" s="151">
        <f t="shared" si="97"/>
        <v>796777</v>
      </c>
    </row>
    <row r="1666" spans="1:6" ht="12.75">
      <c r="A1666" s="371" t="s">
        <v>329</v>
      </c>
      <c r="B1666" s="309" t="s">
        <v>957</v>
      </c>
      <c r="C1666" s="327">
        <f t="shared" si="96"/>
        <v>143</v>
      </c>
      <c r="D1666" s="327">
        <f t="shared" si="96"/>
        <v>0</v>
      </c>
      <c r="E1666" s="327">
        <f t="shared" si="96"/>
        <v>0</v>
      </c>
      <c r="F1666" s="151">
        <f t="shared" si="97"/>
        <v>143</v>
      </c>
    </row>
    <row r="1667" spans="1:6" ht="13.5" thickBot="1">
      <c r="A1667" s="371" t="s">
        <v>330</v>
      </c>
      <c r="B1667" s="230" t="s">
        <v>694</v>
      </c>
      <c r="C1667" s="327">
        <f t="shared" si="96"/>
        <v>61170</v>
      </c>
      <c r="D1667" s="327">
        <f t="shared" si="96"/>
        <v>62331</v>
      </c>
      <c r="E1667" s="327">
        <f t="shared" si="96"/>
        <v>0</v>
      </c>
      <c r="F1667" s="325">
        <f t="shared" si="97"/>
        <v>123501</v>
      </c>
    </row>
    <row r="1668" spans="1:6" ht="13.5" thickBot="1">
      <c r="A1668" s="615" t="s">
        <v>331</v>
      </c>
      <c r="B1668" s="616" t="s">
        <v>6</v>
      </c>
      <c r="C1668" s="624">
        <f>C1654+C1655+C1656+C1657+C1659+C1667</f>
        <v>2376600.74</v>
      </c>
      <c r="D1668" s="624">
        <f>D1654+D1655+D1656+D1657+D1659+D1667</f>
        <v>171652</v>
      </c>
      <c r="E1668" s="624">
        <f>E1654+E1655+E1656+E1657+E1659+E1667</f>
        <v>0</v>
      </c>
      <c r="F1668" s="625">
        <f>F1654+F1655+F1656+F1657+F1659+F1667</f>
        <v>2548252.74</v>
      </c>
    </row>
    <row r="1669" spans="1:6" ht="6.75" customHeight="1" thickTop="1">
      <c r="A1669" s="604"/>
      <c r="B1669" s="379"/>
      <c r="C1669" s="261"/>
      <c r="D1669" s="261"/>
      <c r="E1669" s="261"/>
      <c r="F1669" s="159"/>
    </row>
    <row r="1670" spans="1:6" ht="12.75">
      <c r="A1670" s="372" t="s">
        <v>332</v>
      </c>
      <c r="B1670" s="381" t="s">
        <v>257</v>
      </c>
      <c r="C1670" s="329"/>
      <c r="D1670" s="154"/>
      <c r="E1670" s="329"/>
      <c r="F1670" s="206"/>
    </row>
    <row r="1671" spans="1:6" ht="12.75">
      <c r="A1671" s="372" t="s">
        <v>333</v>
      </c>
      <c r="B1671" s="228" t="s">
        <v>695</v>
      </c>
      <c r="C1671" s="327">
        <f aca="true" t="shared" si="98" ref="C1671:E1672">C1616+C1561</f>
        <v>1104241</v>
      </c>
      <c r="D1671" s="327">
        <f t="shared" si="98"/>
        <v>0</v>
      </c>
      <c r="E1671" s="327">
        <f t="shared" si="98"/>
        <v>0</v>
      </c>
      <c r="F1671" s="151">
        <f>SUM(C1671:E1671)</f>
        <v>1104241</v>
      </c>
    </row>
    <row r="1672" spans="1:6" ht="12.75">
      <c r="A1672" s="372" t="s">
        <v>334</v>
      </c>
      <c r="B1672" s="228" t="s">
        <v>696</v>
      </c>
      <c r="C1672" s="327">
        <f t="shared" si="98"/>
        <v>190656</v>
      </c>
      <c r="D1672" s="327">
        <f t="shared" si="98"/>
        <v>0</v>
      </c>
      <c r="E1672" s="327">
        <f t="shared" si="98"/>
        <v>0</v>
      </c>
      <c r="F1672" s="151">
        <f>SUM(C1672:E1672)</f>
        <v>190656</v>
      </c>
    </row>
    <row r="1673" spans="1:6" ht="12.75">
      <c r="A1673" s="372" t="s">
        <v>336</v>
      </c>
      <c r="B1673" s="228" t="s">
        <v>697</v>
      </c>
      <c r="C1673" s="327">
        <f>C1674+C1675+C1676+C1677+C1678+C1679+C1680</f>
        <v>154682</v>
      </c>
      <c r="D1673" s="327">
        <f>D1674+D1675+D1676+D1677+D1678+D1679+D1680</f>
        <v>36523</v>
      </c>
      <c r="E1673" s="327">
        <f>E1674+E1675+E1676+E1677+E1678+E1679+E1680</f>
        <v>0</v>
      </c>
      <c r="F1673" s="151">
        <f>F1674+F1675+F1676+F1677+F1678+F1679+F1680</f>
        <v>191205</v>
      </c>
    </row>
    <row r="1674" spans="1:6" ht="12.75">
      <c r="A1674" s="372" t="s">
        <v>337</v>
      </c>
      <c r="B1674" s="380" t="s">
        <v>698</v>
      </c>
      <c r="C1674" s="327">
        <f aca="true" t="shared" si="99" ref="C1674:E1680">C1619+C1564</f>
        <v>0</v>
      </c>
      <c r="D1674" s="327">
        <f t="shared" si="99"/>
        <v>0</v>
      </c>
      <c r="E1674" s="327">
        <f t="shared" si="99"/>
        <v>0</v>
      </c>
      <c r="F1674" s="151">
        <f>SUM(C1674:E1674)</f>
        <v>0</v>
      </c>
    </row>
    <row r="1675" spans="1:6" ht="12.75">
      <c r="A1675" s="372" t="s">
        <v>338</v>
      </c>
      <c r="B1675" s="380" t="s">
        <v>699</v>
      </c>
      <c r="C1675" s="327">
        <f t="shared" si="99"/>
        <v>0</v>
      </c>
      <c r="D1675" s="327">
        <f t="shared" si="99"/>
        <v>0</v>
      </c>
      <c r="E1675" s="327">
        <f t="shared" si="99"/>
        <v>0</v>
      </c>
      <c r="F1675" s="151">
        <f aca="true" t="shared" si="100" ref="F1675:F1680">SUM(C1675:E1675)</f>
        <v>0</v>
      </c>
    </row>
    <row r="1676" spans="1:6" ht="12.75">
      <c r="A1676" s="372" t="s">
        <v>339</v>
      </c>
      <c r="B1676" s="380" t="s">
        <v>700</v>
      </c>
      <c r="C1676" s="327">
        <f t="shared" si="99"/>
        <v>0</v>
      </c>
      <c r="D1676" s="327">
        <f t="shared" si="99"/>
        <v>0</v>
      </c>
      <c r="E1676" s="327">
        <f t="shared" si="99"/>
        <v>0</v>
      </c>
      <c r="F1676" s="151">
        <f t="shared" si="100"/>
        <v>0</v>
      </c>
    </row>
    <row r="1677" spans="1:6" ht="12.75">
      <c r="A1677" s="372" t="s">
        <v>340</v>
      </c>
      <c r="B1677" s="380" t="s">
        <v>701</v>
      </c>
      <c r="C1677" s="327">
        <f t="shared" si="99"/>
        <v>154682</v>
      </c>
      <c r="D1677" s="327">
        <f t="shared" si="99"/>
        <v>0</v>
      </c>
      <c r="E1677" s="327">
        <f t="shared" si="99"/>
        <v>0</v>
      </c>
      <c r="F1677" s="151">
        <f t="shared" si="100"/>
        <v>154682</v>
      </c>
    </row>
    <row r="1678" spans="1:6" ht="12.75">
      <c r="A1678" s="372" t="s">
        <v>341</v>
      </c>
      <c r="B1678" s="834" t="s">
        <v>702</v>
      </c>
      <c r="C1678" s="327">
        <f t="shared" si="99"/>
        <v>0</v>
      </c>
      <c r="D1678" s="327">
        <f t="shared" si="99"/>
        <v>32323</v>
      </c>
      <c r="E1678" s="327">
        <f t="shared" si="99"/>
        <v>0</v>
      </c>
      <c r="F1678" s="151">
        <f t="shared" si="100"/>
        <v>32323</v>
      </c>
    </row>
    <row r="1679" spans="1:6" ht="12.75">
      <c r="A1679" s="372" t="s">
        <v>342</v>
      </c>
      <c r="B1679" s="309" t="s">
        <v>703</v>
      </c>
      <c r="C1679" s="327">
        <f t="shared" si="99"/>
        <v>0</v>
      </c>
      <c r="D1679" s="327">
        <f t="shared" si="99"/>
        <v>4200</v>
      </c>
      <c r="E1679" s="327">
        <f t="shared" si="99"/>
        <v>0</v>
      </c>
      <c r="F1679" s="151">
        <f t="shared" si="100"/>
        <v>4200</v>
      </c>
    </row>
    <row r="1680" spans="1:6" ht="12.75">
      <c r="A1680" s="372" t="s">
        <v>343</v>
      </c>
      <c r="B1680" s="1091" t="s">
        <v>704</v>
      </c>
      <c r="C1680" s="327">
        <f t="shared" si="99"/>
        <v>0</v>
      </c>
      <c r="D1680" s="327">
        <f t="shared" si="99"/>
        <v>0</v>
      </c>
      <c r="E1680" s="327">
        <f t="shared" si="99"/>
        <v>0</v>
      </c>
      <c r="F1680" s="151">
        <f t="shared" si="100"/>
        <v>0</v>
      </c>
    </row>
    <row r="1681" spans="1:6" ht="12.75">
      <c r="A1681" s="372" t="s">
        <v>344</v>
      </c>
      <c r="B1681" s="228"/>
      <c r="C1681" s="327"/>
      <c r="D1681" s="327"/>
      <c r="E1681" s="327"/>
      <c r="F1681" s="151"/>
    </row>
    <row r="1682" spans="1:6" ht="13.5" thickBot="1">
      <c r="A1682" s="372" t="s">
        <v>345</v>
      </c>
      <c r="B1682" s="230"/>
      <c r="C1682" s="328"/>
      <c r="D1682" s="328"/>
      <c r="E1682" s="328"/>
      <c r="F1682" s="156"/>
    </row>
    <row r="1683" spans="1:6" ht="13.5" thickBot="1">
      <c r="A1683" s="615" t="s">
        <v>346</v>
      </c>
      <c r="B1683" s="616" t="s">
        <v>7</v>
      </c>
      <c r="C1683" s="624">
        <f>C1671+C1672+C1673+C1681+C1682</f>
        <v>1449579</v>
      </c>
      <c r="D1683" s="624">
        <f>D1671+D1672+D1673+D1681+D1682</f>
        <v>36523</v>
      </c>
      <c r="E1683" s="624">
        <f>E1671+E1672+E1673+E1681+E1682</f>
        <v>0</v>
      </c>
      <c r="F1683" s="625">
        <f>F1671+F1672+F1673+F1681+F1682</f>
        <v>1486102</v>
      </c>
    </row>
    <row r="1684" spans="1:6" ht="27" thickBot="1" thickTop="1">
      <c r="A1684" s="615" t="s">
        <v>347</v>
      </c>
      <c r="B1684" s="620" t="s">
        <v>503</v>
      </c>
      <c r="C1684" s="627">
        <f>C1668+C1683</f>
        <v>3826179.74</v>
      </c>
      <c r="D1684" s="627">
        <f>D1668+D1683</f>
        <v>208175</v>
      </c>
      <c r="E1684" s="627">
        <f>E1668+E1683</f>
        <v>0</v>
      </c>
      <c r="F1684" s="628">
        <f>F1668+F1683</f>
        <v>4034354.74</v>
      </c>
    </row>
    <row r="1685" spans="1:6" ht="6.75" customHeight="1" thickTop="1">
      <c r="A1685" s="604"/>
      <c r="B1685" s="848"/>
      <c r="C1685" s="267"/>
      <c r="D1685" s="267"/>
      <c r="E1685" s="267"/>
      <c r="F1685" s="272"/>
    </row>
    <row r="1686" spans="1:6" ht="12.75">
      <c r="A1686" s="372" t="s">
        <v>348</v>
      </c>
      <c r="B1686" s="485" t="s">
        <v>504</v>
      </c>
      <c r="C1686" s="626"/>
      <c r="D1686" s="154"/>
      <c r="E1686" s="329"/>
      <c r="F1686" s="206"/>
    </row>
    <row r="1687" spans="1:6" ht="12.75">
      <c r="A1687" s="371" t="s">
        <v>349</v>
      </c>
      <c r="B1687" s="229" t="s">
        <v>726</v>
      </c>
      <c r="C1687" s="327">
        <f aca="true" t="shared" si="101" ref="C1687:E1694">C1632+C1577</f>
        <v>30526</v>
      </c>
      <c r="D1687" s="327">
        <f t="shared" si="101"/>
        <v>0</v>
      </c>
      <c r="E1687" s="327">
        <f t="shared" si="101"/>
        <v>0</v>
      </c>
      <c r="F1687" s="151">
        <f>SUM(C1687:E1687)</f>
        <v>30526</v>
      </c>
    </row>
    <row r="1688" spans="1:6" ht="12.75">
      <c r="A1688" s="371" t="s">
        <v>350</v>
      </c>
      <c r="B1688" s="697" t="s">
        <v>724</v>
      </c>
      <c r="C1688" s="327">
        <f t="shared" si="101"/>
        <v>12023365</v>
      </c>
      <c r="D1688" s="327">
        <f t="shared" si="101"/>
        <v>0</v>
      </c>
      <c r="E1688" s="327">
        <f t="shared" si="101"/>
        <v>0</v>
      </c>
      <c r="F1688" s="151">
        <f aca="true" t="shared" si="102" ref="F1688:F1694">SUM(C1688:E1688)</f>
        <v>12023365</v>
      </c>
    </row>
    <row r="1689" spans="1:6" ht="12.75">
      <c r="A1689" s="371" t="s">
        <v>351</v>
      </c>
      <c r="B1689" s="697" t="s">
        <v>723</v>
      </c>
      <c r="C1689" s="327">
        <f t="shared" si="101"/>
        <v>1219077</v>
      </c>
      <c r="D1689" s="327">
        <f t="shared" si="101"/>
        <v>0</v>
      </c>
      <c r="E1689" s="327">
        <f t="shared" si="101"/>
        <v>0</v>
      </c>
      <c r="F1689" s="151">
        <f t="shared" si="102"/>
        <v>1219077</v>
      </c>
    </row>
    <row r="1690" spans="1:6" ht="12.75">
      <c r="A1690" s="371" t="s">
        <v>352</v>
      </c>
      <c r="B1690" s="697" t="s">
        <v>725</v>
      </c>
      <c r="C1690" s="327">
        <f t="shared" si="101"/>
        <v>0</v>
      </c>
      <c r="D1690" s="327">
        <f t="shared" si="101"/>
        <v>0</v>
      </c>
      <c r="E1690" s="327">
        <f t="shared" si="101"/>
        <v>0</v>
      </c>
      <c r="F1690" s="151">
        <f t="shared" si="102"/>
        <v>0</v>
      </c>
    </row>
    <row r="1691" spans="1:6" ht="12.75">
      <c r="A1691" s="371" t="s">
        <v>353</v>
      </c>
      <c r="B1691" s="836" t="s">
        <v>727</v>
      </c>
      <c r="C1691" s="327">
        <f t="shared" si="101"/>
        <v>0</v>
      </c>
      <c r="D1691" s="327">
        <f t="shared" si="101"/>
        <v>0</v>
      </c>
      <c r="E1691" s="327">
        <f t="shared" si="101"/>
        <v>0</v>
      </c>
      <c r="F1691" s="151">
        <f t="shared" si="102"/>
        <v>0</v>
      </c>
    </row>
    <row r="1692" spans="1:6" ht="12.75">
      <c r="A1692" s="371" t="s">
        <v>354</v>
      </c>
      <c r="B1692" s="837" t="s">
        <v>730</v>
      </c>
      <c r="C1692" s="327">
        <f t="shared" si="101"/>
        <v>100000</v>
      </c>
      <c r="D1692" s="327">
        <f t="shared" si="101"/>
        <v>0</v>
      </c>
      <c r="E1692" s="327">
        <f t="shared" si="101"/>
        <v>0</v>
      </c>
      <c r="F1692" s="151">
        <f t="shared" si="102"/>
        <v>100000</v>
      </c>
    </row>
    <row r="1693" spans="1:6" ht="12.75">
      <c r="A1693" s="371" t="s">
        <v>355</v>
      </c>
      <c r="B1693" s="838" t="s">
        <v>729</v>
      </c>
      <c r="C1693" s="327">
        <f t="shared" si="101"/>
        <v>0</v>
      </c>
      <c r="D1693" s="327">
        <f t="shared" si="101"/>
        <v>0</v>
      </c>
      <c r="E1693" s="327">
        <f t="shared" si="101"/>
        <v>0</v>
      </c>
      <c r="F1693" s="151">
        <f t="shared" si="102"/>
        <v>0</v>
      </c>
    </row>
    <row r="1694" spans="1:6" ht="13.5" thickBot="1">
      <c r="A1694" s="371" t="s">
        <v>356</v>
      </c>
      <c r="B1694" s="382" t="s">
        <v>728</v>
      </c>
      <c r="C1694" s="327">
        <f t="shared" si="101"/>
        <v>0</v>
      </c>
      <c r="D1694" s="327">
        <f t="shared" si="101"/>
        <v>0</v>
      </c>
      <c r="E1694" s="327">
        <f t="shared" si="101"/>
        <v>0</v>
      </c>
      <c r="F1694" s="151">
        <f t="shared" si="102"/>
        <v>0</v>
      </c>
    </row>
    <row r="1695" spans="1:6" ht="13.5" thickBot="1">
      <c r="A1695" s="395" t="s">
        <v>357</v>
      </c>
      <c r="B1695" s="315" t="s">
        <v>505</v>
      </c>
      <c r="C1695" s="842">
        <f>SUM(C1687:C1694)</f>
        <v>13372968</v>
      </c>
      <c r="D1695" s="842">
        <f>SUM(D1687:D1694)</f>
        <v>0</v>
      </c>
      <c r="E1695" s="842">
        <f>SUM(E1687:E1694)</f>
        <v>0</v>
      </c>
      <c r="F1695" s="948">
        <f>SUM(F1687:F1694)</f>
        <v>13372968</v>
      </c>
    </row>
    <row r="1696" spans="1:6" ht="12.75">
      <c r="A1696" s="604"/>
      <c r="B1696" s="44"/>
      <c r="C1696" s="854"/>
      <c r="D1696" s="856"/>
      <c r="E1696" s="816"/>
      <c r="F1696" s="693"/>
    </row>
    <row r="1697" spans="1:6" ht="13.5" thickBot="1">
      <c r="A1697" s="456" t="s">
        <v>358</v>
      </c>
      <c r="B1697" s="1379" t="s">
        <v>506</v>
      </c>
      <c r="C1697" s="994">
        <f>C1684+C1695</f>
        <v>17199147.740000002</v>
      </c>
      <c r="D1697" s="995">
        <f>D1684+D1695</f>
        <v>208175</v>
      </c>
      <c r="E1697" s="994">
        <f>E1684+E1695</f>
        <v>0</v>
      </c>
      <c r="F1697" s="1601">
        <f>F1684+F1695</f>
        <v>17407322.740000002</v>
      </c>
    </row>
  </sheetData>
  <sheetProtection/>
  <mergeCells count="95">
    <mergeCell ref="A5:D5"/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770:E770"/>
    <mergeCell ref="A659:F659"/>
    <mergeCell ref="A714:F714"/>
    <mergeCell ref="A769:F769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1042:F1042"/>
    <mergeCell ref="A1097:F1097"/>
    <mergeCell ref="A1098:E1098"/>
    <mergeCell ref="A1100:F1100"/>
    <mergeCell ref="A993:D993"/>
    <mergeCell ref="A1152:F1152"/>
    <mergeCell ref="A1153:E1153"/>
    <mergeCell ref="A1155:F1155"/>
    <mergeCell ref="A1206:F1206"/>
    <mergeCell ref="A1207:E1207"/>
    <mergeCell ref="A1209:F1209"/>
    <mergeCell ref="A1261:F1261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534:F1534"/>
    <mergeCell ref="A1480:F1480"/>
    <mergeCell ref="A1481:E1481"/>
    <mergeCell ref="A1483:F1483"/>
    <mergeCell ref="A1645:E1645"/>
    <mergeCell ref="A1647:F1647"/>
    <mergeCell ref="A1535:E1535"/>
    <mergeCell ref="A1537:F1537"/>
    <mergeCell ref="A1589:F1589"/>
    <mergeCell ref="A1590:E1590"/>
    <mergeCell ref="A1592:F1592"/>
    <mergeCell ref="A1644:F16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220">
      <selection activeCell="J178" sqref="J178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54" t="s">
        <v>1457</v>
      </c>
      <c r="B1" s="1654"/>
      <c r="C1" s="1654"/>
      <c r="D1" s="1654"/>
      <c r="E1" s="1654"/>
    </row>
    <row r="2" spans="1:5" ht="12.75">
      <c r="A2" s="384"/>
      <c r="B2" s="384"/>
      <c r="C2" s="384"/>
      <c r="D2" s="384"/>
      <c r="E2" s="384"/>
    </row>
    <row r="3" spans="1:6" ht="14.25">
      <c r="A3" s="1809" t="s">
        <v>1099</v>
      </c>
      <c r="B3" s="1810"/>
      <c r="C3" s="1810"/>
      <c r="D3" s="1810"/>
      <c r="E3" s="1810"/>
      <c r="F3" s="1810"/>
    </row>
    <row r="4" spans="2:6" ht="11.25" customHeight="1">
      <c r="B4" s="21"/>
      <c r="C4" s="21"/>
      <c r="D4" s="21"/>
      <c r="E4" s="21"/>
      <c r="F4" s="166"/>
    </row>
    <row r="5" spans="2:6" ht="13.5" thickBot="1">
      <c r="B5" s="37" t="s">
        <v>537</v>
      </c>
      <c r="C5" s="1"/>
      <c r="D5" s="1"/>
      <c r="E5" s="22"/>
      <c r="F5" s="22" t="s">
        <v>4</v>
      </c>
    </row>
    <row r="6" spans="1:6" ht="48" customHeight="1" thickBot="1">
      <c r="A6" s="391" t="s">
        <v>311</v>
      </c>
      <c r="B6" s="298" t="s">
        <v>41</v>
      </c>
      <c r="C6" s="387" t="s">
        <v>538</v>
      </c>
      <c r="D6" s="388" t="s">
        <v>539</v>
      </c>
      <c r="E6" s="387" t="s">
        <v>536</v>
      </c>
      <c r="F6" s="388" t="s">
        <v>535</v>
      </c>
    </row>
    <row r="7" spans="1:6" ht="13.5" thickBot="1">
      <c r="A7" s="533" t="s">
        <v>312</v>
      </c>
      <c r="B7" s="677" t="s">
        <v>313</v>
      </c>
      <c r="C7" s="678" t="s">
        <v>314</v>
      </c>
      <c r="D7" s="679" t="s">
        <v>315</v>
      </c>
      <c r="E7" s="679" t="s">
        <v>335</v>
      </c>
      <c r="F7" s="680" t="s">
        <v>360</v>
      </c>
    </row>
    <row r="8" spans="1:6" ht="13.5" thickBot="1">
      <c r="A8" s="533" t="s">
        <v>316</v>
      </c>
      <c r="B8" s="282" t="s">
        <v>846</v>
      </c>
      <c r="C8" s="64">
        <f>C9+C10+C15+C24</f>
        <v>33326</v>
      </c>
      <c r="D8" s="64">
        <f>D9+D10+D15+D24</f>
        <v>332080</v>
      </c>
      <c r="E8" s="64">
        <f>E9+E10+E15+E24</f>
        <v>0</v>
      </c>
      <c r="F8" s="124">
        <f>F9+F10+F15+F24</f>
        <v>365406</v>
      </c>
    </row>
    <row r="9" spans="1:6" ht="13.5" thickBot="1">
      <c r="A9" s="533" t="s">
        <v>317</v>
      </c>
      <c r="B9" s="283" t="s">
        <v>859</v>
      </c>
      <c r="C9" s="35"/>
      <c r="D9" s="681">
        <f>'30_ sz_ melléklet'!E7</f>
        <v>14597</v>
      </c>
      <c r="E9" s="681"/>
      <c r="F9" s="947">
        <f>SUM(C9:E9)</f>
        <v>14597</v>
      </c>
    </row>
    <row r="10" spans="1:6" ht="13.5" thickBot="1">
      <c r="A10" s="533" t="s">
        <v>318</v>
      </c>
      <c r="B10" s="284" t="s">
        <v>800</v>
      </c>
      <c r="C10" s="64">
        <f>C11+C12+C13+C14</f>
        <v>0</v>
      </c>
      <c r="D10" s="64">
        <f>D11+D12+D13+D14</f>
        <v>0</v>
      </c>
      <c r="E10" s="64">
        <f>E11+E12+E13+E14</f>
        <v>0</v>
      </c>
      <c r="F10" s="124">
        <f>F11+F12+F13+F14</f>
        <v>0</v>
      </c>
    </row>
    <row r="11" spans="1:6" ht="12.75">
      <c r="A11" s="683" t="s">
        <v>319</v>
      </c>
      <c r="B11" s="895" t="s">
        <v>802</v>
      </c>
      <c r="C11" s="609"/>
      <c r="D11" s="454"/>
      <c r="E11" s="454"/>
      <c r="F11" s="287"/>
    </row>
    <row r="12" spans="1:6" ht="12.75">
      <c r="A12" s="181" t="s">
        <v>320</v>
      </c>
      <c r="B12" s="896" t="s">
        <v>801</v>
      </c>
      <c r="C12" s="894"/>
      <c r="D12" s="885"/>
      <c r="E12" s="885"/>
      <c r="F12" s="287"/>
    </row>
    <row r="13" spans="1:6" ht="12.75">
      <c r="A13" s="181" t="s">
        <v>321</v>
      </c>
      <c r="B13" s="285" t="s">
        <v>803</v>
      </c>
      <c r="C13" s="894"/>
      <c r="D13" s="885"/>
      <c r="E13" s="885"/>
      <c r="F13" s="287"/>
    </row>
    <row r="14" spans="1:6" ht="13.5" thickBot="1">
      <c r="A14" s="180" t="s">
        <v>322</v>
      </c>
      <c r="B14" s="1134" t="s">
        <v>804</v>
      </c>
      <c r="C14" s="28"/>
      <c r="D14" s="245"/>
      <c r="E14" s="245"/>
      <c r="F14" s="1135"/>
    </row>
    <row r="15" spans="1:6" ht="13.5" thickBot="1">
      <c r="A15" s="533" t="s">
        <v>323</v>
      </c>
      <c r="B15" s="1137" t="s">
        <v>845</v>
      </c>
      <c r="C15" s="114">
        <f>C16+C20+C21+C22+C23</f>
        <v>33326</v>
      </c>
      <c r="D15" s="114">
        <f>D16+D20+D21+D22+D23</f>
        <v>317483</v>
      </c>
      <c r="E15" s="114">
        <f>E16+E20+E21+E22+E23</f>
        <v>0</v>
      </c>
      <c r="F15" s="909">
        <f>F16+F20+F21+F22+F23</f>
        <v>350809</v>
      </c>
    </row>
    <row r="16" spans="1:6" ht="12.75">
      <c r="A16" s="180" t="s">
        <v>324</v>
      </c>
      <c r="B16" s="1136" t="s">
        <v>791</v>
      </c>
      <c r="C16" s="28">
        <f>C17+C18+C19</f>
        <v>0</v>
      </c>
      <c r="D16" s="28">
        <f>D17+D18+D19</f>
        <v>0</v>
      </c>
      <c r="E16" s="28">
        <f>E17+E18+E19</f>
        <v>0</v>
      </c>
      <c r="F16" s="123">
        <f>F17+F18+F19</f>
        <v>0</v>
      </c>
    </row>
    <row r="17" spans="1:6" ht="12.75">
      <c r="A17" s="181" t="s">
        <v>325</v>
      </c>
      <c r="B17" s="1111" t="s">
        <v>793</v>
      </c>
      <c r="C17" s="1323"/>
      <c r="D17" s="1324"/>
      <c r="E17" s="1324"/>
      <c r="F17" s="1355"/>
    </row>
    <row r="18" spans="1:6" ht="12.75">
      <c r="A18" s="873" t="s">
        <v>326</v>
      </c>
      <c r="B18" s="1112" t="s">
        <v>792</v>
      </c>
      <c r="C18" s="24"/>
      <c r="D18" s="24"/>
      <c r="E18" s="24"/>
      <c r="F18" s="121"/>
    </row>
    <row r="19" spans="1:6" ht="12.75">
      <c r="A19" s="873" t="s">
        <v>327</v>
      </c>
      <c r="B19" s="1112" t="s">
        <v>794</v>
      </c>
      <c r="C19" s="24"/>
      <c r="D19" s="910"/>
      <c r="E19" s="115"/>
      <c r="F19" s="121"/>
    </row>
    <row r="20" spans="1:6" ht="12.75">
      <c r="A20" s="873" t="s">
        <v>328</v>
      </c>
      <c r="B20" s="1113" t="s">
        <v>795</v>
      </c>
      <c r="C20" s="24"/>
      <c r="D20" s="252"/>
      <c r="E20" s="116"/>
      <c r="F20" s="121"/>
    </row>
    <row r="21" spans="1:6" ht="12.75">
      <c r="A21" s="873" t="s">
        <v>329</v>
      </c>
      <c r="B21" s="1114" t="s">
        <v>796</v>
      </c>
      <c r="C21" s="24"/>
      <c r="D21" s="252"/>
      <c r="E21" s="116"/>
      <c r="F21" s="121"/>
    </row>
    <row r="22" spans="1:6" ht="12.75">
      <c r="A22" s="873" t="s">
        <v>330</v>
      </c>
      <c r="B22" s="1115" t="s">
        <v>797</v>
      </c>
      <c r="C22" s="24">
        <f>30630+'19 21_sz_ melléklet'!C64+2039</f>
        <v>33326</v>
      </c>
      <c r="D22" s="245">
        <f>316920+563</f>
        <v>317483</v>
      </c>
      <c r="E22" s="245"/>
      <c r="F22" s="121">
        <f>SUM(C22:E22)</f>
        <v>350809</v>
      </c>
    </row>
    <row r="23" spans="1:6" ht="13.5" thickBot="1">
      <c r="A23" s="873" t="s">
        <v>331</v>
      </c>
      <c r="B23" s="1132" t="s">
        <v>843</v>
      </c>
      <c r="C23" s="28"/>
      <c r="D23" s="249"/>
      <c r="E23" s="11"/>
      <c r="F23" s="123"/>
    </row>
    <row r="24" spans="1:6" ht="13.5" thickBot="1">
      <c r="A24" s="873" t="s">
        <v>332</v>
      </c>
      <c r="B24" s="1133" t="s">
        <v>844</v>
      </c>
      <c r="C24" s="1344">
        <f>C25+C26</f>
        <v>0</v>
      </c>
      <c r="D24" s="1344">
        <f>D25+D26</f>
        <v>0</v>
      </c>
      <c r="E24" s="1344">
        <f>E25+E26</f>
        <v>0</v>
      </c>
      <c r="F24" s="158">
        <f>F25+F26</f>
        <v>0</v>
      </c>
    </row>
    <row r="25" spans="1:6" ht="12.75" customHeight="1">
      <c r="A25" s="873" t="s">
        <v>333</v>
      </c>
      <c r="B25" s="1140" t="s">
        <v>873</v>
      </c>
      <c r="C25" s="24"/>
      <c r="D25" s="247"/>
      <c r="E25" s="247"/>
      <c r="F25" s="121"/>
    </row>
    <row r="26" spans="1:6" ht="14.25" customHeight="1" thickBot="1">
      <c r="A26" s="873" t="s">
        <v>334</v>
      </c>
      <c r="B26" s="1143" t="s">
        <v>874</v>
      </c>
      <c r="C26" s="28"/>
      <c r="D26" s="245"/>
      <c r="E26" s="245"/>
      <c r="F26" s="123"/>
    </row>
    <row r="27" spans="1:6" ht="3.75" customHeight="1" thickBot="1">
      <c r="A27" s="873"/>
      <c r="B27" s="1327"/>
      <c r="C27" s="293"/>
      <c r="D27" s="1326"/>
      <c r="E27" s="1326"/>
      <c r="F27" s="1328"/>
    </row>
    <row r="28" spans="1:6" ht="13.5" customHeight="1" thickBot="1">
      <c r="A28" s="873" t="s">
        <v>336</v>
      </c>
      <c r="B28" s="256" t="s">
        <v>858</v>
      </c>
      <c r="C28" s="1353">
        <f>C29+C35+C40</f>
        <v>0</v>
      </c>
      <c r="D28" s="1353">
        <f>D29+D35+D40</f>
        <v>1082</v>
      </c>
      <c r="E28" s="1353">
        <f>E29+E35+E40</f>
        <v>0</v>
      </c>
      <c r="F28" s="1131">
        <f>F29+F35+F40</f>
        <v>1082</v>
      </c>
    </row>
    <row r="29" spans="1:6" ht="13.5" thickBot="1">
      <c r="A29" s="533" t="s">
        <v>337</v>
      </c>
      <c r="B29" s="177" t="s">
        <v>831</v>
      </c>
      <c r="C29" s="158">
        <f>C30+C31+C32+C33+C34</f>
        <v>0</v>
      </c>
      <c r="D29" s="158">
        <f>D30+D31+D32+D33+D34</f>
        <v>0</v>
      </c>
      <c r="E29" s="158">
        <f>E30+E31+E32+E33+E34</f>
        <v>0</v>
      </c>
      <c r="F29" s="158">
        <f>F30+F31+F32+F33+F34</f>
        <v>0</v>
      </c>
    </row>
    <row r="30" spans="1:6" ht="12.75">
      <c r="A30" s="683" t="s">
        <v>338</v>
      </c>
      <c r="B30" s="122" t="s">
        <v>832</v>
      </c>
      <c r="C30" s="270"/>
      <c r="D30" s="686"/>
      <c r="E30" s="685"/>
      <c r="F30" s="685"/>
    </row>
    <row r="31" spans="1:6" ht="12.75">
      <c r="A31" s="181" t="s">
        <v>339</v>
      </c>
      <c r="B31" s="275" t="s">
        <v>833</v>
      </c>
      <c r="C31" s="183"/>
      <c r="D31" s="434"/>
      <c r="E31" s="183"/>
      <c r="F31" s="434"/>
    </row>
    <row r="32" spans="1:6" ht="12.75">
      <c r="A32" s="181" t="s">
        <v>340</v>
      </c>
      <c r="B32" s="688" t="s">
        <v>834</v>
      </c>
      <c r="C32" s="154"/>
      <c r="D32" s="146"/>
      <c r="E32" s="154"/>
      <c r="F32" s="434"/>
    </row>
    <row r="33" spans="1:6" ht="14.25" customHeight="1">
      <c r="A33" s="181" t="s">
        <v>341</v>
      </c>
      <c r="B33" s="688" t="s">
        <v>835</v>
      </c>
      <c r="C33" s="151"/>
      <c r="D33" s="145"/>
      <c r="E33" s="151"/>
      <c r="F33" s="434"/>
    </row>
    <row r="34" spans="1:6" ht="13.5" thickBot="1">
      <c r="A34" s="728" t="s">
        <v>342</v>
      </c>
      <c r="B34" s="277" t="s">
        <v>836</v>
      </c>
      <c r="C34" s="159"/>
      <c r="D34" s="150"/>
      <c r="E34" s="159"/>
      <c r="F34" s="265"/>
    </row>
    <row r="35" spans="1:6" ht="13.5" thickBot="1">
      <c r="A35" s="533" t="s">
        <v>343</v>
      </c>
      <c r="B35" s="1329" t="s">
        <v>837</v>
      </c>
      <c r="C35" s="692">
        <f>C36+C37+C38+C39</f>
        <v>0</v>
      </c>
      <c r="D35" s="692">
        <f>D36+D37+D38+D39</f>
        <v>0</v>
      </c>
      <c r="E35" s="692">
        <f>E36+E37+E38+E39</f>
        <v>0</v>
      </c>
      <c r="F35" s="692">
        <f>F36+F37+F38+F39</f>
        <v>0</v>
      </c>
    </row>
    <row r="36" spans="1:6" ht="12.75">
      <c r="A36" s="873" t="s">
        <v>344</v>
      </c>
      <c r="B36" s="689" t="s">
        <v>838</v>
      </c>
      <c r="C36" s="159"/>
      <c r="D36" s="150"/>
      <c r="E36" s="159"/>
      <c r="F36" s="146"/>
    </row>
    <row r="37" spans="1:6" ht="12.75">
      <c r="A37" s="181" t="s">
        <v>345</v>
      </c>
      <c r="B37" s="901" t="s">
        <v>840</v>
      </c>
      <c r="C37" s="690"/>
      <c r="D37" s="944"/>
      <c r="E37" s="690"/>
      <c r="F37" s="434"/>
    </row>
    <row r="38" spans="1:6" ht="12.75">
      <c r="A38" s="181" t="s">
        <v>346</v>
      </c>
      <c r="B38" s="903" t="s">
        <v>839</v>
      </c>
      <c r="C38" s="691"/>
      <c r="D38" s="945"/>
      <c r="E38" s="691"/>
      <c r="F38" s="434"/>
    </row>
    <row r="39" spans="1:6" ht="13.5" thickBot="1">
      <c r="A39" s="728" t="s">
        <v>347</v>
      </c>
      <c r="B39" s="275" t="s">
        <v>841</v>
      </c>
      <c r="C39" s="271"/>
      <c r="D39" s="265"/>
      <c r="E39" s="271"/>
      <c r="F39" s="265"/>
    </row>
    <row r="40" spans="1:6" ht="13.5" thickBot="1">
      <c r="A40" s="533" t="s">
        <v>348</v>
      </c>
      <c r="B40" s="140" t="s">
        <v>842</v>
      </c>
      <c r="C40" s="158">
        <f>C41+C42</f>
        <v>0</v>
      </c>
      <c r="D40" s="158">
        <f>D41+D42</f>
        <v>1082</v>
      </c>
      <c r="E40" s="158">
        <f>E41+E42</f>
        <v>0</v>
      </c>
      <c r="F40" s="158">
        <f>SUM(C40:E40)</f>
        <v>1082</v>
      </c>
    </row>
    <row r="41" spans="1:6" ht="13.5" thickBot="1">
      <c r="A41" s="873" t="s">
        <v>349</v>
      </c>
      <c r="B41" s="903" t="s">
        <v>884</v>
      </c>
      <c r="C41" s="640"/>
      <c r="D41" s="1331"/>
      <c r="E41" s="640"/>
      <c r="F41" s="1331"/>
    </row>
    <row r="42" spans="1:6" ht="14.25" customHeight="1" thickBot="1">
      <c r="A42" s="533" t="s">
        <v>350</v>
      </c>
      <c r="B42" s="138" t="s">
        <v>885</v>
      </c>
      <c r="C42" s="994"/>
      <c r="D42" s="994">
        <f>' 27 28 sz. melléklet'!F45</f>
        <v>1082</v>
      </c>
      <c r="E42" s="994"/>
      <c r="F42" s="994">
        <f>SUM(D42:E42)</f>
        <v>1082</v>
      </c>
    </row>
    <row r="43" spans="1:6" ht="26.25" thickBot="1">
      <c r="A43" s="179" t="s">
        <v>351</v>
      </c>
      <c r="B43" s="1332" t="s">
        <v>524</v>
      </c>
      <c r="C43" s="978">
        <f>C8+C28</f>
        <v>33326</v>
      </c>
      <c r="D43" s="978">
        <f>D8+D28</f>
        <v>333162</v>
      </c>
      <c r="E43" s="978">
        <f>E8+E28</f>
        <v>0</v>
      </c>
      <c r="F43" s="732">
        <f>F8+F28</f>
        <v>366488</v>
      </c>
    </row>
    <row r="44" spans="1:6" ht="13.5" customHeight="1" thickBot="1">
      <c r="A44" s="533" t="s">
        <v>352</v>
      </c>
      <c r="B44" s="140" t="s">
        <v>857</v>
      </c>
      <c r="C44" s="1325"/>
      <c r="D44" s="1326"/>
      <c r="E44" s="1326"/>
      <c r="F44" s="1328"/>
    </row>
    <row r="45" spans="1:6" ht="12.75" customHeight="1">
      <c r="A45" s="873" t="s">
        <v>353</v>
      </c>
      <c r="B45" s="702" t="s">
        <v>848</v>
      </c>
      <c r="C45" s="292"/>
      <c r="D45" s="254"/>
      <c r="E45" s="254"/>
      <c r="F45" s="290"/>
    </row>
    <row r="46" spans="1:6" ht="12.75" customHeight="1">
      <c r="A46" s="181" t="s">
        <v>354</v>
      </c>
      <c r="B46" s="602" t="s">
        <v>847</v>
      </c>
      <c r="C46" s="116"/>
      <c r="D46" s="252"/>
      <c r="E46" s="252"/>
      <c r="F46" s="904"/>
    </row>
    <row r="47" spans="1:6" ht="13.5" customHeight="1">
      <c r="A47" s="181" t="s">
        <v>355</v>
      </c>
      <c r="B47" s="602" t="s">
        <v>849</v>
      </c>
      <c r="C47" s="116"/>
      <c r="D47" s="252"/>
      <c r="E47" s="252"/>
      <c r="F47" s="904"/>
    </row>
    <row r="48" spans="1:6" ht="12.75">
      <c r="A48" s="181" t="s">
        <v>356</v>
      </c>
      <c r="B48" s="602" t="s">
        <v>850</v>
      </c>
      <c r="C48" s="116"/>
      <c r="D48" s="252"/>
      <c r="E48" s="252"/>
      <c r="F48" s="904"/>
    </row>
    <row r="49" spans="1:6" ht="12.75">
      <c r="A49" s="181" t="s">
        <v>357</v>
      </c>
      <c r="B49" s="836" t="s">
        <v>851</v>
      </c>
      <c r="C49" s="116"/>
      <c r="D49" s="252">
        <f>'30_ sz_ melléklet'!E52</f>
        <v>2135</v>
      </c>
      <c r="E49" s="252"/>
      <c r="F49" s="904">
        <f>SUM(C49:E49)</f>
        <v>2135</v>
      </c>
    </row>
    <row r="50" spans="1:6" ht="12.75">
      <c r="A50" s="181" t="s">
        <v>358</v>
      </c>
      <c r="B50" s="837" t="s">
        <v>852</v>
      </c>
      <c r="C50" s="116"/>
      <c r="D50" s="252"/>
      <c r="E50" s="252"/>
      <c r="F50" s="904"/>
    </row>
    <row r="51" spans="1:6" ht="12.75">
      <c r="A51" s="181" t="s">
        <v>359</v>
      </c>
      <c r="B51" s="838" t="s">
        <v>853</v>
      </c>
      <c r="C51" s="116"/>
      <c r="D51" s="252"/>
      <c r="E51" s="252"/>
      <c r="F51" s="904"/>
    </row>
    <row r="52" spans="1:6" ht="12.75">
      <c r="A52" s="181" t="s">
        <v>369</v>
      </c>
      <c r="B52" s="838" t="s">
        <v>854</v>
      </c>
      <c r="C52" s="116">
        <f>4750+800+216+1078+2503-7088</f>
        <v>2259</v>
      </c>
      <c r="D52" s="252">
        <v>22287</v>
      </c>
      <c r="E52" s="252"/>
      <c r="F52" s="904">
        <f>SUM(C52:E52)</f>
        <v>24546</v>
      </c>
    </row>
    <row r="53" spans="1:6" ht="12.75">
      <c r="A53" s="181" t="s">
        <v>370</v>
      </c>
      <c r="B53" s="838" t="s">
        <v>855</v>
      </c>
      <c r="C53" s="116"/>
      <c r="D53" s="252"/>
      <c r="E53" s="252"/>
      <c r="F53" s="904"/>
    </row>
    <row r="54" spans="1:6" ht="13.5" thickBot="1">
      <c r="A54" s="728" t="s">
        <v>371</v>
      </c>
      <c r="B54" s="1244" t="s">
        <v>856</v>
      </c>
      <c r="C54" s="927"/>
      <c r="D54" s="333"/>
      <c r="E54" s="333"/>
      <c r="F54" s="326"/>
    </row>
    <row r="55" spans="1:6" ht="13.5" thickBot="1">
      <c r="A55" s="533" t="s">
        <v>372</v>
      </c>
      <c r="B55" s="1173" t="s">
        <v>527</v>
      </c>
      <c r="C55" s="263">
        <f>SUM(C45:C54)</f>
        <v>2259</v>
      </c>
      <c r="D55" s="263">
        <f>SUM(D45:D54)</f>
        <v>24422</v>
      </c>
      <c r="E55" s="263">
        <f>SUM(E45:E54)</f>
        <v>0</v>
      </c>
      <c r="F55" s="158">
        <f>SUM(F45:F54)</f>
        <v>26681</v>
      </c>
    </row>
    <row r="56" spans="1:6" ht="13.5" thickBot="1">
      <c r="A56" s="533" t="s">
        <v>373</v>
      </c>
      <c r="B56" s="140" t="s">
        <v>526</v>
      </c>
      <c r="C56" s="263">
        <f>C55+C43</f>
        <v>35585</v>
      </c>
      <c r="D56" s="263">
        <f>D55+D43</f>
        <v>357584</v>
      </c>
      <c r="E56" s="263">
        <f>E55+E43</f>
        <v>0</v>
      </c>
      <c r="F56" s="158">
        <f>F55+F43</f>
        <v>393169</v>
      </c>
    </row>
    <row r="57" spans="1:6" ht="12.75">
      <c r="A57" s="1811">
        <v>2</v>
      </c>
      <c r="B57" s="1811"/>
      <c r="C57" s="1811"/>
      <c r="D57" s="1811"/>
      <c r="E57" s="1811"/>
      <c r="F57" s="1811"/>
    </row>
    <row r="58" spans="1:5" ht="12.75">
      <c r="A58" s="1654" t="s">
        <v>1457</v>
      </c>
      <c r="B58" s="1654"/>
      <c r="C58" s="1654"/>
      <c r="D58" s="1654"/>
      <c r="E58" s="1654"/>
    </row>
    <row r="59" spans="1:5" ht="12.75">
      <c r="A59" s="384"/>
      <c r="B59" s="384"/>
      <c r="C59" s="384"/>
      <c r="D59" s="384"/>
      <c r="E59" s="384"/>
    </row>
    <row r="60" spans="1:6" ht="14.25">
      <c r="A60" s="1809" t="s">
        <v>1099</v>
      </c>
      <c r="B60" s="1810"/>
      <c r="C60" s="1810"/>
      <c r="D60" s="1810"/>
      <c r="E60" s="1810"/>
      <c r="F60" s="1810"/>
    </row>
    <row r="61" spans="2:6" ht="10.5" customHeight="1">
      <c r="B61" s="21"/>
      <c r="C61" s="21"/>
      <c r="D61" s="21"/>
      <c r="E61" s="21"/>
      <c r="F61" s="166"/>
    </row>
    <row r="62" spans="2:6" ht="13.5" thickBot="1">
      <c r="B62" s="37" t="s">
        <v>73</v>
      </c>
      <c r="C62" s="1"/>
      <c r="D62" s="1"/>
      <c r="E62" s="22"/>
      <c r="F62" s="22" t="s">
        <v>4</v>
      </c>
    </row>
    <row r="63" spans="1:6" ht="48.75" thickBot="1">
      <c r="A63" s="391" t="s">
        <v>311</v>
      </c>
      <c r="B63" s="298" t="s">
        <v>41</v>
      </c>
      <c r="C63" s="387" t="s">
        <v>540</v>
      </c>
      <c r="D63" s="388" t="s">
        <v>541</v>
      </c>
      <c r="E63" s="387" t="s">
        <v>536</v>
      </c>
      <c r="F63" s="388" t="s">
        <v>535</v>
      </c>
    </row>
    <row r="64" spans="1:6" ht="10.5" customHeight="1" thickBot="1">
      <c r="A64" s="477" t="s">
        <v>312</v>
      </c>
      <c r="B64" s="1339" t="s">
        <v>313</v>
      </c>
      <c r="C64" s="1340" t="s">
        <v>314</v>
      </c>
      <c r="D64" s="1341" t="s">
        <v>315</v>
      </c>
      <c r="E64" s="1341" t="s">
        <v>335</v>
      </c>
      <c r="F64" s="1342" t="s">
        <v>360</v>
      </c>
    </row>
    <row r="65" spans="1:6" ht="13.5" thickBot="1">
      <c r="A65" s="533" t="s">
        <v>316</v>
      </c>
      <c r="B65" s="282" t="s">
        <v>846</v>
      </c>
      <c r="C65" s="64">
        <f>C66+C67+C72+C81</f>
        <v>101803</v>
      </c>
      <c r="D65" s="64">
        <f>D66+D67+D72+D81</f>
        <v>0</v>
      </c>
      <c r="E65" s="64">
        <f>E66+E67+E72+E81</f>
        <v>0</v>
      </c>
      <c r="F65" s="124">
        <f>F66+F67+F72+F81</f>
        <v>101803</v>
      </c>
    </row>
    <row r="66" spans="1:6" ht="13.5" thickBot="1">
      <c r="A66" s="533" t="s">
        <v>317</v>
      </c>
      <c r="B66" s="283" t="s">
        <v>859</v>
      </c>
      <c r="C66" s="35">
        <f>'30_ sz_ melléklet'!C7</f>
        <v>100216</v>
      </c>
      <c r="D66" s="681"/>
      <c r="E66" s="681"/>
      <c r="F66" s="947">
        <f>SUM(C66:E66)</f>
        <v>100216</v>
      </c>
    </row>
    <row r="67" spans="1:6" ht="13.5" thickBot="1">
      <c r="A67" s="533" t="s">
        <v>318</v>
      </c>
      <c r="B67" s="284" t="s">
        <v>800</v>
      </c>
      <c r="C67" s="64">
        <f>C68+C69+C70+C71</f>
        <v>0</v>
      </c>
      <c r="D67" s="64">
        <f>D68+D69+D70+D71</f>
        <v>0</v>
      </c>
      <c r="E67" s="64">
        <f>E68+E69+E70+E71</f>
        <v>0</v>
      </c>
      <c r="F67" s="124">
        <f>F68+F69+F70+F71</f>
        <v>0</v>
      </c>
    </row>
    <row r="68" spans="1:6" ht="12.75">
      <c r="A68" s="683" t="s">
        <v>319</v>
      </c>
      <c r="B68" s="895" t="s">
        <v>802</v>
      </c>
      <c r="C68" s="609"/>
      <c r="D68" s="454"/>
      <c r="E68" s="454"/>
      <c r="F68" s="287"/>
    </row>
    <row r="69" spans="1:6" ht="12.75">
      <c r="A69" s="181" t="s">
        <v>320</v>
      </c>
      <c r="B69" s="896" t="s">
        <v>801</v>
      </c>
      <c r="C69" s="894"/>
      <c r="D69" s="885"/>
      <c r="E69" s="885"/>
      <c r="F69" s="287"/>
    </row>
    <row r="70" spans="1:6" ht="12.75">
      <c r="A70" s="181" t="s">
        <v>321</v>
      </c>
      <c r="B70" s="285" t="s">
        <v>803</v>
      </c>
      <c r="C70" s="894"/>
      <c r="D70" s="885"/>
      <c r="E70" s="885"/>
      <c r="F70" s="287"/>
    </row>
    <row r="71" spans="1:6" ht="13.5" thickBot="1">
      <c r="A71" s="180" t="s">
        <v>322</v>
      </c>
      <c r="B71" s="1134" t="s">
        <v>804</v>
      </c>
      <c r="C71" s="28"/>
      <c r="D71" s="245"/>
      <c r="E71" s="245"/>
      <c r="F71" s="1135"/>
    </row>
    <row r="72" spans="1:6" ht="13.5" thickBot="1">
      <c r="A72" s="533" t="s">
        <v>323</v>
      </c>
      <c r="B72" s="1137" t="s">
        <v>845</v>
      </c>
      <c r="C72" s="114">
        <f>C73+C77+C78+C79+C80</f>
        <v>1587</v>
      </c>
      <c r="D72" s="114">
        <f>D73+D77+D78+D79+D80</f>
        <v>0</v>
      </c>
      <c r="E72" s="114">
        <f>E73+E77+E78+E79+E80</f>
        <v>0</v>
      </c>
      <c r="F72" s="909">
        <f>F73+F77+F78+F79+F80</f>
        <v>1587</v>
      </c>
    </row>
    <row r="73" spans="1:6" ht="12.75">
      <c r="A73" s="180" t="s">
        <v>324</v>
      </c>
      <c r="B73" s="1136" t="s">
        <v>791</v>
      </c>
      <c r="C73" s="28">
        <f>C74+C75+C76</f>
        <v>0</v>
      </c>
      <c r="D73" s="28">
        <f>D74+D75+D76</f>
        <v>0</v>
      </c>
      <c r="E73" s="28">
        <f>E74+E75+E76</f>
        <v>0</v>
      </c>
      <c r="F73" s="123">
        <f>F74+F75+F76</f>
        <v>0</v>
      </c>
    </row>
    <row r="74" spans="1:6" ht="12.75">
      <c r="A74" s="181" t="s">
        <v>325</v>
      </c>
      <c r="B74" s="1111" t="s">
        <v>793</v>
      </c>
      <c r="C74" s="1323"/>
      <c r="D74" s="1324"/>
      <c r="E74" s="1324"/>
      <c r="F74" s="1355"/>
    </row>
    <row r="75" spans="1:6" ht="12.75">
      <c r="A75" s="873" t="s">
        <v>326</v>
      </c>
      <c r="B75" s="1112" t="s">
        <v>792</v>
      </c>
      <c r="C75" s="24"/>
      <c r="D75" s="24"/>
      <c r="E75" s="24"/>
      <c r="F75" s="121"/>
    </row>
    <row r="76" spans="1:6" ht="12.75">
      <c r="A76" s="873" t="s">
        <v>327</v>
      </c>
      <c r="B76" s="1112" t="s">
        <v>794</v>
      </c>
      <c r="C76" s="24"/>
      <c r="D76" s="910"/>
      <c r="E76" s="115"/>
      <c r="F76" s="121"/>
    </row>
    <row r="77" spans="1:6" ht="12.75">
      <c r="A77" s="873" t="s">
        <v>328</v>
      </c>
      <c r="B77" s="1113" t="s">
        <v>795</v>
      </c>
      <c r="C77" s="24"/>
      <c r="D77" s="252"/>
      <c r="E77" s="116"/>
      <c r="F77" s="121"/>
    </row>
    <row r="78" spans="1:6" ht="12.75">
      <c r="A78" s="873" t="s">
        <v>329</v>
      </c>
      <c r="B78" s="1114" t="s">
        <v>796</v>
      </c>
      <c r="C78" s="24"/>
      <c r="D78" s="252"/>
      <c r="E78" s="116"/>
      <c r="F78" s="121"/>
    </row>
    <row r="79" spans="1:6" ht="12.75">
      <c r="A79" s="873" t="s">
        <v>330</v>
      </c>
      <c r="B79" s="1115" t="s">
        <v>797</v>
      </c>
      <c r="C79" s="24">
        <f>'30_ sz_ melléklet'!C25</f>
        <v>1587</v>
      </c>
      <c r="D79" s="245"/>
      <c r="E79" s="245"/>
      <c r="F79" s="121">
        <f>SUM(C79:E79)</f>
        <v>1587</v>
      </c>
    </row>
    <row r="80" spans="1:6" ht="13.5" thickBot="1">
      <c r="A80" s="873" t="s">
        <v>331</v>
      </c>
      <c r="B80" s="1132" t="s">
        <v>843</v>
      </c>
      <c r="C80" s="28"/>
      <c r="D80" s="249"/>
      <c r="E80" s="11"/>
      <c r="F80" s="123"/>
    </row>
    <row r="81" spans="1:6" ht="13.5" thickBot="1">
      <c r="A81" s="873" t="s">
        <v>332</v>
      </c>
      <c r="B81" s="1133" t="s">
        <v>844</v>
      </c>
      <c r="C81" s="1344">
        <f>C82+C83</f>
        <v>0</v>
      </c>
      <c r="D81" s="1344">
        <f>D82+D83</f>
        <v>0</v>
      </c>
      <c r="E81" s="1344">
        <f>E82+E83</f>
        <v>0</v>
      </c>
      <c r="F81" s="158">
        <f>F82+F83</f>
        <v>0</v>
      </c>
    </row>
    <row r="82" spans="1:6" ht="12.75">
      <c r="A82" s="873" t="s">
        <v>333</v>
      </c>
      <c r="B82" s="1140" t="s">
        <v>873</v>
      </c>
      <c r="C82" s="24"/>
      <c r="D82" s="247"/>
      <c r="E82" s="247"/>
      <c r="F82" s="121"/>
    </row>
    <row r="83" spans="1:6" ht="13.5" thickBot="1">
      <c r="A83" s="873" t="s">
        <v>334</v>
      </c>
      <c r="B83" s="1143" t="s">
        <v>874</v>
      </c>
      <c r="C83" s="28"/>
      <c r="D83" s="245"/>
      <c r="E83" s="245"/>
      <c r="F83" s="123"/>
    </row>
    <row r="84" spans="1:6" ht="4.5" customHeight="1" thickBot="1">
      <c r="A84" s="873"/>
      <c r="B84" s="1327"/>
      <c r="C84" s="293"/>
      <c r="D84" s="1326"/>
      <c r="E84" s="1326"/>
      <c r="F84" s="1328"/>
    </row>
    <row r="85" spans="1:6" ht="13.5" thickBot="1">
      <c r="A85" s="873" t="s">
        <v>336</v>
      </c>
      <c r="B85" s="256" t="s">
        <v>858</v>
      </c>
      <c r="C85" s="1353">
        <f>C86+C92+C97</f>
        <v>0</v>
      </c>
      <c r="D85" s="1353">
        <f>D86+D92+D97</f>
        <v>0</v>
      </c>
      <c r="E85" s="1353">
        <f>E86+E92+E97</f>
        <v>0</v>
      </c>
      <c r="F85" s="1131">
        <f>F86+F92+F97</f>
        <v>0</v>
      </c>
    </row>
    <row r="86" spans="1:6" ht="13.5" thickBot="1">
      <c r="A86" s="533" t="s">
        <v>337</v>
      </c>
      <c r="B86" s="177" t="s">
        <v>831</v>
      </c>
      <c r="C86" s="158">
        <f>C87+C88+C89+C90+C91</f>
        <v>0</v>
      </c>
      <c r="D86" s="158">
        <f>D87+D88+D89+D90+D91</f>
        <v>0</v>
      </c>
      <c r="E86" s="158">
        <f>E87+E88+E89+E90+E91</f>
        <v>0</v>
      </c>
      <c r="F86" s="158">
        <f>F87+F88+F89+F90+F91</f>
        <v>0</v>
      </c>
    </row>
    <row r="87" spans="1:6" ht="12.75">
      <c r="A87" s="683" t="s">
        <v>338</v>
      </c>
      <c r="B87" s="122" t="s">
        <v>832</v>
      </c>
      <c r="C87" s="270"/>
      <c r="D87" s="686"/>
      <c r="E87" s="685"/>
      <c r="F87" s="685"/>
    </row>
    <row r="88" spans="1:6" ht="12.75">
      <c r="A88" s="181" t="s">
        <v>339</v>
      </c>
      <c r="B88" s="275" t="s">
        <v>833</v>
      </c>
      <c r="C88" s="183"/>
      <c r="D88" s="434"/>
      <c r="E88" s="183"/>
      <c r="F88" s="434"/>
    </row>
    <row r="89" spans="1:6" ht="12.75">
      <c r="A89" s="181" t="s">
        <v>340</v>
      </c>
      <c r="B89" s="688" t="s">
        <v>834</v>
      </c>
      <c r="C89" s="154"/>
      <c r="D89" s="146"/>
      <c r="E89" s="154"/>
      <c r="F89" s="434"/>
    </row>
    <row r="90" spans="1:6" ht="12.75">
      <c r="A90" s="181" t="s">
        <v>341</v>
      </c>
      <c r="B90" s="688" t="s">
        <v>835</v>
      </c>
      <c r="C90" s="151"/>
      <c r="D90" s="145"/>
      <c r="E90" s="151"/>
      <c r="F90" s="434"/>
    </row>
    <row r="91" spans="1:6" ht="13.5" thickBot="1">
      <c r="A91" s="728" t="s">
        <v>342</v>
      </c>
      <c r="B91" s="277" t="s">
        <v>836</v>
      </c>
      <c r="C91" s="159"/>
      <c r="D91" s="150"/>
      <c r="E91" s="159"/>
      <c r="F91" s="265"/>
    </row>
    <row r="92" spans="1:6" ht="13.5" thickBot="1">
      <c r="A92" s="533" t="s">
        <v>343</v>
      </c>
      <c r="B92" s="1329" t="s">
        <v>837</v>
      </c>
      <c r="C92" s="692">
        <f>C93+C94+C95+C96</f>
        <v>0</v>
      </c>
      <c r="D92" s="692">
        <f>D93+D94+D95+D96</f>
        <v>0</v>
      </c>
      <c r="E92" s="692">
        <f>E93+E94+E95+E96</f>
        <v>0</v>
      </c>
      <c r="F92" s="692">
        <f>F93+F94+F95+F96</f>
        <v>0</v>
      </c>
    </row>
    <row r="93" spans="1:6" ht="12.75">
      <c r="A93" s="873" t="s">
        <v>344</v>
      </c>
      <c r="B93" s="689" t="s">
        <v>838</v>
      </c>
      <c r="C93" s="159"/>
      <c r="D93" s="150"/>
      <c r="E93" s="159"/>
      <c r="F93" s="146"/>
    </row>
    <row r="94" spans="1:6" ht="12.75">
      <c r="A94" s="181" t="s">
        <v>345</v>
      </c>
      <c r="B94" s="901" t="s">
        <v>840</v>
      </c>
      <c r="C94" s="690"/>
      <c r="D94" s="944"/>
      <c r="E94" s="690"/>
      <c r="F94" s="434"/>
    </row>
    <row r="95" spans="1:6" ht="12.75">
      <c r="A95" s="181" t="s">
        <v>346</v>
      </c>
      <c r="B95" s="903" t="s">
        <v>839</v>
      </c>
      <c r="C95" s="691"/>
      <c r="D95" s="945"/>
      <c r="E95" s="691"/>
      <c r="F95" s="434"/>
    </row>
    <row r="96" spans="1:6" ht="13.5" thickBot="1">
      <c r="A96" s="728" t="s">
        <v>347</v>
      </c>
      <c r="B96" s="275" t="s">
        <v>841</v>
      </c>
      <c r="C96" s="271"/>
      <c r="D96" s="265"/>
      <c r="E96" s="271"/>
      <c r="F96" s="265"/>
    </row>
    <row r="97" spans="1:6" ht="13.5" thickBot="1">
      <c r="A97" s="533" t="s">
        <v>348</v>
      </c>
      <c r="B97" s="140" t="s">
        <v>842</v>
      </c>
      <c r="C97" s="158">
        <f>C98+C99</f>
        <v>0</v>
      </c>
      <c r="D97" s="158">
        <f>D98+D99</f>
        <v>0</v>
      </c>
      <c r="E97" s="158">
        <f>E98+E99</f>
        <v>0</v>
      </c>
      <c r="F97" s="158">
        <f>F98+F99</f>
        <v>0</v>
      </c>
    </row>
    <row r="98" spans="1:6" ht="12.75">
      <c r="A98" s="683" t="s">
        <v>349</v>
      </c>
      <c r="B98" s="903" t="s">
        <v>884</v>
      </c>
      <c r="C98" s="640"/>
      <c r="D98" s="1331"/>
      <c r="E98" s="640"/>
      <c r="F98" s="1331"/>
    </row>
    <row r="99" spans="1:6" ht="13.5" thickBot="1">
      <c r="A99" s="729" t="s">
        <v>350</v>
      </c>
      <c r="B99" s="138" t="s">
        <v>885</v>
      </c>
      <c r="C99" s="994"/>
      <c r="D99" s="994"/>
      <c r="E99" s="994"/>
      <c r="F99" s="994"/>
    </row>
    <row r="100" spans="1:6" ht="26.25" thickBot="1">
      <c r="A100" s="179" t="s">
        <v>351</v>
      </c>
      <c r="B100" s="1332" t="s">
        <v>524</v>
      </c>
      <c r="C100" s="978">
        <f>C65+C85</f>
        <v>101803</v>
      </c>
      <c r="D100" s="978">
        <f>D65+D85</f>
        <v>0</v>
      </c>
      <c r="E100" s="978">
        <f>E65+E85</f>
        <v>0</v>
      </c>
      <c r="F100" s="732">
        <f>F65+F85</f>
        <v>101803</v>
      </c>
    </row>
    <row r="101" spans="1:6" ht="13.5" thickBot="1">
      <c r="A101" s="533" t="s">
        <v>352</v>
      </c>
      <c r="B101" s="140" t="s">
        <v>857</v>
      </c>
      <c r="C101" s="1325"/>
      <c r="D101" s="1326"/>
      <c r="E101" s="1326"/>
      <c r="F101" s="1328"/>
    </row>
    <row r="102" spans="1:6" ht="12.75">
      <c r="A102" s="873" t="s">
        <v>353</v>
      </c>
      <c r="B102" s="702" t="s">
        <v>848</v>
      </c>
      <c r="C102" s="292"/>
      <c r="D102" s="254"/>
      <c r="E102" s="254"/>
      <c r="F102" s="290"/>
    </row>
    <row r="103" spans="1:6" ht="12.75">
      <c r="A103" s="181" t="s">
        <v>354</v>
      </c>
      <c r="B103" s="602" t="s">
        <v>847</v>
      </c>
      <c r="C103" s="116"/>
      <c r="D103" s="252"/>
      <c r="E103" s="252"/>
      <c r="F103" s="904"/>
    </row>
    <row r="104" spans="1:6" ht="12.75">
      <c r="A104" s="181" t="s">
        <v>355</v>
      </c>
      <c r="B104" s="602" t="s">
        <v>849</v>
      </c>
      <c r="C104" s="116"/>
      <c r="D104" s="252"/>
      <c r="E104" s="252"/>
      <c r="F104" s="904"/>
    </row>
    <row r="105" spans="1:6" ht="12.75">
      <c r="A105" s="181" t="s">
        <v>356</v>
      </c>
      <c r="B105" s="602" t="s">
        <v>850</v>
      </c>
      <c r="C105" s="116"/>
      <c r="D105" s="252"/>
      <c r="E105" s="252"/>
      <c r="F105" s="904"/>
    </row>
    <row r="106" spans="1:6" ht="12.75">
      <c r="A106" s="181" t="s">
        <v>357</v>
      </c>
      <c r="B106" s="836" t="s">
        <v>851</v>
      </c>
      <c r="C106" s="116">
        <f>'30_ sz_ melléklet'!C52</f>
        <v>375</v>
      </c>
      <c r="D106" s="252"/>
      <c r="E106" s="252"/>
      <c r="F106" s="904">
        <f>SUM(C106:E106)</f>
        <v>375</v>
      </c>
    </row>
    <row r="107" spans="1:6" ht="12.75">
      <c r="A107" s="181" t="s">
        <v>358</v>
      </c>
      <c r="B107" s="837" t="s">
        <v>852</v>
      </c>
      <c r="C107" s="116"/>
      <c r="D107" s="252"/>
      <c r="E107" s="252"/>
      <c r="F107" s="904"/>
    </row>
    <row r="108" spans="1:6" ht="12.75">
      <c r="A108" s="181" t="s">
        <v>359</v>
      </c>
      <c r="B108" s="838" t="s">
        <v>853</v>
      </c>
      <c r="C108" s="116"/>
      <c r="D108" s="252"/>
      <c r="E108" s="252"/>
      <c r="F108" s="904"/>
    </row>
    <row r="109" spans="1:6" ht="12.75">
      <c r="A109" s="181" t="s">
        <v>369</v>
      </c>
      <c r="B109" s="838" t="s">
        <v>854</v>
      </c>
      <c r="C109" s="116">
        <f>'30_ sz_ melléklet'!C55</f>
        <v>451380</v>
      </c>
      <c r="D109" s="252"/>
      <c r="E109" s="252"/>
      <c r="F109" s="904">
        <f>SUM(C109:E109)</f>
        <v>451380</v>
      </c>
    </row>
    <row r="110" spans="1:6" ht="12.75">
      <c r="A110" s="181" t="s">
        <v>370</v>
      </c>
      <c r="B110" s="838" t="s">
        <v>855</v>
      </c>
      <c r="C110" s="116"/>
      <c r="D110" s="252"/>
      <c r="E110" s="252"/>
      <c r="F110" s="904"/>
    </row>
    <row r="111" spans="1:6" ht="13.5" thickBot="1">
      <c r="A111" s="728" t="s">
        <v>371</v>
      </c>
      <c r="B111" s="1244" t="s">
        <v>856</v>
      </c>
      <c r="C111" s="927"/>
      <c r="D111" s="333"/>
      <c r="E111" s="333"/>
      <c r="F111" s="326"/>
    </row>
    <row r="112" spans="1:6" ht="13.5" thickBot="1">
      <c r="A112" s="533" t="s">
        <v>372</v>
      </c>
      <c r="B112" s="1173" t="s">
        <v>527</v>
      </c>
      <c r="C112" s="263">
        <f>SUM(C102:C111)</f>
        <v>451755</v>
      </c>
      <c r="D112" s="263">
        <f>SUM(D102:D111)</f>
        <v>0</v>
      </c>
      <c r="E112" s="263">
        <f>SUM(E102:E111)</f>
        <v>0</v>
      </c>
      <c r="F112" s="158">
        <f>SUM(F102:F111)</f>
        <v>451755</v>
      </c>
    </row>
    <row r="113" spans="1:6" ht="13.5" thickBot="1">
      <c r="A113" s="533" t="s">
        <v>373</v>
      </c>
      <c r="B113" s="140" t="s">
        <v>526</v>
      </c>
      <c r="C113" s="263">
        <f>C112+C100</f>
        <v>553558</v>
      </c>
      <c r="D113" s="263">
        <f>D112+D100</f>
        <v>0</v>
      </c>
      <c r="E113" s="263">
        <f>E112+E100</f>
        <v>0</v>
      </c>
      <c r="F113" s="158">
        <f>F112+F100</f>
        <v>553558</v>
      </c>
    </row>
    <row r="114" spans="1:6" ht="12.75">
      <c r="A114" s="1677">
        <v>3</v>
      </c>
      <c r="B114" s="1676"/>
      <c r="C114" s="1676"/>
      <c r="D114" s="1676"/>
      <c r="E114" s="1676"/>
      <c r="F114" s="1676"/>
    </row>
    <row r="115" spans="1:5" ht="12.75">
      <c r="A115" s="1654" t="s">
        <v>1457</v>
      </c>
      <c r="B115" s="1654"/>
      <c r="C115" s="1654"/>
      <c r="D115" s="1654"/>
      <c r="E115" s="1654"/>
    </row>
    <row r="116" spans="1:5" ht="12.75">
      <c r="A116" s="384"/>
      <c r="B116" s="384"/>
      <c r="C116" s="384"/>
      <c r="D116" s="384"/>
      <c r="E116" s="384"/>
    </row>
    <row r="117" spans="1:6" ht="14.25">
      <c r="A117" s="1809" t="s">
        <v>1099</v>
      </c>
      <c r="B117" s="1810"/>
      <c r="C117" s="1810"/>
      <c r="D117" s="1810"/>
      <c r="E117" s="1810"/>
      <c r="F117" s="1810"/>
    </row>
    <row r="118" spans="2:6" ht="11.25" customHeight="1">
      <c r="B118" s="21"/>
      <c r="C118" s="21"/>
      <c r="D118" s="21"/>
      <c r="E118" s="21"/>
      <c r="F118" s="166"/>
    </row>
    <row r="119" spans="2:6" ht="13.5" thickBot="1">
      <c r="B119" s="37" t="s">
        <v>433</v>
      </c>
      <c r="C119" s="1"/>
      <c r="D119" s="1"/>
      <c r="E119" s="22"/>
      <c r="F119" s="22" t="s">
        <v>4</v>
      </c>
    </row>
    <row r="120" spans="1:6" ht="48.75" thickBot="1">
      <c r="A120" s="391" t="s">
        <v>311</v>
      </c>
      <c r="B120" s="298" t="s">
        <v>41</v>
      </c>
      <c r="C120" s="387" t="s">
        <v>540</v>
      </c>
      <c r="D120" s="388" t="s">
        <v>541</v>
      </c>
      <c r="E120" s="387" t="s">
        <v>536</v>
      </c>
      <c r="F120" s="388" t="s">
        <v>535</v>
      </c>
    </row>
    <row r="121" spans="1:6" ht="13.5" thickBot="1">
      <c r="A121" s="533" t="s">
        <v>312</v>
      </c>
      <c r="B121" s="677" t="s">
        <v>313</v>
      </c>
      <c r="C121" s="678" t="s">
        <v>314</v>
      </c>
      <c r="D121" s="679" t="s">
        <v>315</v>
      </c>
      <c r="E121" s="679" t="s">
        <v>335</v>
      </c>
      <c r="F121" s="680" t="s">
        <v>360</v>
      </c>
    </row>
    <row r="122" spans="1:6" ht="13.5" thickBot="1">
      <c r="A122" s="533" t="s">
        <v>316</v>
      </c>
      <c r="B122" s="282" t="s">
        <v>846</v>
      </c>
      <c r="C122" s="64">
        <f>C123+C124+C129+C138</f>
        <v>9495</v>
      </c>
      <c r="D122" s="64">
        <f>D123+D124+D129+D138</f>
        <v>0</v>
      </c>
      <c r="E122" s="64">
        <f>E123+E124+E129+E138</f>
        <v>0</v>
      </c>
      <c r="F122" s="64">
        <f>F123+F124+F129+F138</f>
        <v>9495</v>
      </c>
    </row>
    <row r="123" spans="1:6" ht="13.5" thickBot="1">
      <c r="A123" s="533" t="s">
        <v>317</v>
      </c>
      <c r="B123" s="283" t="s">
        <v>859</v>
      </c>
      <c r="C123" s="35"/>
      <c r="D123" s="681"/>
      <c r="E123" s="681"/>
      <c r="F123" s="947"/>
    </row>
    <row r="124" spans="1:6" ht="13.5" thickBot="1">
      <c r="A124" s="533" t="s">
        <v>318</v>
      </c>
      <c r="B124" s="284" t="s">
        <v>800</v>
      </c>
      <c r="C124" s="64">
        <f>C125+C126+C127+C128</f>
        <v>0</v>
      </c>
      <c r="D124" s="64">
        <f>D125+D126+D127+D128</f>
        <v>0</v>
      </c>
      <c r="E124" s="64">
        <f>E125+E126+E127+E128</f>
        <v>0</v>
      </c>
      <c r="F124" s="64">
        <f>F125+F126+F127+F128</f>
        <v>0</v>
      </c>
    </row>
    <row r="125" spans="1:6" ht="12.75">
      <c r="A125" s="683" t="s">
        <v>319</v>
      </c>
      <c r="B125" s="895" t="s">
        <v>802</v>
      </c>
      <c r="C125" s="609"/>
      <c r="D125" s="454"/>
      <c r="E125" s="454"/>
      <c r="F125" s="287"/>
    </row>
    <row r="126" spans="1:6" ht="12.75">
      <c r="A126" s="181" t="s">
        <v>320</v>
      </c>
      <c r="B126" s="896" t="s">
        <v>801</v>
      </c>
      <c r="C126" s="894"/>
      <c r="D126" s="885"/>
      <c r="E126" s="885"/>
      <c r="F126" s="287"/>
    </row>
    <row r="127" spans="1:6" ht="12.75">
      <c r="A127" s="181" t="s">
        <v>321</v>
      </c>
      <c r="B127" s="285" t="s">
        <v>803</v>
      </c>
      <c r="C127" s="894"/>
      <c r="D127" s="885"/>
      <c r="E127" s="885"/>
      <c r="F127" s="287"/>
    </row>
    <row r="128" spans="1:6" ht="13.5" thickBot="1">
      <c r="A128" s="180" t="s">
        <v>322</v>
      </c>
      <c r="B128" s="1134" t="s">
        <v>804</v>
      </c>
      <c r="C128" s="28"/>
      <c r="D128" s="245"/>
      <c r="E128" s="245"/>
      <c r="F128" s="1135"/>
    </row>
    <row r="129" spans="1:6" ht="13.5" thickBot="1">
      <c r="A129" s="533" t="s">
        <v>323</v>
      </c>
      <c r="B129" s="1137" t="s">
        <v>845</v>
      </c>
      <c r="C129" s="114">
        <f>C130+C134+C135+C136+C137</f>
        <v>9495</v>
      </c>
      <c r="D129" s="114">
        <f>D130+D134+D135+D136+D137</f>
        <v>0</v>
      </c>
      <c r="E129" s="114">
        <f>E130+E134+E135+E136+E137</f>
        <v>0</v>
      </c>
      <c r="F129" s="114">
        <f>F130+F134+F135+F136+F137</f>
        <v>9495</v>
      </c>
    </row>
    <row r="130" spans="1:6" ht="12.75">
      <c r="A130" s="180" t="s">
        <v>324</v>
      </c>
      <c r="B130" s="1136" t="s">
        <v>791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ht="12.75">
      <c r="A131" s="181" t="s">
        <v>325</v>
      </c>
      <c r="B131" s="1111" t="s">
        <v>793</v>
      </c>
      <c r="C131" s="1323"/>
      <c r="D131" s="1324"/>
      <c r="E131" s="1324"/>
      <c r="F131" s="1324"/>
    </row>
    <row r="132" spans="1:6" ht="12.75">
      <c r="A132" s="873" t="s">
        <v>326</v>
      </c>
      <c r="B132" s="1112" t="s">
        <v>792</v>
      </c>
      <c r="C132" s="24"/>
      <c r="D132" s="24"/>
      <c r="E132" s="24"/>
      <c r="F132" s="24"/>
    </row>
    <row r="133" spans="1:6" ht="12.75">
      <c r="A133" s="873" t="s">
        <v>327</v>
      </c>
      <c r="B133" s="1112" t="s">
        <v>794</v>
      </c>
      <c r="C133" s="24"/>
      <c r="D133" s="910"/>
      <c r="E133" s="115"/>
      <c r="F133" s="121"/>
    </row>
    <row r="134" spans="1:6" ht="12.75">
      <c r="A134" s="873" t="s">
        <v>328</v>
      </c>
      <c r="B134" s="1113" t="s">
        <v>795</v>
      </c>
      <c r="C134" s="24"/>
      <c r="D134" s="252"/>
      <c r="E134" s="116"/>
      <c r="F134" s="121"/>
    </row>
    <row r="135" spans="1:6" ht="12.75">
      <c r="A135" s="873" t="s">
        <v>329</v>
      </c>
      <c r="B135" s="1114" t="s">
        <v>796</v>
      </c>
      <c r="C135" s="24"/>
      <c r="D135" s="252"/>
      <c r="E135" s="116"/>
      <c r="F135" s="121"/>
    </row>
    <row r="136" spans="1:6" ht="12.75">
      <c r="A136" s="873" t="s">
        <v>330</v>
      </c>
      <c r="B136" s="1115" t="s">
        <v>797</v>
      </c>
      <c r="C136" s="24">
        <f>'30_ sz_ melléklet'!D25</f>
        <v>9495</v>
      </c>
      <c r="D136" s="245"/>
      <c r="E136" s="245"/>
      <c r="F136" s="121">
        <f>SUM(C136:E136)</f>
        <v>9495</v>
      </c>
    </row>
    <row r="137" spans="1:6" ht="13.5" thickBot="1">
      <c r="A137" s="180" t="s">
        <v>331</v>
      </c>
      <c r="B137" s="1132" t="s">
        <v>843</v>
      </c>
      <c r="C137" s="28"/>
      <c r="D137" s="249"/>
      <c r="E137" s="11"/>
      <c r="F137" s="123"/>
    </row>
    <row r="138" spans="1:6" ht="13.5" thickBot="1">
      <c r="A138" s="533" t="s">
        <v>332</v>
      </c>
      <c r="B138" s="1133" t="s">
        <v>844</v>
      </c>
      <c r="C138" s="1344">
        <f>C139+C140</f>
        <v>0</v>
      </c>
      <c r="D138" s="1344">
        <f>D139+D140</f>
        <v>0</v>
      </c>
      <c r="E138" s="1344">
        <f>E139+E140</f>
        <v>0</v>
      </c>
      <c r="F138" s="1344">
        <f>F139+F140</f>
        <v>0</v>
      </c>
    </row>
    <row r="139" spans="1:6" ht="12.75">
      <c r="A139" s="873" t="s">
        <v>333</v>
      </c>
      <c r="B139" s="1140" t="s">
        <v>873</v>
      </c>
      <c r="C139" s="24"/>
      <c r="D139" s="247"/>
      <c r="E139" s="247"/>
      <c r="F139" s="121"/>
    </row>
    <row r="140" spans="1:6" ht="13.5" thickBot="1">
      <c r="A140" s="180" t="s">
        <v>334</v>
      </c>
      <c r="B140" s="1143" t="s">
        <v>874</v>
      </c>
      <c r="C140" s="28"/>
      <c r="D140" s="245"/>
      <c r="E140" s="245"/>
      <c r="F140" s="123"/>
    </row>
    <row r="141" spans="1:6" ht="6.75" customHeight="1" thickBot="1">
      <c r="A141" s="533"/>
      <c r="B141" s="1327"/>
      <c r="C141" s="293"/>
      <c r="D141" s="1326"/>
      <c r="E141" s="1326"/>
      <c r="F141" s="1328"/>
    </row>
    <row r="142" spans="1:6" ht="13.5" thickBot="1">
      <c r="A142" s="533" t="s">
        <v>336</v>
      </c>
      <c r="B142" s="256" t="s">
        <v>858</v>
      </c>
      <c r="C142" s="1353">
        <f>C143+C149+C154</f>
        <v>0</v>
      </c>
      <c r="D142" s="1353">
        <f>D143+D149+D154</f>
        <v>0</v>
      </c>
      <c r="E142" s="1353">
        <f>E143+E149+E154</f>
        <v>0</v>
      </c>
      <c r="F142" s="1353">
        <f>F143+F149+F154</f>
        <v>0</v>
      </c>
    </row>
    <row r="143" spans="1:6" ht="13.5" thickBot="1">
      <c r="A143" s="533" t="s">
        <v>337</v>
      </c>
      <c r="B143" s="177" t="s">
        <v>831</v>
      </c>
      <c r="C143" s="158">
        <f>C144+C145+C146+C147+C148</f>
        <v>0</v>
      </c>
      <c r="D143" s="158">
        <f>D144+D145+D146+D147+D148</f>
        <v>0</v>
      </c>
      <c r="E143" s="158">
        <f>E144+E145+E146+E147+E148</f>
        <v>0</v>
      </c>
      <c r="F143" s="158">
        <f>F144+F145+F146+F147+F148</f>
        <v>0</v>
      </c>
    </row>
    <row r="144" spans="1:6" ht="12.75">
      <c r="A144" s="683" t="s">
        <v>338</v>
      </c>
      <c r="B144" s="122" t="s">
        <v>832</v>
      </c>
      <c r="C144" s="270"/>
      <c r="D144" s="686"/>
      <c r="E144" s="685"/>
      <c r="F144" s="685"/>
    </row>
    <row r="145" spans="1:6" ht="12.75">
      <c r="A145" s="181" t="s">
        <v>339</v>
      </c>
      <c r="B145" s="275" t="s">
        <v>833</v>
      </c>
      <c r="C145" s="183"/>
      <c r="D145" s="434"/>
      <c r="E145" s="183"/>
      <c r="F145" s="434"/>
    </row>
    <row r="146" spans="1:6" ht="12.75">
      <c r="A146" s="181" t="s">
        <v>340</v>
      </c>
      <c r="B146" s="688" t="s">
        <v>834</v>
      </c>
      <c r="C146" s="154"/>
      <c r="D146" s="146"/>
      <c r="E146" s="154"/>
      <c r="F146" s="434"/>
    </row>
    <row r="147" spans="1:6" ht="12.75">
      <c r="A147" s="181" t="s">
        <v>341</v>
      </c>
      <c r="B147" s="688" t="s">
        <v>835</v>
      </c>
      <c r="C147" s="151"/>
      <c r="D147" s="145"/>
      <c r="E147" s="151"/>
      <c r="F147" s="434"/>
    </row>
    <row r="148" spans="1:6" ht="13.5" thickBot="1">
      <c r="A148" s="728" t="s">
        <v>342</v>
      </c>
      <c r="B148" s="277" t="s">
        <v>836</v>
      </c>
      <c r="C148" s="159"/>
      <c r="D148" s="150"/>
      <c r="E148" s="159"/>
      <c r="F148" s="265"/>
    </row>
    <row r="149" spans="1:6" ht="13.5" thickBot="1">
      <c r="A149" s="533" t="s">
        <v>343</v>
      </c>
      <c r="B149" s="1329" t="s">
        <v>837</v>
      </c>
      <c r="C149" s="692">
        <f>C150+C151+C152+C153</f>
        <v>0</v>
      </c>
      <c r="D149" s="692">
        <f>D150+D151+D152+D153</f>
        <v>0</v>
      </c>
      <c r="E149" s="692">
        <f>E150+E151+E152+E153</f>
        <v>0</v>
      </c>
      <c r="F149" s="692">
        <f>F150+F151+F152+F153</f>
        <v>0</v>
      </c>
    </row>
    <row r="150" spans="1:6" ht="12.75">
      <c r="A150" s="873" t="s">
        <v>344</v>
      </c>
      <c r="B150" s="689" t="s">
        <v>838</v>
      </c>
      <c r="C150" s="159"/>
      <c r="D150" s="150"/>
      <c r="E150" s="159"/>
      <c r="F150" s="146"/>
    </row>
    <row r="151" spans="1:6" ht="12.75">
      <c r="A151" s="181" t="s">
        <v>345</v>
      </c>
      <c r="B151" s="901" t="s">
        <v>840</v>
      </c>
      <c r="C151" s="690"/>
      <c r="D151" s="944"/>
      <c r="E151" s="690"/>
      <c r="F151" s="434"/>
    </row>
    <row r="152" spans="1:6" ht="12.75">
      <c r="A152" s="181" t="s">
        <v>346</v>
      </c>
      <c r="B152" s="903" t="s">
        <v>839</v>
      </c>
      <c r="C152" s="691"/>
      <c r="D152" s="945"/>
      <c r="E152" s="691"/>
      <c r="F152" s="434"/>
    </row>
    <row r="153" spans="1:6" ht="13.5" thickBot="1">
      <c r="A153" s="728" t="s">
        <v>347</v>
      </c>
      <c r="B153" s="275" t="s">
        <v>841</v>
      </c>
      <c r="C153" s="271"/>
      <c r="D153" s="265"/>
      <c r="E153" s="271"/>
      <c r="F153" s="265"/>
    </row>
    <row r="154" spans="1:6" ht="13.5" thickBot="1">
      <c r="A154" s="533" t="s">
        <v>348</v>
      </c>
      <c r="B154" s="140" t="s">
        <v>842</v>
      </c>
      <c r="C154" s="158">
        <f>C155+C156</f>
        <v>0</v>
      </c>
      <c r="D154" s="158">
        <f>D155+D156</f>
        <v>0</v>
      </c>
      <c r="E154" s="158">
        <f>E155+E156</f>
        <v>0</v>
      </c>
      <c r="F154" s="158">
        <f>F155+F156</f>
        <v>0</v>
      </c>
    </row>
    <row r="155" spans="1:6" ht="12.75">
      <c r="A155" s="683" t="s">
        <v>349</v>
      </c>
      <c r="B155" s="903" t="s">
        <v>884</v>
      </c>
      <c r="C155" s="640"/>
      <c r="D155" s="1331"/>
      <c r="E155" s="640"/>
      <c r="F155" s="1331"/>
    </row>
    <row r="156" spans="1:6" ht="13.5" thickBot="1">
      <c r="A156" s="729" t="s">
        <v>350</v>
      </c>
      <c r="B156" s="138" t="s">
        <v>885</v>
      </c>
      <c r="C156" s="994"/>
      <c r="D156" s="994"/>
      <c r="E156" s="994"/>
      <c r="F156" s="994"/>
    </row>
    <row r="157" spans="1:6" ht="26.25" thickBot="1">
      <c r="A157" s="179" t="s">
        <v>351</v>
      </c>
      <c r="B157" s="1332" t="s">
        <v>524</v>
      </c>
      <c r="C157" s="978">
        <f>C122+C142</f>
        <v>9495</v>
      </c>
      <c r="D157" s="978">
        <f>D122+D142</f>
        <v>0</v>
      </c>
      <c r="E157" s="978">
        <f>E122+E142</f>
        <v>0</v>
      </c>
      <c r="F157" s="978">
        <f>F122+F142</f>
        <v>9495</v>
      </c>
    </row>
    <row r="158" spans="1:6" ht="13.5" thickBot="1">
      <c r="A158" s="533" t="s">
        <v>352</v>
      </c>
      <c r="B158" s="140" t="s">
        <v>857</v>
      </c>
      <c r="C158" s="1325"/>
      <c r="D158" s="1326"/>
      <c r="E158" s="1326"/>
      <c r="F158" s="1328"/>
    </row>
    <row r="159" spans="1:6" ht="12.75">
      <c r="A159" s="873" t="s">
        <v>353</v>
      </c>
      <c r="B159" s="702" t="s">
        <v>848</v>
      </c>
      <c r="C159" s="292"/>
      <c r="D159" s="254"/>
      <c r="E159" s="254"/>
      <c r="F159" s="290"/>
    </row>
    <row r="160" spans="1:6" ht="12.75">
      <c r="A160" s="181" t="s">
        <v>354</v>
      </c>
      <c r="B160" s="602" t="s">
        <v>847</v>
      </c>
      <c r="C160" s="116"/>
      <c r="D160" s="252"/>
      <c r="E160" s="252"/>
      <c r="F160" s="904"/>
    </row>
    <row r="161" spans="1:6" ht="12.75">
      <c r="A161" s="181" t="s">
        <v>355</v>
      </c>
      <c r="B161" s="602" t="s">
        <v>849</v>
      </c>
      <c r="C161" s="116"/>
      <c r="D161" s="252"/>
      <c r="E161" s="252"/>
      <c r="F161" s="904"/>
    </row>
    <row r="162" spans="1:6" ht="12.75">
      <c r="A162" s="181" t="s">
        <v>356</v>
      </c>
      <c r="B162" s="602" t="s">
        <v>850</v>
      </c>
      <c r="C162" s="116"/>
      <c r="D162" s="252"/>
      <c r="E162" s="252"/>
      <c r="F162" s="904"/>
    </row>
    <row r="163" spans="1:6" ht="12.75">
      <c r="A163" s="181" t="s">
        <v>357</v>
      </c>
      <c r="B163" s="836" t="s">
        <v>851</v>
      </c>
      <c r="C163" s="116">
        <f>'30_ sz_ melléklet'!D52</f>
        <v>560</v>
      </c>
      <c r="D163" s="252"/>
      <c r="E163" s="252"/>
      <c r="F163" s="904">
        <f>SUM(C163:E163)</f>
        <v>560</v>
      </c>
    </row>
    <row r="164" spans="1:6" ht="12.75">
      <c r="A164" s="181" t="s">
        <v>358</v>
      </c>
      <c r="B164" s="837" t="s">
        <v>852</v>
      </c>
      <c r="C164" s="116"/>
      <c r="D164" s="252"/>
      <c r="E164" s="252"/>
      <c r="F164" s="904"/>
    </row>
    <row r="165" spans="1:6" ht="12.75">
      <c r="A165" s="181" t="s">
        <v>359</v>
      </c>
      <c r="B165" s="838" t="s">
        <v>853</v>
      </c>
      <c r="C165" s="116"/>
      <c r="D165" s="252"/>
      <c r="E165" s="252"/>
      <c r="F165" s="904"/>
    </row>
    <row r="166" spans="1:6" ht="12.75">
      <c r="A166" s="181" t="s">
        <v>369</v>
      </c>
      <c r="B166" s="838" t="s">
        <v>854</v>
      </c>
      <c r="C166" s="116">
        <f>'30_ sz_ melléklet'!D55</f>
        <v>378650</v>
      </c>
      <c r="D166" s="252"/>
      <c r="E166" s="252"/>
      <c r="F166" s="904">
        <f>SUM(C166:E166)</f>
        <v>378650</v>
      </c>
    </row>
    <row r="167" spans="1:6" ht="12.75">
      <c r="A167" s="181" t="s">
        <v>370</v>
      </c>
      <c r="B167" s="838" t="s">
        <v>855</v>
      </c>
      <c r="C167" s="116"/>
      <c r="D167" s="252"/>
      <c r="E167" s="252"/>
      <c r="F167" s="904"/>
    </row>
    <row r="168" spans="1:6" ht="13.5" thickBot="1">
      <c r="A168" s="728" t="s">
        <v>371</v>
      </c>
      <c r="B168" s="1244" t="s">
        <v>856</v>
      </c>
      <c r="C168" s="927"/>
      <c r="D168" s="333"/>
      <c r="E168" s="333"/>
      <c r="F168" s="326"/>
    </row>
    <row r="169" spans="1:6" ht="13.5" thickBot="1">
      <c r="A169" s="533" t="s">
        <v>372</v>
      </c>
      <c r="B169" s="1173" t="s">
        <v>527</v>
      </c>
      <c r="C169" s="263">
        <f>SUM(C159:C168)</f>
        <v>379210</v>
      </c>
      <c r="D169" s="263">
        <f>SUM(D159:D168)</f>
        <v>0</v>
      </c>
      <c r="E169" s="263">
        <f>SUM(E159:E168)</f>
        <v>0</v>
      </c>
      <c r="F169" s="158">
        <f>SUM(F159:F168)</f>
        <v>379210</v>
      </c>
    </row>
    <row r="170" spans="1:6" ht="13.5" thickBot="1">
      <c r="A170" s="533" t="s">
        <v>373</v>
      </c>
      <c r="B170" s="140" t="s">
        <v>526</v>
      </c>
      <c r="C170" s="263">
        <f>C169+C157</f>
        <v>388705</v>
      </c>
      <c r="D170" s="263">
        <f>D169+D157</f>
        <v>0</v>
      </c>
      <c r="E170" s="263">
        <f>E169+E157</f>
        <v>0</v>
      </c>
      <c r="F170" s="158">
        <f>F169+F157</f>
        <v>388705</v>
      </c>
    </row>
    <row r="171" spans="1:6" ht="12.75">
      <c r="A171" s="1677">
        <v>4</v>
      </c>
      <c r="B171" s="1676"/>
      <c r="C171" s="1676"/>
      <c r="D171" s="1676"/>
      <c r="E171" s="1676"/>
      <c r="F171" s="1676"/>
    </row>
    <row r="172" spans="1:5" ht="12.75">
      <c r="A172" s="1654" t="s">
        <v>1457</v>
      </c>
      <c r="B172" s="1654"/>
      <c r="C172" s="1654"/>
      <c r="D172" s="1654"/>
      <c r="E172" s="1654"/>
    </row>
    <row r="173" spans="1:5" ht="12.75">
      <c r="A173" s="384"/>
      <c r="B173" s="384"/>
      <c r="C173" s="384"/>
      <c r="D173" s="384"/>
      <c r="E173" s="384"/>
    </row>
    <row r="174" spans="1:6" ht="14.25">
      <c r="A174" s="1809" t="s">
        <v>1099</v>
      </c>
      <c r="B174" s="1810"/>
      <c r="C174" s="1810"/>
      <c r="D174" s="1810"/>
      <c r="E174" s="1810"/>
      <c r="F174" s="1810"/>
    </row>
    <row r="175" spans="2:6" ht="9" customHeight="1">
      <c r="B175" s="21"/>
      <c r="C175" s="21"/>
      <c r="D175" s="21"/>
      <c r="E175" s="21"/>
      <c r="F175" s="166"/>
    </row>
    <row r="176" spans="2:6" ht="13.5" thickBot="1">
      <c r="B176" s="37" t="s">
        <v>465</v>
      </c>
      <c r="C176" s="1"/>
      <c r="D176" s="1"/>
      <c r="E176" s="22"/>
      <c r="F176" s="22" t="s">
        <v>4</v>
      </c>
    </row>
    <row r="177" spans="1:6" ht="48.75" thickBot="1">
      <c r="A177" s="391" t="s">
        <v>311</v>
      </c>
      <c r="B177" s="298" t="s">
        <v>41</v>
      </c>
      <c r="C177" s="387" t="s">
        <v>540</v>
      </c>
      <c r="D177" s="388" t="s">
        <v>541</v>
      </c>
      <c r="E177" s="387" t="s">
        <v>536</v>
      </c>
      <c r="F177" s="388" t="s">
        <v>535</v>
      </c>
    </row>
    <row r="178" spans="1:6" ht="13.5" thickBot="1">
      <c r="A178" s="533" t="s">
        <v>312</v>
      </c>
      <c r="B178" s="677" t="s">
        <v>313</v>
      </c>
      <c r="C178" s="678" t="s">
        <v>314</v>
      </c>
      <c r="D178" s="679" t="s">
        <v>315</v>
      </c>
      <c r="E178" s="679" t="s">
        <v>335</v>
      </c>
      <c r="F178" s="680" t="s">
        <v>360</v>
      </c>
    </row>
    <row r="179" spans="1:6" ht="13.5" thickBot="1">
      <c r="A179" s="533" t="s">
        <v>316</v>
      </c>
      <c r="B179" s="282" t="s">
        <v>846</v>
      </c>
      <c r="C179" s="64">
        <f>C180+C181+C186+C195</f>
        <v>7632</v>
      </c>
      <c r="D179" s="64"/>
      <c r="E179" s="64"/>
      <c r="F179" s="124">
        <f>SUM(C179:E179)</f>
        <v>7632</v>
      </c>
    </row>
    <row r="180" spans="1:6" ht="13.5" thickBot="1">
      <c r="A180" s="533" t="s">
        <v>317</v>
      </c>
      <c r="B180" s="283" t="s">
        <v>859</v>
      </c>
      <c r="C180" s="35">
        <f>'31_sz_ melléklet'!E7</f>
        <v>0</v>
      </c>
      <c r="D180" s="681"/>
      <c r="E180" s="681"/>
      <c r="F180" s="947">
        <f>SUM(C180:E180)</f>
        <v>0</v>
      </c>
    </row>
    <row r="181" spans="1:6" ht="13.5" thickBot="1">
      <c r="A181" s="533" t="s">
        <v>318</v>
      </c>
      <c r="B181" s="284" t="s">
        <v>800</v>
      </c>
      <c r="C181" s="64">
        <f>C182+C183+C184+C185</f>
        <v>0</v>
      </c>
      <c r="D181" s="64">
        <f>D182+D183+D184+D185</f>
        <v>0</v>
      </c>
      <c r="E181" s="64">
        <f>E182+E183+E184+E185</f>
        <v>0</v>
      </c>
      <c r="F181" s="64">
        <f>F182+F183+F184+F185</f>
        <v>0</v>
      </c>
    </row>
    <row r="182" spans="1:6" ht="12.75">
      <c r="A182" s="683" t="s">
        <v>319</v>
      </c>
      <c r="B182" s="895" t="s">
        <v>802</v>
      </c>
      <c r="C182" s="609"/>
      <c r="D182" s="454"/>
      <c r="E182" s="454"/>
      <c r="F182" s="287"/>
    </row>
    <row r="183" spans="1:6" ht="12.75">
      <c r="A183" s="181" t="s">
        <v>320</v>
      </c>
      <c r="B183" s="896" t="s">
        <v>801</v>
      </c>
      <c r="C183" s="894"/>
      <c r="D183" s="885"/>
      <c r="E183" s="885"/>
      <c r="F183" s="287"/>
    </row>
    <row r="184" spans="1:6" ht="12.75">
      <c r="A184" s="181" t="s">
        <v>321</v>
      </c>
      <c r="B184" s="285" t="s">
        <v>803</v>
      </c>
      <c r="C184" s="894"/>
      <c r="D184" s="885"/>
      <c r="E184" s="885"/>
      <c r="F184" s="287"/>
    </row>
    <row r="185" spans="1:6" ht="13.5" thickBot="1">
      <c r="A185" s="180" t="s">
        <v>322</v>
      </c>
      <c r="B185" s="1134" t="s">
        <v>804</v>
      </c>
      <c r="C185" s="28"/>
      <c r="D185" s="245"/>
      <c r="E185" s="245"/>
      <c r="F185" s="1135"/>
    </row>
    <row r="186" spans="1:6" ht="13.5" thickBot="1">
      <c r="A186" s="533" t="s">
        <v>323</v>
      </c>
      <c r="B186" s="1137" t="s">
        <v>845</v>
      </c>
      <c r="C186" s="114">
        <f>C187+C191+C192+C193+C194</f>
        <v>7632</v>
      </c>
      <c r="D186" s="114">
        <f>D187+D191+D192+D193+D194</f>
        <v>0</v>
      </c>
      <c r="E186" s="114">
        <f>E187+E191+E192+E193+E194</f>
        <v>0</v>
      </c>
      <c r="F186" s="114">
        <f>F187+F191+F192+F193+F194</f>
        <v>7632</v>
      </c>
    </row>
    <row r="187" spans="1:6" ht="12.75">
      <c r="A187" s="180" t="s">
        <v>324</v>
      </c>
      <c r="B187" s="1136" t="s">
        <v>791</v>
      </c>
      <c r="C187" s="28">
        <f>C188+C189+C190</f>
        <v>0</v>
      </c>
      <c r="D187" s="28">
        <f>D188+D189+D190</f>
        <v>0</v>
      </c>
      <c r="E187" s="28">
        <f>E188+E189+E190</f>
        <v>0</v>
      </c>
      <c r="F187" s="28">
        <f>F188+F189+F190</f>
        <v>0</v>
      </c>
    </row>
    <row r="188" spans="1:6" ht="12.75">
      <c r="A188" s="181" t="s">
        <v>325</v>
      </c>
      <c r="B188" s="1111" t="s">
        <v>793</v>
      </c>
      <c r="C188" s="1323"/>
      <c r="D188" s="1324"/>
      <c r="E188" s="1324"/>
      <c r="F188" s="1324"/>
    </row>
    <row r="189" spans="1:6" ht="12.75">
      <c r="A189" s="873" t="s">
        <v>326</v>
      </c>
      <c r="B189" s="1112" t="s">
        <v>792</v>
      </c>
      <c r="C189" s="24"/>
      <c r="D189" s="24"/>
      <c r="E189" s="24"/>
      <c r="F189" s="24"/>
    </row>
    <row r="190" spans="1:6" ht="12.75">
      <c r="A190" s="873" t="s">
        <v>327</v>
      </c>
      <c r="B190" s="1112" t="s">
        <v>794</v>
      </c>
      <c r="C190" s="24"/>
      <c r="D190" s="910"/>
      <c r="E190" s="115"/>
      <c r="F190" s="121"/>
    </row>
    <row r="191" spans="1:6" ht="12.75">
      <c r="A191" s="873" t="s">
        <v>328</v>
      </c>
      <c r="B191" s="1113" t="s">
        <v>795</v>
      </c>
      <c r="C191" s="24"/>
      <c r="D191" s="252"/>
      <c r="E191" s="116"/>
      <c r="F191" s="121"/>
    </row>
    <row r="192" spans="1:6" ht="12.75">
      <c r="A192" s="873" t="s">
        <v>329</v>
      </c>
      <c r="B192" s="1114" t="s">
        <v>796</v>
      </c>
      <c r="C192" s="24"/>
      <c r="D192" s="252"/>
      <c r="E192" s="116"/>
      <c r="F192" s="121"/>
    </row>
    <row r="193" spans="1:6" ht="12.75">
      <c r="A193" s="873" t="s">
        <v>330</v>
      </c>
      <c r="B193" s="1115" t="s">
        <v>797</v>
      </c>
      <c r="C193" s="24">
        <f>'19 21_sz_ melléklet'!C67</f>
        <v>7632</v>
      </c>
      <c r="D193" s="245"/>
      <c r="E193" s="245"/>
      <c r="F193" s="121">
        <f>SUM(C193:E193)</f>
        <v>7632</v>
      </c>
    </row>
    <row r="194" spans="1:6" ht="13.5" thickBot="1">
      <c r="A194" s="180" t="s">
        <v>331</v>
      </c>
      <c r="B194" s="1132" t="s">
        <v>843</v>
      </c>
      <c r="C194" s="28"/>
      <c r="D194" s="249"/>
      <c r="E194" s="11"/>
      <c r="F194" s="123"/>
    </row>
    <row r="195" spans="1:6" ht="13.5" thickBot="1">
      <c r="A195" s="533" t="s">
        <v>332</v>
      </c>
      <c r="B195" s="1133" t="s">
        <v>844</v>
      </c>
      <c r="C195" s="1344">
        <f>C196+C197</f>
        <v>0</v>
      </c>
      <c r="D195" s="1344">
        <f>D196+D197</f>
        <v>0</v>
      </c>
      <c r="E195" s="1344">
        <f>E196+E197</f>
        <v>0</v>
      </c>
      <c r="F195" s="1344">
        <f>F196+F197</f>
        <v>0</v>
      </c>
    </row>
    <row r="196" spans="1:6" ht="12.75">
      <c r="A196" s="683" t="s">
        <v>333</v>
      </c>
      <c r="B196" s="1140" t="s">
        <v>873</v>
      </c>
      <c r="C196" s="24"/>
      <c r="D196" s="247"/>
      <c r="E196" s="247"/>
      <c r="F196" s="121"/>
    </row>
    <row r="197" spans="1:6" ht="13.5" thickBot="1">
      <c r="A197" s="729" t="s">
        <v>334</v>
      </c>
      <c r="B197" s="1143" t="s">
        <v>874</v>
      </c>
      <c r="C197" s="1335"/>
      <c r="D197" s="1336"/>
      <c r="E197" s="1336"/>
      <c r="F197" s="1130"/>
    </row>
    <row r="198" spans="1:6" ht="3.75" customHeight="1" thickBot="1">
      <c r="A198" s="873"/>
      <c r="B198" s="1327"/>
      <c r="C198" s="28"/>
      <c r="D198" s="245"/>
      <c r="E198" s="245"/>
      <c r="F198" s="123"/>
    </row>
    <row r="199" spans="1:6" ht="13.5" thickBot="1">
      <c r="A199" s="533" t="s">
        <v>336</v>
      </c>
      <c r="B199" s="256" t="s">
        <v>858</v>
      </c>
      <c r="C199" s="1344">
        <f>C200+C206+C211</f>
        <v>120</v>
      </c>
      <c r="D199" s="114">
        <f>D200+D206+D211</f>
        <v>0</v>
      </c>
      <c r="E199" s="114">
        <f>E200+E206+E211</f>
        <v>0</v>
      </c>
      <c r="F199" s="909">
        <f>F200+F206+F211</f>
        <v>120</v>
      </c>
    </row>
    <row r="200" spans="1:6" ht="13.5" thickBot="1">
      <c r="A200" s="533" t="s">
        <v>337</v>
      </c>
      <c r="B200" s="177" t="s">
        <v>831</v>
      </c>
      <c r="C200" s="158">
        <f>C201+C202+C203+C204+C205</f>
        <v>0</v>
      </c>
      <c r="D200" s="158">
        <f>D201+D202+D203+D204+D205</f>
        <v>0</v>
      </c>
      <c r="E200" s="158">
        <f>E201+E202+E203+E204+E205</f>
        <v>0</v>
      </c>
      <c r="F200" s="158">
        <f>F201+F202+F203+F204+F205</f>
        <v>0</v>
      </c>
    </row>
    <row r="201" spans="1:6" ht="12.75">
      <c r="A201" s="683" t="s">
        <v>338</v>
      </c>
      <c r="B201" s="122" t="s">
        <v>832</v>
      </c>
      <c r="C201" s="270"/>
      <c r="D201" s="686"/>
      <c r="E201" s="685"/>
      <c r="F201" s="685"/>
    </row>
    <row r="202" spans="1:6" ht="12.75">
      <c r="A202" s="181" t="s">
        <v>339</v>
      </c>
      <c r="B202" s="275" t="s">
        <v>833</v>
      </c>
      <c r="C202" s="183"/>
      <c r="D202" s="434"/>
      <c r="E202" s="183"/>
      <c r="F202" s="434"/>
    </row>
    <row r="203" spans="1:6" ht="12.75">
      <c r="A203" s="181" t="s">
        <v>340</v>
      </c>
      <c r="B203" s="688" t="s">
        <v>834</v>
      </c>
      <c r="C203" s="154"/>
      <c r="D203" s="146"/>
      <c r="E203" s="154"/>
      <c r="F203" s="434"/>
    </row>
    <row r="204" spans="1:6" ht="13.5" thickBot="1">
      <c r="A204" s="728" t="s">
        <v>341</v>
      </c>
      <c r="B204" s="688" t="s">
        <v>835</v>
      </c>
      <c r="C204" s="151"/>
      <c r="D204" s="145"/>
      <c r="E204" s="151"/>
      <c r="F204" s="434"/>
    </row>
    <row r="205" spans="1:6" ht="13.5" thickBot="1">
      <c r="A205" s="683" t="s">
        <v>342</v>
      </c>
      <c r="B205" s="277" t="s">
        <v>836</v>
      </c>
      <c r="C205" s="159"/>
      <c r="D205" s="150"/>
      <c r="E205" s="159"/>
      <c r="F205" s="265"/>
    </row>
    <row r="206" spans="1:6" ht="13.5" thickBot="1">
      <c r="A206" s="684" t="s">
        <v>343</v>
      </c>
      <c r="B206" s="1329" t="s">
        <v>837</v>
      </c>
      <c r="C206" s="692">
        <f>C207+C208+C209+C210</f>
        <v>0</v>
      </c>
      <c r="D206" s="692">
        <f>D207+D208+D209+D210</f>
        <v>0</v>
      </c>
      <c r="E206" s="692">
        <f>E207+E208+E209+E210</f>
        <v>0</v>
      </c>
      <c r="F206" s="692">
        <f>F207+F208+F209+F210</f>
        <v>0</v>
      </c>
    </row>
    <row r="207" spans="1:6" ht="12.75">
      <c r="A207" s="873" t="s">
        <v>344</v>
      </c>
      <c r="B207" s="689" t="s">
        <v>838</v>
      </c>
      <c r="C207" s="159"/>
      <c r="D207" s="150"/>
      <c r="E207" s="159"/>
      <c r="F207" s="146"/>
    </row>
    <row r="208" spans="1:6" ht="12.75">
      <c r="A208" s="181" t="s">
        <v>345</v>
      </c>
      <c r="B208" s="901" t="s">
        <v>840</v>
      </c>
      <c r="C208" s="690"/>
      <c r="D208" s="944"/>
      <c r="E208" s="690"/>
      <c r="F208" s="434"/>
    </row>
    <row r="209" spans="1:6" ht="12.75">
      <c r="A209" s="181" t="s">
        <v>346</v>
      </c>
      <c r="B209" s="903" t="s">
        <v>839</v>
      </c>
      <c r="C209" s="691"/>
      <c r="D209" s="945"/>
      <c r="E209" s="691"/>
      <c r="F209" s="434"/>
    </row>
    <row r="210" spans="1:6" ht="13.5" thickBot="1">
      <c r="A210" s="728" t="s">
        <v>347</v>
      </c>
      <c r="B210" s="275" t="s">
        <v>841</v>
      </c>
      <c r="C210" s="271"/>
      <c r="D210" s="265"/>
      <c r="E210" s="271"/>
      <c r="F210" s="265"/>
    </row>
    <row r="211" spans="1:6" ht="13.5" thickBot="1">
      <c r="A211" s="533" t="s">
        <v>348</v>
      </c>
      <c r="B211" s="140" t="s">
        <v>842</v>
      </c>
      <c r="C211" s="158">
        <f>C212+C213</f>
        <v>120</v>
      </c>
      <c r="D211" s="158">
        <f>D212+D213</f>
        <v>0</v>
      </c>
      <c r="E211" s="158">
        <f>E212+E213</f>
        <v>0</v>
      </c>
      <c r="F211" s="158">
        <f>F212+F213</f>
        <v>120</v>
      </c>
    </row>
    <row r="212" spans="1:6" ht="12.75">
      <c r="A212" s="683" t="s">
        <v>349</v>
      </c>
      <c r="B212" s="903" t="s">
        <v>884</v>
      </c>
      <c r="C212" s="640">
        <v>120</v>
      </c>
      <c r="D212" s="1331"/>
      <c r="E212" s="640"/>
      <c r="F212" s="1331">
        <f>SUM(C212:E212)</f>
        <v>120</v>
      </c>
    </row>
    <row r="213" spans="1:6" ht="13.5" thickBot="1">
      <c r="A213" s="729" t="s">
        <v>350</v>
      </c>
      <c r="B213" s="138" t="s">
        <v>885</v>
      </c>
      <c r="C213" s="994"/>
      <c r="D213" s="994"/>
      <c r="E213" s="994"/>
      <c r="F213" s="994"/>
    </row>
    <row r="214" spans="1:6" ht="26.25" thickBot="1">
      <c r="A214" s="729" t="s">
        <v>351</v>
      </c>
      <c r="B214" s="1332" t="s">
        <v>524</v>
      </c>
      <c r="C214" s="978">
        <f>C179+C199</f>
        <v>7752</v>
      </c>
      <c r="D214" s="978">
        <f>D179+D199</f>
        <v>0</v>
      </c>
      <c r="E214" s="978">
        <f>E179+E199</f>
        <v>0</v>
      </c>
      <c r="F214" s="978">
        <f>F179+F199</f>
        <v>7752</v>
      </c>
    </row>
    <row r="215" spans="1:6" ht="13.5" thickBot="1">
      <c r="A215" s="729" t="s">
        <v>352</v>
      </c>
      <c r="B215" s="140" t="s">
        <v>857</v>
      </c>
      <c r="C215" s="1325"/>
      <c r="D215" s="1326"/>
      <c r="E215" s="1326"/>
      <c r="F215" s="1328"/>
    </row>
    <row r="216" spans="1:6" ht="12.75">
      <c r="A216" s="683" t="s">
        <v>353</v>
      </c>
      <c r="B216" s="702" t="s">
        <v>848</v>
      </c>
      <c r="C216" s="292"/>
      <c r="D216" s="254"/>
      <c r="E216" s="254"/>
      <c r="F216" s="290"/>
    </row>
    <row r="217" spans="1:6" ht="12.75">
      <c r="A217" s="181" t="s">
        <v>354</v>
      </c>
      <c r="B217" s="602" t="s">
        <v>847</v>
      </c>
      <c r="C217" s="116"/>
      <c r="D217" s="252"/>
      <c r="E217" s="252"/>
      <c r="F217" s="904"/>
    </row>
    <row r="218" spans="1:6" ht="12.75">
      <c r="A218" s="181" t="s">
        <v>355</v>
      </c>
      <c r="B218" s="602" t="s">
        <v>849</v>
      </c>
      <c r="C218" s="116"/>
      <c r="D218" s="252"/>
      <c r="E218" s="252"/>
      <c r="F218" s="904"/>
    </row>
    <row r="219" spans="1:6" ht="12.75">
      <c r="A219" s="181" t="s">
        <v>356</v>
      </c>
      <c r="B219" s="602" t="s">
        <v>850</v>
      </c>
      <c r="C219" s="116"/>
      <c r="D219" s="252"/>
      <c r="E219" s="252"/>
      <c r="F219" s="904"/>
    </row>
    <row r="220" spans="1:6" ht="12.75">
      <c r="A220" s="181" t="s">
        <v>357</v>
      </c>
      <c r="B220" s="836" t="s">
        <v>851</v>
      </c>
      <c r="C220" s="116">
        <f>'31_sz_ melléklet'!C51</f>
        <v>7286</v>
      </c>
      <c r="D220" s="252"/>
      <c r="E220" s="252"/>
      <c r="F220" s="904">
        <f>SUM(C220:E220)</f>
        <v>7286</v>
      </c>
    </row>
    <row r="221" spans="1:6" ht="12.75">
      <c r="A221" s="181" t="s">
        <v>358</v>
      </c>
      <c r="B221" s="837" t="s">
        <v>852</v>
      </c>
      <c r="C221" s="116"/>
      <c r="D221" s="252"/>
      <c r="E221" s="252"/>
      <c r="F221" s="904"/>
    </row>
    <row r="222" spans="1:6" ht="12.75">
      <c r="A222" s="181" t="s">
        <v>359</v>
      </c>
      <c r="B222" s="838" t="s">
        <v>853</v>
      </c>
      <c r="C222" s="116"/>
      <c r="D222" s="252"/>
      <c r="E222" s="252"/>
      <c r="F222" s="904"/>
    </row>
    <row r="223" spans="1:6" ht="12.75">
      <c r="A223" s="181" t="s">
        <v>369</v>
      </c>
      <c r="B223" s="838" t="s">
        <v>854</v>
      </c>
      <c r="C223" s="116">
        <f>'31_sz_ melléklet'!D54</f>
        <v>364501</v>
      </c>
      <c r="D223" s="252"/>
      <c r="E223" s="252"/>
      <c r="F223" s="904">
        <f>SUM(C223:E223)</f>
        <v>364501</v>
      </c>
    </row>
    <row r="224" spans="1:6" ht="12.75">
      <c r="A224" s="181" t="s">
        <v>370</v>
      </c>
      <c r="B224" s="838" t="s">
        <v>855</v>
      </c>
      <c r="C224" s="116"/>
      <c r="D224" s="252"/>
      <c r="E224" s="252"/>
      <c r="F224" s="904"/>
    </row>
    <row r="225" spans="1:6" ht="13.5" thickBot="1">
      <c r="A225" s="728" t="s">
        <v>371</v>
      </c>
      <c r="B225" s="1244" t="s">
        <v>856</v>
      </c>
      <c r="C225" s="927"/>
      <c r="D225" s="333"/>
      <c r="E225" s="333"/>
      <c r="F225" s="326"/>
    </row>
    <row r="226" spans="1:6" ht="13.5" thickBot="1">
      <c r="A226" s="533" t="s">
        <v>372</v>
      </c>
      <c r="B226" s="1173" t="s">
        <v>527</v>
      </c>
      <c r="C226" s="263">
        <f>SUM(C216:C225)</f>
        <v>371787</v>
      </c>
      <c r="D226" s="263">
        <f>SUM(D216:D225)</f>
        <v>0</v>
      </c>
      <c r="E226" s="263">
        <f>SUM(E216:E225)</f>
        <v>0</v>
      </c>
      <c r="F226" s="158">
        <f>SUM(F216:F225)</f>
        <v>371787</v>
      </c>
    </row>
    <row r="227" spans="1:6" ht="13.5" thickBot="1">
      <c r="A227" s="533" t="s">
        <v>373</v>
      </c>
      <c r="B227" s="1333" t="s">
        <v>526</v>
      </c>
      <c r="C227" s="1345">
        <f>C214+C226</f>
        <v>379539</v>
      </c>
      <c r="D227" s="1345">
        <f>D214+D226</f>
        <v>0</v>
      </c>
      <c r="E227" s="1345">
        <f>E214+E226</f>
        <v>0</v>
      </c>
      <c r="F227" s="334">
        <f>F214+F226</f>
        <v>379539</v>
      </c>
    </row>
    <row r="231" ht="9.75" customHeight="1"/>
  </sheetData>
  <sheetProtection/>
  <mergeCells count="11">
    <mergeCell ref="A114:F114"/>
    <mergeCell ref="A115:E115"/>
    <mergeCell ref="A117:F117"/>
    <mergeCell ref="A172:E172"/>
    <mergeCell ref="A174:F174"/>
    <mergeCell ref="A1:E1"/>
    <mergeCell ref="A3:F3"/>
    <mergeCell ref="A57:F57"/>
    <mergeCell ref="A58:E58"/>
    <mergeCell ref="A60:F60"/>
    <mergeCell ref="A171:F17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10" sqref="H10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54" t="s">
        <v>1458</v>
      </c>
      <c r="B1" s="1654"/>
      <c r="C1" s="1654"/>
      <c r="D1" s="1654"/>
      <c r="E1" s="1654"/>
    </row>
    <row r="2" spans="1:5" ht="12.75">
      <c r="A2" s="384"/>
      <c r="B2" s="384"/>
      <c r="C2" s="384"/>
      <c r="D2" s="384"/>
      <c r="E2" s="384"/>
    </row>
    <row r="3" spans="2:6" ht="15.75">
      <c r="B3" s="1674" t="s">
        <v>1100</v>
      </c>
      <c r="C3" s="1674"/>
      <c r="D3" s="1674"/>
      <c r="E3" s="1674"/>
      <c r="F3" s="1678"/>
    </row>
    <row r="4" spans="2:6" ht="13.5" thickBot="1">
      <c r="B4" s="1"/>
      <c r="C4" s="1"/>
      <c r="D4" s="1"/>
      <c r="E4" s="22"/>
      <c r="F4" s="22" t="s">
        <v>4</v>
      </c>
    </row>
    <row r="5" spans="1:6" ht="42" customHeight="1" thickBot="1">
      <c r="A5" s="391" t="s">
        <v>311</v>
      </c>
      <c r="B5" s="298" t="s">
        <v>41</v>
      </c>
      <c r="C5" s="387" t="s">
        <v>540</v>
      </c>
      <c r="D5" s="388" t="s">
        <v>541</v>
      </c>
      <c r="E5" s="387" t="s">
        <v>536</v>
      </c>
      <c r="F5" s="388" t="s">
        <v>535</v>
      </c>
    </row>
    <row r="6" spans="1:6" ht="13.5" thickBot="1">
      <c r="A6" s="477" t="s">
        <v>312</v>
      </c>
      <c r="B6" s="1339" t="s">
        <v>313</v>
      </c>
      <c r="C6" s="1340" t="s">
        <v>314</v>
      </c>
      <c r="D6" s="1341" t="s">
        <v>315</v>
      </c>
      <c r="E6" s="1341" t="s">
        <v>335</v>
      </c>
      <c r="F6" s="1342" t="s">
        <v>360</v>
      </c>
    </row>
    <row r="7" spans="1:6" ht="13.5" thickBot="1">
      <c r="A7" s="533" t="s">
        <v>316</v>
      </c>
      <c r="B7" s="282" t="s">
        <v>846</v>
      </c>
      <c r="C7" s="64">
        <f>C8+C9+C14+C23</f>
        <v>2685564</v>
      </c>
      <c r="D7" s="64">
        <f>D8+D9+D14+D23</f>
        <v>0</v>
      </c>
      <c r="E7" s="64">
        <f>E8+E9+E14+E23</f>
        <v>0</v>
      </c>
      <c r="F7" s="124">
        <f aca="true" t="shared" si="0" ref="F7:F26">SUM(C7:E7)</f>
        <v>2685564</v>
      </c>
    </row>
    <row r="8" spans="1:6" ht="13.5" thickBot="1">
      <c r="A8" s="533" t="s">
        <v>317</v>
      </c>
      <c r="B8" s="283" t="s">
        <v>859</v>
      </c>
      <c r="C8" s="35">
        <f>'14 16_sz_ melléklet'!E20</f>
        <v>321349</v>
      </c>
      <c r="D8" s="681"/>
      <c r="E8" s="681"/>
      <c r="F8" s="947">
        <f t="shared" si="0"/>
        <v>321349</v>
      </c>
    </row>
    <row r="9" spans="1:6" ht="13.5" thickBot="1">
      <c r="A9" s="533" t="s">
        <v>318</v>
      </c>
      <c r="B9" s="284" t="s">
        <v>800</v>
      </c>
      <c r="C9" s="286">
        <f>C10+C11+C12+C13</f>
        <v>1022700</v>
      </c>
      <c r="D9" s="286">
        <f>D10+D11+D12+D13</f>
        <v>0</v>
      </c>
      <c r="E9" s="286">
        <f>E10+E11+E12+E13</f>
        <v>0</v>
      </c>
      <c r="F9" s="948">
        <f>F10+F11+F12+F13</f>
        <v>1022700</v>
      </c>
    </row>
    <row r="10" spans="1:6" ht="12.75">
      <c r="A10" s="683" t="s">
        <v>319</v>
      </c>
      <c r="B10" s="895" t="s">
        <v>802</v>
      </c>
      <c r="C10" s="609">
        <f>'14 16_sz_ melléklet'!C30</f>
        <v>0</v>
      </c>
      <c r="D10" s="454"/>
      <c r="E10" s="454"/>
      <c r="F10" s="287">
        <f t="shared" si="0"/>
        <v>0</v>
      </c>
    </row>
    <row r="11" spans="1:6" ht="12.75">
      <c r="A11" s="181" t="s">
        <v>320</v>
      </c>
      <c r="B11" s="896" t="s">
        <v>801</v>
      </c>
      <c r="C11" s="894">
        <f>'14 16_sz_ melléklet'!C34</f>
        <v>152000</v>
      </c>
      <c r="D11" s="885"/>
      <c r="E11" s="885"/>
      <c r="F11" s="287">
        <f t="shared" si="0"/>
        <v>152000</v>
      </c>
    </row>
    <row r="12" spans="1:6" ht="12.75">
      <c r="A12" s="181" t="s">
        <v>321</v>
      </c>
      <c r="B12" s="285" t="s">
        <v>803</v>
      </c>
      <c r="C12" s="894">
        <f>'14 16_sz_ melléklet'!C40</f>
        <v>864000</v>
      </c>
      <c r="D12" s="885"/>
      <c r="E12" s="885"/>
      <c r="F12" s="287">
        <f t="shared" si="0"/>
        <v>864000</v>
      </c>
    </row>
    <row r="13" spans="1:6" ht="13.5" thickBot="1">
      <c r="A13" s="180" t="s">
        <v>322</v>
      </c>
      <c r="B13" s="1134" t="s">
        <v>804</v>
      </c>
      <c r="C13" s="1334">
        <f>'14 16_sz_ melléklet'!C73</f>
        <v>6700</v>
      </c>
      <c r="D13" s="245"/>
      <c r="E13" s="245"/>
      <c r="F13" s="1135">
        <f t="shared" si="0"/>
        <v>6700</v>
      </c>
    </row>
    <row r="14" spans="1:6" ht="13.5" thickBot="1">
      <c r="A14" s="533" t="s">
        <v>323</v>
      </c>
      <c r="B14" s="1137" t="s">
        <v>845</v>
      </c>
      <c r="C14" s="980">
        <f>C15+C19+C20+C21+C22</f>
        <v>1341515</v>
      </c>
      <c r="D14" s="980">
        <f>D15+D19+D20+D21+D22</f>
        <v>0</v>
      </c>
      <c r="E14" s="980">
        <f>E15+E19+E20+E21+E22</f>
        <v>0</v>
      </c>
      <c r="F14" s="1139">
        <f t="shared" si="0"/>
        <v>1341515</v>
      </c>
    </row>
    <row r="15" spans="1:6" ht="12.75">
      <c r="A15" s="180" t="s">
        <v>324</v>
      </c>
      <c r="B15" s="1136" t="s">
        <v>791</v>
      </c>
      <c r="C15" s="28">
        <f>C16+C17+C18</f>
        <v>1079806</v>
      </c>
      <c r="D15" s="28">
        <f>D16+D17+D18</f>
        <v>0</v>
      </c>
      <c r="E15" s="28">
        <f>E16+E17+E18</f>
        <v>0</v>
      </c>
      <c r="F15" s="1347">
        <f t="shared" si="0"/>
        <v>1079806</v>
      </c>
    </row>
    <row r="16" spans="1:6" ht="12.75">
      <c r="A16" s="181" t="s">
        <v>325</v>
      </c>
      <c r="B16" s="1111" t="s">
        <v>793</v>
      </c>
      <c r="C16" s="1348">
        <f>'17 18 sz_melléklet'!C61</f>
        <v>916347</v>
      </c>
      <c r="D16" s="1324"/>
      <c r="E16" s="1324"/>
      <c r="F16" s="121">
        <f t="shared" si="0"/>
        <v>916347</v>
      </c>
    </row>
    <row r="17" spans="1:6" ht="12.75">
      <c r="A17" s="873" t="s">
        <v>326</v>
      </c>
      <c r="B17" s="1112" t="s">
        <v>792</v>
      </c>
      <c r="C17" s="24">
        <f>'19 21_sz_ melléklet'!C17</f>
        <v>155819</v>
      </c>
      <c r="D17" s="24"/>
      <c r="E17" s="24"/>
      <c r="F17" s="121">
        <f t="shared" si="0"/>
        <v>155819</v>
      </c>
    </row>
    <row r="18" spans="1:6" ht="12.75">
      <c r="A18" s="873" t="s">
        <v>327</v>
      </c>
      <c r="B18" s="1112" t="s">
        <v>794</v>
      </c>
      <c r="C18" s="24">
        <f>'19 21_sz_ melléklet'!C34</f>
        <v>7640</v>
      </c>
      <c r="D18" s="910"/>
      <c r="E18" s="115"/>
      <c r="F18" s="121">
        <f t="shared" si="0"/>
        <v>7640</v>
      </c>
    </row>
    <row r="19" spans="1:6" ht="12.75">
      <c r="A19" s="873" t="s">
        <v>328</v>
      </c>
      <c r="B19" s="1113" t="s">
        <v>795</v>
      </c>
      <c r="C19" s="24"/>
      <c r="D19" s="252"/>
      <c r="E19" s="116"/>
      <c r="F19" s="121">
        <f t="shared" si="0"/>
        <v>0</v>
      </c>
    </row>
    <row r="20" spans="1:6" ht="12.75">
      <c r="A20" s="873" t="s">
        <v>329</v>
      </c>
      <c r="B20" s="1114" t="s">
        <v>796</v>
      </c>
      <c r="C20" s="24"/>
      <c r="D20" s="252"/>
      <c r="E20" s="116"/>
      <c r="F20" s="121">
        <f t="shared" si="0"/>
        <v>0</v>
      </c>
    </row>
    <row r="21" spans="1:6" ht="12.75">
      <c r="A21" s="873" t="s">
        <v>330</v>
      </c>
      <c r="B21" s="1115" t="s">
        <v>797</v>
      </c>
      <c r="C21" s="24">
        <f>'19 21_sz_ melléklet'!C73</f>
        <v>261709</v>
      </c>
      <c r="D21" s="245"/>
      <c r="E21" s="245"/>
      <c r="F21" s="121">
        <f>SUM(C21:E21)</f>
        <v>261709</v>
      </c>
    </row>
    <row r="22" spans="1:6" ht="13.5" thickBot="1">
      <c r="A22" s="180" t="s">
        <v>331</v>
      </c>
      <c r="B22" s="1132" t="s">
        <v>843</v>
      </c>
      <c r="C22" s="28"/>
      <c r="D22" s="249"/>
      <c r="E22" s="11"/>
      <c r="F22" s="123">
        <f t="shared" si="0"/>
        <v>0</v>
      </c>
    </row>
    <row r="23" spans="1:6" ht="13.5" thickBot="1">
      <c r="A23" s="533" t="s">
        <v>332</v>
      </c>
      <c r="B23" s="1133" t="s">
        <v>844</v>
      </c>
      <c r="C23" s="1344">
        <f>C24+C25</f>
        <v>0</v>
      </c>
      <c r="D23" s="1344">
        <f>D24+D25</f>
        <v>0</v>
      </c>
      <c r="E23" s="1344">
        <f>E24+E25</f>
        <v>0</v>
      </c>
      <c r="F23" s="909">
        <f t="shared" si="0"/>
        <v>0</v>
      </c>
    </row>
    <row r="24" spans="1:6" ht="12" customHeight="1">
      <c r="A24" s="683" t="s">
        <v>333</v>
      </c>
      <c r="B24" s="1140" t="s">
        <v>873</v>
      </c>
      <c r="C24" s="397">
        <f>'29 sz. mell'!C15</f>
        <v>0</v>
      </c>
      <c r="D24" s="398"/>
      <c r="E24" s="398"/>
      <c r="F24" s="1142">
        <f t="shared" si="0"/>
        <v>0</v>
      </c>
    </row>
    <row r="25" spans="1:6" ht="13.5" customHeight="1" thickBot="1">
      <c r="A25" s="729" t="s">
        <v>334</v>
      </c>
      <c r="B25" s="1143" t="s">
        <v>874</v>
      </c>
      <c r="C25" s="1335"/>
      <c r="D25" s="1336"/>
      <c r="E25" s="1336"/>
      <c r="F25" s="1130">
        <f t="shared" si="0"/>
        <v>0</v>
      </c>
    </row>
    <row r="26" spans="1:6" ht="5.25" customHeight="1" thickBot="1">
      <c r="A26" s="873"/>
      <c r="B26" s="1327"/>
      <c r="C26" s="1335"/>
      <c r="D26" s="1336"/>
      <c r="E26" s="1336"/>
      <c r="F26" s="1130">
        <f t="shared" si="0"/>
        <v>0</v>
      </c>
    </row>
    <row r="27" spans="1:6" ht="13.5" customHeight="1" thickBot="1">
      <c r="A27" s="533" t="s">
        <v>336</v>
      </c>
      <c r="B27" s="256" t="s">
        <v>858</v>
      </c>
      <c r="C27" s="847">
        <f>C28+C34+C39</f>
        <v>782473</v>
      </c>
      <c r="D27" s="847">
        <f>D28+D34+D39</f>
        <v>83369</v>
      </c>
      <c r="E27" s="847">
        <f>E28+E34+E39</f>
        <v>0</v>
      </c>
      <c r="F27" s="847">
        <f>F28+F34+F39</f>
        <v>865842</v>
      </c>
    </row>
    <row r="28" spans="1:6" ht="13.5" thickBot="1">
      <c r="A28" s="533" t="s">
        <v>337</v>
      </c>
      <c r="B28" s="177" t="s">
        <v>831</v>
      </c>
      <c r="C28" s="158">
        <f>C29+C30+C31+C32+C33</f>
        <v>0</v>
      </c>
      <c r="D28" s="158">
        <f>D29+D30+D31+D32+D33</f>
        <v>0</v>
      </c>
      <c r="E28" s="158">
        <f>E29+E30+E31+E32+E33</f>
        <v>0</v>
      </c>
      <c r="F28" s="158">
        <f>F29+F30+F31+F32+F33</f>
        <v>0</v>
      </c>
    </row>
    <row r="29" spans="1:6" ht="12.75">
      <c r="A29" s="683" t="s">
        <v>338</v>
      </c>
      <c r="B29" s="122" t="s">
        <v>832</v>
      </c>
      <c r="C29" s="270"/>
      <c r="D29" s="686"/>
      <c r="E29" s="685"/>
      <c r="F29" s="685">
        <f>F30+F32+F33+F31</f>
        <v>0</v>
      </c>
    </row>
    <row r="30" spans="1:6" ht="12.75">
      <c r="A30" s="181" t="s">
        <v>339</v>
      </c>
      <c r="B30" s="275" t="s">
        <v>833</v>
      </c>
      <c r="C30" s="183"/>
      <c r="D30" s="434"/>
      <c r="E30" s="183"/>
      <c r="F30" s="434">
        <f>SUM(C30:E30)</f>
        <v>0</v>
      </c>
    </row>
    <row r="31" spans="1:6" ht="12.75">
      <c r="A31" s="181" t="s">
        <v>340</v>
      </c>
      <c r="B31" s="688" t="s">
        <v>834</v>
      </c>
      <c r="C31" s="154"/>
      <c r="D31" s="146"/>
      <c r="E31" s="154"/>
      <c r="F31" s="434">
        <f aca="true" t="shared" si="1" ref="F31:F39">SUM(C31:E31)</f>
        <v>0</v>
      </c>
    </row>
    <row r="32" spans="1:6" ht="15" customHeight="1">
      <c r="A32" s="181" t="s">
        <v>341</v>
      </c>
      <c r="B32" s="688" t="s">
        <v>835</v>
      </c>
      <c r="C32" s="151"/>
      <c r="D32" s="145"/>
      <c r="E32" s="151"/>
      <c r="F32" s="434">
        <f t="shared" si="1"/>
        <v>0</v>
      </c>
    </row>
    <row r="33" spans="1:6" ht="13.5" thickBot="1">
      <c r="A33" s="180" t="s">
        <v>342</v>
      </c>
      <c r="B33" s="277" t="s">
        <v>836</v>
      </c>
      <c r="C33" s="159"/>
      <c r="D33" s="150"/>
      <c r="E33" s="159"/>
      <c r="F33" s="265">
        <f t="shared" si="1"/>
        <v>0</v>
      </c>
    </row>
    <row r="34" spans="1:6" ht="13.5" thickBot="1">
      <c r="A34" s="533" t="s">
        <v>343</v>
      </c>
      <c r="B34" s="1329" t="s">
        <v>837</v>
      </c>
      <c r="C34" s="692">
        <f>C35+C36+C37+C38</f>
        <v>769006</v>
      </c>
      <c r="D34" s="692">
        <f>D35+D36+D37+D38</f>
        <v>22257</v>
      </c>
      <c r="E34" s="692">
        <f>E35+E36+E37+E38</f>
        <v>0</v>
      </c>
      <c r="F34" s="692">
        <f>F35+F36+F37+F38</f>
        <v>791263</v>
      </c>
    </row>
    <row r="35" spans="1:6" ht="12.75">
      <c r="A35" s="873" t="s">
        <v>344</v>
      </c>
      <c r="B35" s="689" t="s">
        <v>838</v>
      </c>
      <c r="C35" s="159">
        <f>'25 26 sz. melléklet'!C17</f>
        <v>703400</v>
      </c>
      <c r="D35" s="150"/>
      <c r="E35" s="159"/>
      <c r="F35" s="146">
        <f t="shared" si="1"/>
        <v>703400</v>
      </c>
    </row>
    <row r="36" spans="1:6" ht="12.75">
      <c r="A36" s="181" t="s">
        <v>345</v>
      </c>
      <c r="B36" s="901" t="s">
        <v>840</v>
      </c>
      <c r="C36" s="690"/>
      <c r="D36" s="944"/>
      <c r="E36" s="690"/>
      <c r="F36" s="434">
        <f t="shared" si="1"/>
        <v>0</v>
      </c>
    </row>
    <row r="37" spans="1:6" ht="12.75">
      <c r="A37" s="181" t="s">
        <v>346</v>
      </c>
      <c r="B37" s="903" t="s">
        <v>839</v>
      </c>
      <c r="C37" s="691"/>
      <c r="D37" s="945"/>
      <c r="E37" s="691"/>
      <c r="F37" s="434">
        <f t="shared" si="1"/>
        <v>0</v>
      </c>
    </row>
    <row r="38" spans="1:6" ht="13.5" thickBot="1">
      <c r="A38" s="728" t="s">
        <v>347</v>
      </c>
      <c r="B38" s="275" t="s">
        <v>841</v>
      </c>
      <c r="C38" s="271">
        <f>' 27 28 sz. melléklet'!E20+' 27 28 sz. melléklet'!E21+' 27 28 sz. melléklet'!E22+' 27 28 sz. melléklet'!E23+' 27 28 sz. melléklet'!E24+' 27 28 sz. melléklet'!E25+' 27 28 sz. melléklet'!E26+' 27 28 sz. melléklet'!E28</f>
        <v>65606</v>
      </c>
      <c r="D38" s="265">
        <f>' 27 28 sz. melléklet'!E27</f>
        <v>22257</v>
      </c>
      <c r="E38" s="271"/>
      <c r="F38" s="265">
        <f t="shared" si="1"/>
        <v>87863</v>
      </c>
    </row>
    <row r="39" spans="1:6" ht="13.5" thickBot="1">
      <c r="A39" s="533" t="s">
        <v>348</v>
      </c>
      <c r="B39" s="140" t="s">
        <v>842</v>
      </c>
      <c r="C39" s="158">
        <f>C40+C41</f>
        <v>13467</v>
      </c>
      <c r="D39" s="158">
        <f>D40+D41</f>
        <v>61112</v>
      </c>
      <c r="E39" s="158">
        <f>E40+E41</f>
        <v>0</v>
      </c>
      <c r="F39" s="255">
        <f t="shared" si="1"/>
        <v>74579</v>
      </c>
    </row>
    <row r="40" spans="1:6" ht="12.75">
      <c r="A40" s="683" t="s">
        <v>349</v>
      </c>
      <c r="B40" s="903" t="s">
        <v>884</v>
      </c>
      <c r="C40" s="640"/>
      <c r="D40" s="1331">
        <f>'29 sz. mell'!C27-'29 sz. mell'!C25</f>
        <v>61112</v>
      </c>
      <c r="E40" s="640"/>
      <c r="F40" s="1331">
        <f>SUM(C40:E40)</f>
        <v>61112</v>
      </c>
    </row>
    <row r="41" spans="1:6" ht="12.75" customHeight="1" thickBot="1">
      <c r="A41" s="729" t="s">
        <v>350</v>
      </c>
      <c r="B41" s="138" t="s">
        <v>885</v>
      </c>
      <c r="C41" s="1346">
        <f>' 27 28 sz. melléklet'!E47</f>
        <v>13467</v>
      </c>
      <c r="D41" s="994"/>
      <c r="E41" s="994"/>
      <c r="F41" s="1330">
        <f>SUM(C41:E41)</f>
        <v>13467</v>
      </c>
    </row>
    <row r="42" spans="1:6" ht="28.5" customHeight="1" thickBot="1">
      <c r="A42" s="729" t="s">
        <v>351</v>
      </c>
      <c r="B42" s="1332" t="s">
        <v>524</v>
      </c>
      <c r="C42" s="847">
        <f>C7+C27</f>
        <v>3468037</v>
      </c>
      <c r="D42" s="847">
        <f>D7+D27</f>
        <v>83369</v>
      </c>
      <c r="E42" s="847">
        <f>E7+E27</f>
        <v>0</v>
      </c>
      <c r="F42" s="1343">
        <f>SUM(C42:E42)</f>
        <v>3551406</v>
      </c>
    </row>
    <row r="43" spans="1:6" ht="13.5" thickBot="1">
      <c r="A43" s="533" t="s">
        <v>352</v>
      </c>
      <c r="B43" s="140" t="s">
        <v>857</v>
      </c>
      <c r="C43" s="266"/>
      <c r="D43" s="266"/>
      <c r="E43" s="153"/>
      <c r="F43" s="1092"/>
    </row>
    <row r="44" spans="1:6" ht="12.75" customHeight="1">
      <c r="A44" s="683" t="s">
        <v>353</v>
      </c>
      <c r="B44" s="702" t="s">
        <v>848</v>
      </c>
      <c r="C44" s="254"/>
      <c r="D44" s="329"/>
      <c r="E44" s="154"/>
      <c r="F44" s="145">
        <f>C44+D44+E44</f>
        <v>0</v>
      </c>
    </row>
    <row r="45" spans="1:6" ht="12.75" customHeight="1">
      <c r="A45" s="181" t="s">
        <v>354</v>
      </c>
      <c r="B45" s="602" t="s">
        <v>847</v>
      </c>
      <c r="C45" s="252">
        <v>100000</v>
      </c>
      <c r="D45" s="327"/>
      <c r="E45" s="151"/>
      <c r="F45" s="145">
        <f>C45+D45+E45</f>
        <v>100000</v>
      </c>
    </row>
    <row r="46" spans="1:6" ht="11.25" customHeight="1">
      <c r="A46" s="181" t="s">
        <v>355</v>
      </c>
      <c r="B46" s="602" t="s">
        <v>849</v>
      </c>
      <c r="C46" s="252"/>
      <c r="D46" s="327"/>
      <c r="E46" s="151"/>
      <c r="F46" s="145">
        <f aca="true" t="shared" si="2" ref="F46:F53">C46+D46+E46</f>
        <v>0</v>
      </c>
    </row>
    <row r="47" spans="1:6" ht="15" customHeight="1">
      <c r="A47" s="181" t="s">
        <v>356</v>
      </c>
      <c r="B47" s="602" t="s">
        <v>850</v>
      </c>
      <c r="C47" s="252"/>
      <c r="D47" s="327"/>
      <c r="E47" s="151"/>
      <c r="F47" s="145">
        <f t="shared" si="2"/>
        <v>0</v>
      </c>
    </row>
    <row r="48" spans="1:6" ht="12.75">
      <c r="A48" s="181" t="s">
        <v>357</v>
      </c>
      <c r="B48" s="836" t="s">
        <v>851</v>
      </c>
      <c r="C48" s="252">
        <f>'13_sz_ melléklet'!D50</f>
        <v>1732552</v>
      </c>
      <c r="D48" s="327"/>
      <c r="E48" s="151"/>
      <c r="F48" s="145">
        <f t="shared" si="2"/>
        <v>1732552</v>
      </c>
    </row>
    <row r="49" spans="1:6" ht="12.75">
      <c r="A49" s="181" t="s">
        <v>358</v>
      </c>
      <c r="B49" s="837" t="s">
        <v>852</v>
      </c>
      <c r="C49" s="252">
        <f>'13_sz_ melléklet'!D51</f>
        <v>0</v>
      </c>
      <c r="D49" s="327"/>
      <c r="E49" s="151"/>
      <c r="F49" s="145">
        <f t="shared" si="2"/>
        <v>0</v>
      </c>
    </row>
    <row r="50" spans="1:6" ht="12.75">
      <c r="A50" s="181" t="s">
        <v>359</v>
      </c>
      <c r="B50" s="838" t="s">
        <v>853</v>
      </c>
      <c r="C50" s="252"/>
      <c r="D50" s="327"/>
      <c r="E50" s="151"/>
      <c r="F50" s="145">
        <f t="shared" si="2"/>
        <v>0</v>
      </c>
    </row>
    <row r="51" spans="1:6" ht="12.75">
      <c r="A51" s="181" t="s">
        <v>369</v>
      </c>
      <c r="B51" s="838" t="s">
        <v>854</v>
      </c>
      <c r="C51" s="252"/>
      <c r="D51" s="327"/>
      <c r="E51" s="151"/>
      <c r="F51" s="145">
        <f t="shared" si="2"/>
        <v>0</v>
      </c>
    </row>
    <row r="52" spans="1:6" ht="12.75">
      <c r="A52" s="181" t="s">
        <v>370</v>
      </c>
      <c r="B52" s="838" t="s">
        <v>855</v>
      </c>
      <c r="C52" s="254">
        <v>12023365</v>
      </c>
      <c r="D52" s="329"/>
      <c r="E52" s="157"/>
      <c r="F52" s="145">
        <f t="shared" si="2"/>
        <v>12023365</v>
      </c>
    </row>
    <row r="53" spans="1:6" ht="13.5" thickBot="1">
      <c r="A53" s="728" t="s">
        <v>371</v>
      </c>
      <c r="B53" s="1244" t="s">
        <v>856</v>
      </c>
      <c r="C53" s="1337"/>
      <c r="D53" s="1338"/>
      <c r="E53" s="694"/>
      <c r="F53" s="145">
        <f t="shared" si="2"/>
        <v>0</v>
      </c>
    </row>
    <row r="54" spans="1:6" ht="13.5" thickBot="1">
      <c r="A54" s="533" t="s">
        <v>372</v>
      </c>
      <c r="B54" s="1173" t="s">
        <v>527</v>
      </c>
      <c r="C54" s="263">
        <f>SUM(C44:C53)</f>
        <v>13855917</v>
      </c>
      <c r="D54" s="263">
        <f>SUM(D44:D53)</f>
        <v>0</v>
      </c>
      <c r="E54" s="263">
        <f>SUM(E44:E53)</f>
        <v>0</v>
      </c>
      <c r="F54" s="158">
        <f>SUM(F44:F53)</f>
        <v>13855917</v>
      </c>
    </row>
    <row r="55" spans="1:6" ht="19.5" customHeight="1" thickBot="1">
      <c r="A55" s="533" t="s">
        <v>373</v>
      </c>
      <c r="B55" s="1333" t="s">
        <v>526</v>
      </c>
      <c r="C55" s="1345">
        <f>C42+C54</f>
        <v>17323954</v>
      </c>
      <c r="D55" s="1345">
        <f>D42+D54</f>
        <v>83369</v>
      </c>
      <c r="E55" s="1345">
        <f>E42+E54</f>
        <v>0</v>
      </c>
      <c r="F55" s="334">
        <f>F42+F54</f>
        <v>17407323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67">
      <selection activeCell="I36" sqref="I36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54" t="s">
        <v>1459</v>
      </c>
      <c r="B1" s="1654"/>
      <c r="C1" s="1654"/>
      <c r="D1" s="1654"/>
      <c r="E1" s="1654"/>
      <c r="F1" s="1654"/>
      <c r="G1" s="1654"/>
    </row>
    <row r="3" spans="1:9" ht="15.75">
      <c r="A3" s="1687" t="s">
        <v>636</v>
      </c>
      <c r="B3" s="1687"/>
      <c r="C3" s="1687"/>
      <c r="D3" s="1687"/>
      <c r="E3" s="1687"/>
      <c r="F3" s="1687"/>
      <c r="G3" s="1687"/>
      <c r="H3" s="1687"/>
      <c r="I3" s="1687"/>
    </row>
    <row r="4" spans="1:9" ht="15.75">
      <c r="A4" s="1687" t="s">
        <v>656</v>
      </c>
      <c r="B4" s="1687"/>
      <c r="C4" s="1687"/>
      <c r="D4" s="1687"/>
      <c r="E4" s="1687"/>
      <c r="F4" s="1687"/>
      <c r="G4" s="1687"/>
      <c r="H4" s="1687"/>
      <c r="I4" s="1687"/>
    </row>
    <row r="5" spans="1:9" ht="12.75">
      <c r="A5" s="1062"/>
      <c r="B5" s="1062"/>
      <c r="C5" s="1062"/>
      <c r="D5" s="1062"/>
      <c r="E5" s="1062"/>
      <c r="F5" s="1062"/>
      <c r="G5" s="1062"/>
      <c r="H5" s="1062"/>
      <c r="I5" s="1062"/>
    </row>
    <row r="6" spans="2:7" ht="13.5" thickBot="1">
      <c r="B6" s="51"/>
      <c r="C6" s="51"/>
      <c r="D6" s="51"/>
      <c r="E6" s="51"/>
      <c r="F6" s="1060"/>
      <c r="G6" s="1060" t="s">
        <v>4</v>
      </c>
    </row>
    <row r="7" spans="1:9" ht="13.5" thickBot="1">
      <c r="A7" s="1717" t="s">
        <v>311</v>
      </c>
      <c r="B7" s="1812" t="s">
        <v>51</v>
      </c>
      <c r="C7" s="1813"/>
      <c r="D7" s="1814"/>
      <c r="E7" s="1814"/>
      <c r="F7" s="1815" t="s">
        <v>76</v>
      </c>
      <c r="G7" s="1816"/>
      <c r="H7" s="1817"/>
      <c r="I7" s="1701"/>
    </row>
    <row r="8" spans="1:9" ht="26.25" thickBot="1">
      <c r="A8" s="1718"/>
      <c r="B8" s="1063" t="s">
        <v>68</v>
      </c>
      <c r="C8" s="1064" t="s">
        <v>619</v>
      </c>
      <c r="D8" s="1064" t="s">
        <v>1050</v>
      </c>
      <c r="E8" s="1064" t="s">
        <v>1101</v>
      </c>
      <c r="F8" s="1065" t="s">
        <v>68</v>
      </c>
      <c r="G8" s="1064" t="s">
        <v>619</v>
      </c>
      <c r="H8" s="1064" t="s">
        <v>1050</v>
      </c>
      <c r="I8" s="1064" t="s">
        <v>1101</v>
      </c>
    </row>
    <row r="9" spans="1:9" ht="13.5" thickBot="1">
      <c r="A9" s="1000" t="s">
        <v>312</v>
      </c>
      <c r="B9" s="474" t="s">
        <v>313</v>
      </c>
      <c r="C9" s="477" t="s">
        <v>314</v>
      </c>
      <c r="D9" s="477" t="s">
        <v>315</v>
      </c>
      <c r="E9" s="477" t="s">
        <v>335</v>
      </c>
      <c r="F9" s="1070" t="s">
        <v>360</v>
      </c>
      <c r="G9" s="466" t="s">
        <v>361</v>
      </c>
      <c r="H9" s="1066" t="s">
        <v>387</v>
      </c>
      <c r="I9" s="1061" t="s">
        <v>388</v>
      </c>
    </row>
    <row r="10" spans="1:9" ht="12.75">
      <c r="A10" s="1067" t="s">
        <v>316</v>
      </c>
      <c r="B10" s="936" t="s">
        <v>620</v>
      </c>
      <c r="C10" s="1349">
        <f>'37 sz melléklet'!C12*1.001</f>
        <v>1712749.0379999997</v>
      </c>
      <c r="D10" s="640">
        <f>C10*1.002</f>
        <v>1716174.5360759997</v>
      </c>
      <c r="E10" s="146">
        <f>D10*1.002</f>
        <v>1719606.8851481518</v>
      </c>
      <c r="F10" s="697" t="s">
        <v>637</v>
      </c>
      <c r="G10" s="1349">
        <f>'37 sz melléklet'!E9*1.001</f>
        <v>1131371.241</v>
      </c>
      <c r="H10" s="640">
        <f>G10*1.001</f>
        <v>1132502.6122409997</v>
      </c>
      <c r="I10" s="1331">
        <f>H10*1.001</f>
        <v>1133635.1148532405</v>
      </c>
    </row>
    <row r="11" spans="1:9" ht="25.5">
      <c r="A11" s="1068" t="s">
        <v>317</v>
      </c>
      <c r="B11" s="161" t="s">
        <v>621</v>
      </c>
      <c r="C11" s="327">
        <f>'37 sz melléklet'!C11*1.005</f>
        <v>1027813.4999999999</v>
      </c>
      <c r="D11" s="151">
        <f>C11*1.003</f>
        <v>1030896.9404999998</v>
      </c>
      <c r="E11" s="145">
        <f>D11*1.001</f>
        <v>1031927.8374404997</v>
      </c>
      <c r="F11" s="585" t="s">
        <v>638</v>
      </c>
      <c r="G11" s="327">
        <f>'37 sz melléklet'!E10*1.001</f>
        <v>299776.47699999996</v>
      </c>
      <c r="H11" s="154">
        <f>G11*1.001</f>
        <v>300076.25347699993</v>
      </c>
      <c r="I11" s="146">
        <f>H11*1.001</f>
        <v>300376.3297304769</v>
      </c>
    </row>
    <row r="12" spans="1:9" ht="12.75">
      <c r="A12" s="1068" t="s">
        <v>318</v>
      </c>
      <c r="B12" s="161" t="s">
        <v>622</v>
      </c>
      <c r="C12" s="327">
        <f>'37 sz melléklet'!C9*1.001+1198+5000</f>
        <v>442796.16199999995</v>
      </c>
      <c r="D12" s="151">
        <f>C12*1.01</f>
        <v>447224.12361999997</v>
      </c>
      <c r="E12" s="145">
        <f>D12*1.01</f>
        <v>451696.3648562</v>
      </c>
      <c r="F12" s="167" t="s">
        <v>639</v>
      </c>
      <c r="G12" s="327">
        <f>'37 sz melléklet'!E11*1.001</f>
        <v>1101282.9227399998</v>
      </c>
      <c r="H12" s="154">
        <f>G12*1.001+1</f>
        <v>1102385.2056627397</v>
      </c>
      <c r="I12" s="146">
        <f>H12*1.001</f>
        <v>1103487.5908684023</v>
      </c>
    </row>
    <row r="13" spans="1:9" ht="12.75">
      <c r="A13" s="1068" t="s">
        <v>319</v>
      </c>
      <c r="B13" s="161" t="s">
        <v>623</v>
      </c>
      <c r="C13" s="327"/>
      <c r="D13" s="151"/>
      <c r="E13" s="145"/>
      <c r="F13" s="167" t="s">
        <v>640</v>
      </c>
      <c r="G13" s="327">
        <f>'37 sz melléklet'!E17*1.001</f>
        <v>123624.50099999999</v>
      </c>
      <c r="H13" s="154">
        <f>G13*1.001</f>
        <v>123748.12550099997</v>
      </c>
      <c r="I13" s="146">
        <f>H13*1.001</f>
        <v>123871.87362650096</v>
      </c>
    </row>
    <row r="14" spans="1:9" ht="12.75">
      <c r="A14" s="1068" t="s">
        <v>320</v>
      </c>
      <c r="B14" s="161"/>
      <c r="C14" s="327"/>
      <c r="D14" s="151"/>
      <c r="E14" s="145"/>
      <c r="F14" s="167" t="s">
        <v>641</v>
      </c>
      <c r="G14" s="327">
        <f>'37 sz melléklet'!E15*1.001-800645</f>
        <v>798852.8999999999</v>
      </c>
      <c r="H14" s="154">
        <f>G14*1.001+1000</f>
        <v>800651.7528999998</v>
      </c>
      <c r="I14" s="146">
        <f>H14*1.001</f>
        <v>801452.4046528997</v>
      </c>
    </row>
    <row r="15" spans="1:9" ht="12.75">
      <c r="A15" s="1068" t="s">
        <v>321</v>
      </c>
      <c r="B15" s="161"/>
      <c r="C15" s="327"/>
      <c r="D15" s="151"/>
      <c r="E15" s="145"/>
      <c r="F15" s="167" t="s">
        <v>642</v>
      </c>
      <c r="G15" s="327">
        <v>20000</v>
      </c>
      <c r="H15" s="151">
        <v>20000</v>
      </c>
      <c r="I15" s="145">
        <v>20000</v>
      </c>
    </row>
    <row r="16" spans="1:9" ht="12.75">
      <c r="A16" s="1068" t="s">
        <v>322</v>
      </c>
      <c r="B16" s="161"/>
      <c r="C16" s="327"/>
      <c r="D16" s="151"/>
      <c r="E16" s="145"/>
      <c r="F16" s="167" t="s">
        <v>643</v>
      </c>
      <c r="G16" s="327">
        <v>50000</v>
      </c>
      <c r="H16" s="151">
        <v>50000</v>
      </c>
      <c r="I16" s="145">
        <v>50000</v>
      </c>
    </row>
    <row r="17" spans="1:9" ht="25.5">
      <c r="A17" s="1068" t="s">
        <v>323</v>
      </c>
      <c r="B17" s="1071" t="s">
        <v>624</v>
      </c>
      <c r="C17" s="262">
        <f>C10+C11+C12+C13</f>
        <v>3183358.6999999997</v>
      </c>
      <c r="D17" s="155">
        <f>D10+D11+D12+D13</f>
        <v>3194295.6001959993</v>
      </c>
      <c r="E17" s="147">
        <f>E10+E11+E12+E13</f>
        <v>3203231.087444851</v>
      </c>
      <c r="F17" s="316" t="s">
        <v>644</v>
      </c>
      <c r="G17" s="262">
        <f>G10+G11+G12+G13+G14</f>
        <v>3454908.04174</v>
      </c>
      <c r="H17" s="155">
        <f>H10+H11+H12+H13+H14</f>
        <v>3459363.9497817387</v>
      </c>
      <c r="I17" s="147">
        <f>I10+I11+I12+I13+I14</f>
        <v>3462823.3137315204</v>
      </c>
    </row>
    <row r="18" spans="1:9" ht="12.75">
      <c r="A18" s="1068" t="s">
        <v>324</v>
      </c>
      <c r="B18" s="1071"/>
      <c r="C18" s="262"/>
      <c r="D18" s="155"/>
      <c r="E18" s="147"/>
      <c r="F18" s="167"/>
      <c r="G18" s="327"/>
      <c r="H18" s="151"/>
      <c r="I18" s="145"/>
    </row>
    <row r="19" spans="1:9" ht="12.75">
      <c r="A19" s="1068" t="s">
        <v>325</v>
      </c>
      <c r="B19" s="161" t="s">
        <v>625</v>
      </c>
      <c r="C19" s="327"/>
      <c r="D19" s="151"/>
      <c r="E19" s="145"/>
      <c r="F19" s="167" t="s">
        <v>645</v>
      </c>
      <c r="G19" s="327"/>
      <c r="H19" s="151"/>
      <c r="I19" s="145"/>
    </row>
    <row r="20" spans="1:9" ht="12.75">
      <c r="A20" s="1068" t="s">
        <v>326</v>
      </c>
      <c r="B20" s="161" t="s">
        <v>626</v>
      </c>
      <c r="C20" s="327"/>
      <c r="D20" s="151"/>
      <c r="E20" s="145"/>
      <c r="F20" s="167" t="s">
        <v>646</v>
      </c>
      <c r="G20" s="327"/>
      <c r="H20" s="151"/>
      <c r="I20" s="145"/>
    </row>
    <row r="21" spans="1:9" ht="12.75">
      <c r="A21" s="1068" t="s">
        <v>327</v>
      </c>
      <c r="B21" s="161" t="s">
        <v>627</v>
      </c>
      <c r="C21" s="327">
        <v>0</v>
      </c>
      <c r="D21" s="151">
        <v>0</v>
      </c>
      <c r="E21" s="145">
        <v>0</v>
      </c>
      <c r="F21" s="167" t="s">
        <v>647</v>
      </c>
      <c r="G21" s="327"/>
      <c r="H21" s="151"/>
      <c r="I21" s="145"/>
    </row>
    <row r="22" spans="1:9" ht="12.75">
      <c r="A22" s="1068" t="s">
        <v>328</v>
      </c>
      <c r="B22" s="161" t="s">
        <v>628</v>
      </c>
      <c r="C22" s="327"/>
      <c r="D22" s="151"/>
      <c r="E22" s="145"/>
      <c r="F22" s="167" t="s">
        <v>648</v>
      </c>
      <c r="G22" s="327"/>
      <c r="H22" s="151"/>
      <c r="I22" s="145"/>
    </row>
    <row r="23" spans="1:9" ht="12.75">
      <c r="A23" s="1068" t="s">
        <v>329</v>
      </c>
      <c r="B23" s="161" t="s">
        <v>629</v>
      </c>
      <c r="C23" s="327"/>
      <c r="D23" s="151"/>
      <c r="E23" s="145"/>
      <c r="F23" s="167" t="s">
        <v>649</v>
      </c>
      <c r="G23" s="327">
        <v>1200000</v>
      </c>
      <c r="H23" s="151">
        <v>1220000</v>
      </c>
      <c r="I23" s="145">
        <v>1250000</v>
      </c>
    </row>
    <row r="24" spans="1:9" ht="12.75">
      <c r="A24" s="1068" t="s">
        <v>330</v>
      </c>
      <c r="B24" s="161" t="s">
        <v>630</v>
      </c>
      <c r="C24" s="327">
        <v>1200000</v>
      </c>
      <c r="D24" s="151">
        <v>1220000</v>
      </c>
      <c r="E24" s="145">
        <v>1250000</v>
      </c>
      <c r="F24" s="167" t="s">
        <v>650</v>
      </c>
      <c r="G24" s="327"/>
      <c r="H24" s="151"/>
      <c r="I24" s="145"/>
    </row>
    <row r="25" spans="1:9" ht="12.75">
      <c r="A25" s="1068" t="s">
        <v>331</v>
      </c>
      <c r="B25" s="161" t="s">
        <v>631</v>
      </c>
      <c r="C25" s="327"/>
      <c r="D25" s="151"/>
      <c r="E25" s="145"/>
      <c r="F25" s="167" t="s">
        <v>651</v>
      </c>
      <c r="G25" s="327"/>
      <c r="H25" s="151"/>
      <c r="I25" s="145"/>
    </row>
    <row r="26" spans="1:9" ht="12.75">
      <c r="A26" s="1068" t="s">
        <v>332</v>
      </c>
      <c r="B26" s="161" t="s">
        <v>632</v>
      </c>
      <c r="C26" s="327"/>
      <c r="D26" s="151"/>
      <c r="E26" s="145"/>
      <c r="F26" s="167" t="s">
        <v>652</v>
      </c>
      <c r="G26" s="327"/>
      <c r="H26" s="151"/>
      <c r="I26" s="145"/>
    </row>
    <row r="27" spans="1:9" ht="25.5">
      <c r="A27" s="1068" t="s">
        <v>333</v>
      </c>
      <c r="B27" s="602" t="s">
        <v>633</v>
      </c>
      <c r="C27" s="327"/>
      <c r="D27" s="151"/>
      <c r="E27" s="145"/>
      <c r="F27" s="585" t="s">
        <v>653</v>
      </c>
      <c r="G27" s="327"/>
      <c r="H27" s="151"/>
      <c r="I27" s="145"/>
    </row>
    <row r="28" spans="1:9" ht="12.75">
      <c r="A28" s="1068" t="s">
        <v>334</v>
      </c>
      <c r="B28" s="1072" t="s">
        <v>634</v>
      </c>
      <c r="C28" s="262">
        <f>C19+C20+C21+C22+C23+C24+C25+C26+C27</f>
        <v>1200000</v>
      </c>
      <c r="D28" s="155">
        <f>D19+D20+D21+D22+D23+D24+D25+D26+D27</f>
        <v>1220000</v>
      </c>
      <c r="E28" s="147">
        <f>E19+E20+E21+E22+E23+E24+E25+E26+E27</f>
        <v>1250000</v>
      </c>
      <c r="F28" s="1012" t="s">
        <v>654</v>
      </c>
      <c r="G28" s="262">
        <f>G19+G20+G21+G22+G23+G24+G25+G26+G27</f>
        <v>1200000</v>
      </c>
      <c r="H28" s="155">
        <f>H19+H20+H21+H22+H23+H24+H25+H26+H27</f>
        <v>1220000</v>
      </c>
      <c r="I28" s="147">
        <f>I19+I20+I21+I22+I23+I24+I25+I26+I27</f>
        <v>1250000</v>
      </c>
    </row>
    <row r="29" spans="1:9" ht="12.75">
      <c r="A29" s="1068" t="s">
        <v>336</v>
      </c>
      <c r="B29" s="1072"/>
      <c r="C29" s="262"/>
      <c r="D29" s="155"/>
      <c r="E29" s="147"/>
      <c r="F29" s="167"/>
      <c r="G29" s="327"/>
      <c r="H29" s="151"/>
      <c r="I29" s="145"/>
    </row>
    <row r="30" spans="1:9" ht="13.5" thickBot="1">
      <c r="A30" s="1069" t="s">
        <v>337</v>
      </c>
      <c r="B30" s="1073" t="s">
        <v>635</v>
      </c>
      <c r="C30" s="1350">
        <f>C17+C28</f>
        <v>4383358.699999999</v>
      </c>
      <c r="D30" s="642">
        <f>D17+D28</f>
        <v>4414295.600195999</v>
      </c>
      <c r="E30" s="1351">
        <f>E17+E28</f>
        <v>4453231.087444851</v>
      </c>
      <c r="F30" s="1076" t="s">
        <v>655</v>
      </c>
      <c r="G30" s="1350">
        <f>G17+G28</f>
        <v>4654908.04174</v>
      </c>
      <c r="H30" s="642">
        <f>H17+H28</f>
        <v>4679363.949781738</v>
      </c>
      <c r="I30" s="1351">
        <f>I17+I28</f>
        <v>4712823.31373152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54" t="s">
        <v>1459</v>
      </c>
      <c r="B36" s="1654"/>
      <c r="C36" s="1654"/>
      <c r="D36" s="1654"/>
      <c r="E36" s="1654"/>
      <c r="F36" s="1654"/>
      <c r="G36" s="1654"/>
    </row>
    <row r="37" spans="1:9" ht="12.75">
      <c r="A37" s="1679">
        <v>2</v>
      </c>
      <c r="B37" s="1679"/>
      <c r="C37" s="1679"/>
      <c r="D37" s="1679"/>
      <c r="E37" s="1679"/>
      <c r="F37" s="1679"/>
      <c r="G37" s="1679"/>
      <c r="H37" s="1675"/>
      <c r="I37" s="1675"/>
    </row>
    <row r="39" spans="1:9" ht="15.75">
      <c r="A39" s="1687" t="s">
        <v>636</v>
      </c>
      <c r="B39" s="1687"/>
      <c r="C39" s="1687"/>
      <c r="D39" s="1687"/>
      <c r="E39" s="1687"/>
      <c r="F39" s="1687"/>
      <c r="G39" s="1687"/>
      <c r="H39" s="1687"/>
      <c r="I39" s="1687"/>
    </row>
    <row r="40" spans="1:9" ht="15.75">
      <c r="A40" s="1687" t="s">
        <v>657</v>
      </c>
      <c r="B40" s="1687"/>
      <c r="C40" s="1687"/>
      <c r="D40" s="1687"/>
      <c r="E40" s="1687"/>
      <c r="F40" s="1687"/>
      <c r="G40" s="1687"/>
      <c r="H40" s="1687"/>
      <c r="I40" s="1687"/>
    </row>
    <row r="41" spans="1:9" ht="12.75">
      <c r="A41" s="1062"/>
      <c r="B41" s="1062"/>
      <c r="C41" s="1062"/>
      <c r="D41" s="1062"/>
      <c r="E41" s="1062"/>
      <c r="F41" s="1062"/>
      <c r="G41" s="1062"/>
      <c r="H41" s="1062"/>
      <c r="I41" s="1062"/>
    </row>
    <row r="42" spans="2:7" ht="13.5" thickBot="1">
      <c r="B42" s="51"/>
      <c r="C42" s="51"/>
      <c r="D42" s="51"/>
      <c r="E42" s="51"/>
      <c r="F42" s="1060"/>
      <c r="G42" s="1060" t="s">
        <v>4</v>
      </c>
    </row>
    <row r="43" spans="1:9" ht="13.5" thickBot="1">
      <c r="A43" s="1717" t="s">
        <v>311</v>
      </c>
      <c r="B43" s="1812" t="s">
        <v>51</v>
      </c>
      <c r="C43" s="1813"/>
      <c r="D43" s="1814"/>
      <c r="E43" s="1814"/>
      <c r="F43" s="1815" t="s">
        <v>76</v>
      </c>
      <c r="G43" s="1816"/>
      <c r="H43" s="1817"/>
      <c r="I43" s="1701"/>
    </row>
    <row r="44" spans="1:9" ht="26.25" thickBot="1">
      <c r="A44" s="1718"/>
      <c r="B44" s="1063" t="s">
        <v>68</v>
      </c>
      <c r="C44" s="1064" t="s">
        <v>619</v>
      </c>
      <c r="D44" s="1064" t="s">
        <v>1050</v>
      </c>
      <c r="E44" s="1064" t="s">
        <v>1101</v>
      </c>
      <c r="F44" s="1065" t="s">
        <v>68</v>
      </c>
      <c r="G44" s="1064" t="s">
        <v>619</v>
      </c>
      <c r="H44" s="1064" t="s">
        <v>1050</v>
      </c>
      <c r="I44" s="1064" t="s">
        <v>1101</v>
      </c>
    </row>
    <row r="45" spans="1:9" ht="13.5" thickBot="1">
      <c r="A45" s="449" t="s">
        <v>312</v>
      </c>
      <c r="B45" s="474" t="s">
        <v>313</v>
      </c>
      <c r="C45" s="477" t="s">
        <v>314</v>
      </c>
      <c r="D45" s="477" t="s">
        <v>315</v>
      </c>
      <c r="E45" s="474" t="s">
        <v>335</v>
      </c>
      <c r="F45" s="477" t="s">
        <v>360</v>
      </c>
      <c r="G45" s="466" t="s">
        <v>361</v>
      </c>
      <c r="H45" s="1066" t="s">
        <v>387</v>
      </c>
      <c r="I45" s="1061" t="s">
        <v>388</v>
      </c>
    </row>
    <row r="46" spans="1:9" ht="12.75">
      <c r="A46" s="1077" t="s">
        <v>338</v>
      </c>
      <c r="B46" s="1075" t="s">
        <v>658</v>
      </c>
      <c r="C46" s="1349">
        <v>100000</v>
      </c>
      <c r="D46" s="1349">
        <v>100000</v>
      </c>
      <c r="E46" s="640">
        <v>100000</v>
      </c>
      <c r="F46" s="1080" t="s">
        <v>664</v>
      </c>
      <c r="G46" s="1331">
        <v>300000</v>
      </c>
      <c r="H46" s="1331">
        <v>200000</v>
      </c>
      <c r="I46" s="1331">
        <v>100000</v>
      </c>
    </row>
    <row r="47" spans="1:9" ht="12.75">
      <c r="A47" s="1067" t="s">
        <v>339</v>
      </c>
      <c r="B47" s="161" t="s">
        <v>659</v>
      </c>
      <c r="C47" s="327">
        <v>200000</v>
      </c>
      <c r="D47" s="327">
        <v>195000</v>
      </c>
      <c r="E47" s="151">
        <v>100000</v>
      </c>
      <c r="F47" s="1019" t="s">
        <v>665</v>
      </c>
      <c r="G47" s="145">
        <v>40000</v>
      </c>
      <c r="H47" s="145">
        <v>40000</v>
      </c>
      <c r="I47" s="145">
        <v>40000</v>
      </c>
    </row>
    <row r="48" spans="1:9" ht="12.75">
      <c r="A48" s="1067" t="s">
        <v>340</v>
      </c>
      <c r="B48" s="161" t="s">
        <v>660</v>
      </c>
      <c r="C48" s="327">
        <v>0</v>
      </c>
      <c r="D48" s="327">
        <v>0</v>
      </c>
      <c r="E48" s="151">
        <v>0</v>
      </c>
      <c r="F48" s="1019" t="s">
        <v>666</v>
      </c>
      <c r="G48" s="145">
        <v>70000</v>
      </c>
      <c r="H48" s="145">
        <v>70000</v>
      </c>
      <c r="I48" s="145">
        <v>70000</v>
      </c>
    </row>
    <row r="49" spans="1:9" ht="25.5">
      <c r="A49" s="1067" t="s">
        <v>341</v>
      </c>
      <c r="B49" s="1071" t="s">
        <v>661</v>
      </c>
      <c r="C49" s="262">
        <f>C46+C47+C48</f>
        <v>300000</v>
      </c>
      <c r="D49" s="262">
        <f>D46+D47+D48</f>
        <v>295000</v>
      </c>
      <c r="E49" s="155">
        <f>E46+E47+E48</f>
        <v>200000</v>
      </c>
      <c r="F49" s="1082" t="s">
        <v>667</v>
      </c>
      <c r="G49" s="147">
        <f>G46+G47+G48</f>
        <v>410000</v>
      </c>
      <c r="H49" s="147">
        <f>H46+H47+H48</f>
        <v>310000</v>
      </c>
      <c r="I49" s="147">
        <f>I46+I47+I48</f>
        <v>210000</v>
      </c>
    </row>
    <row r="50" spans="1:9" ht="12.75">
      <c r="A50" s="1067" t="s">
        <v>342</v>
      </c>
      <c r="B50" s="161"/>
      <c r="C50" s="327"/>
      <c r="D50" s="327"/>
      <c r="E50" s="151"/>
      <c r="F50" s="1019"/>
      <c r="G50" s="145"/>
      <c r="H50" s="145"/>
      <c r="I50" s="145"/>
    </row>
    <row r="51" spans="1:9" ht="12.75">
      <c r="A51" s="1067" t="s">
        <v>343</v>
      </c>
      <c r="B51" s="161" t="s">
        <v>625</v>
      </c>
      <c r="C51" s="327"/>
      <c r="D51" s="327"/>
      <c r="E51" s="151"/>
      <c r="F51" s="1019" t="s">
        <v>645</v>
      </c>
      <c r="G51" s="145"/>
      <c r="H51" s="145"/>
      <c r="I51" s="145"/>
    </row>
    <row r="52" spans="1:9" ht="12.75">
      <c r="A52" s="1067" t="s">
        <v>344</v>
      </c>
      <c r="B52" s="161" t="s">
        <v>626</v>
      </c>
      <c r="C52" s="327"/>
      <c r="D52" s="327"/>
      <c r="E52" s="151"/>
      <c r="F52" s="1019" t="s">
        <v>646</v>
      </c>
      <c r="G52" s="145"/>
      <c r="H52" s="145"/>
      <c r="I52" s="145"/>
    </row>
    <row r="53" spans="1:9" ht="12.75">
      <c r="A53" s="1067" t="s">
        <v>345</v>
      </c>
      <c r="B53" s="161" t="s">
        <v>627</v>
      </c>
      <c r="C53" s="327">
        <v>500000</v>
      </c>
      <c r="D53" s="327">
        <v>350000</v>
      </c>
      <c r="E53" s="151">
        <v>250000</v>
      </c>
      <c r="F53" s="1019" t="s">
        <v>647</v>
      </c>
      <c r="G53" s="145"/>
      <c r="H53" s="145"/>
      <c r="I53" s="145"/>
    </row>
    <row r="54" spans="1:9" ht="12.75">
      <c r="A54" s="1067" t="s">
        <v>346</v>
      </c>
      <c r="B54" s="161" t="s">
        <v>628</v>
      </c>
      <c r="C54" s="327"/>
      <c r="D54" s="327"/>
      <c r="E54" s="151"/>
      <c r="F54" s="1019" t="s">
        <v>648</v>
      </c>
      <c r="G54" s="145"/>
      <c r="H54" s="145"/>
      <c r="I54" s="145"/>
    </row>
    <row r="55" spans="1:9" ht="12.75">
      <c r="A55" s="1067" t="s">
        <v>347</v>
      </c>
      <c r="B55" s="161" t="s">
        <v>629</v>
      </c>
      <c r="C55" s="327"/>
      <c r="D55" s="327"/>
      <c r="E55" s="151"/>
      <c r="F55" s="1019" t="s">
        <v>649</v>
      </c>
      <c r="G55" s="327"/>
      <c r="H55" s="327"/>
      <c r="I55" s="151"/>
    </row>
    <row r="56" spans="1:9" ht="12.75">
      <c r="A56" s="1067" t="s">
        <v>348</v>
      </c>
      <c r="B56" s="161" t="s">
        <v>630</v>
      </c>
      <c r="C56" s="327"/>
      <c r="D56" s="327"/>
      <c r="E56" s="151"/>
      <c r="F56" s="1019" t="s">
        <v>650</v>
      </c>
      <c r="G56" s="145"/>
      <c r="H56" s="145"/>
      <c r="I56" s="145"/>
    </row>
    <row r="57" spans="1:9" ht="12.75">
      <c r="A57" s="1067" t="s">
        <v>349</v>
      </c>
      <c r="B57" s="161" t="s">
        <v>631</v>
      </c>
      <c r="C57" s="327"/>
      <c r="D57" s="327"/>
      <c r="E57" s="151"/>
      <c r="F57" s="1019" t="s">
        <v>651</v>
      </c>
      <c r="G57" s="145"/>
      <c r="H57" s="145"/>
      <c r="I57" s="145"/>
    </row>
    <row r="58" spans="1:9" ht="12.75">
      <c r="A58" s="1067" t="s">
        <v>350</v>
      </c>
      <c r="B58" s="161" t="s">
        <v>632</v>
      </c>
      <c r="C58" s="327"/>
      <c r="D58" s="327"/>
      <c r="E58" s="151"/>
      <c r="F58" s="1019" t="s">
        <v>652</v>
      </c>
      <c r="G58" s="145"/>
      <c r="H58" s="145"/>
      <c r="I58" s="145"/>
    </row>
    <row r="59" spans="1:9" ht="25.5">
      <c r="A59" s="1067" t="s">
        <v>351</v>
      </c>
      <c r="B59" s="602" t="s">
        <v>633</v>
      </c>
      <c r="C59" s="327"/>
      <c r="D59" s="327"/>
      <c r="E59" s="151"/>
      <c r="F59" s="1083" t="s">
        <v>653</v>
      </c>
      <c r="G59" s="145"/>
      <c r="H59" s="145"/>
      <c r="I59" s="145"/>
    </row>
    <row r="60" spans="1:9" ht="12.75">
      <c r="A60" s="1067" t="s">
        <v>352</v>
      </c>
      <c r="B60" s="1072" t="s">
        <v>634</v>
      </c>
      <c r="C60" s="262">
        <f>C51+C52+C53+C54+C55+C56+C57+C58+C59</f>
        <v>500000</v>
      </c>
      <c r="D60" s="262">
        <f>D51+D52+D53+D54+D55+D56+D57+D58+D59</f>
        <v>350000</v>
      </c>
      <c r="E60" s="155">
        <f>E51+E52+E53+E54+E55+E56+E57+E58+E59</f>
        <v>250000</v>
      </c>
      <c r="F60" s="1074" t="s">
        <v>654</v>
      </c>
      <c r="G60" s="147">
        <f>G51+G52+G53+G54+G55+G56+G57+G58+G59</f>
        <v>0</v>
      </c>
      <c r="H60" s="147">
        <f>H51+H52+H53+H54+H55+H56+H57+H58+H59</f>
        <v>0</v>
      </c>
      <c r="I60" s="147">
        <f>I51+I52+I53+I54+I55+I56+I57+I58+I59</f>
        <v>0</v>
      </c>
    </row>
    <row r="61" spans="1:9" ht="12.75">
      <c r="A61" s="1067" t="s">
        <v>353</v>
      </c>
      <c r="B61" s="161"/>
      <c r="C61" s="327"/>
      <c r="D61" s="327"/>
      <c r="E61" s="151"/>
      <c r="F61" s="1019"/>
      <c r="G61" s="145"/>
      <c r="H61" s="145"/>
      <c r="I61" s="145"/>
    </row>
    <row r="62" spans="1:9" ht="12.75">
      <c r="A62" s="1067" t="s">
        <v>354</v>
      </c>
      <c r="B62" s="1081" t="s">
        <v>662</v>
      </c>
      <c r="C62" s="262">
        <f>C49+C60</f>
        <v>800000</v>
      </c>
      <c r="D62" s="262">
        <f>D49+D60</f>
        <v>645000</v>
      </c>
      <c r="E62" s="155">
        <f>E49+E60</f>
        <v>450000</v>
      </c>
      <c r="F62" s="1084" t="s">
        <v>668</v>
      </c>
      <c r="G62" s="147">
        <f>G49+G60</f>
        <v>410000</v>
      </c>
      <c r="H62" s="147">
        <f>H49+H60</f>
        <v>310000</v>
      </c>
      <c r="I62" s="147">
        <f>I49+I60</f>
        <v>210000</v>
      </c>
    </row>
    <row r="63" spans="1:9" ht="13.5" thickBot="1">
      <c r="A63" s="1078" t="s">
        <v>355</v>
      </c>
      <c r="B63" s="317"/>
      <c r="C63" s="328"/>
      <c r="D63" s="328"/>
      <c r="E63" s="156"/>
      <c r="F63" s="1020"/>
      <c r="G63" s="1352"/>
      <c r="H63" s="1352"/>
      <c r="I63" s="1352"/>
    </row>
    <row r="64" spans="1:9" ht="21.75" customHeight="1" thickBot="1">
      <c r="A64" s="1079" t="s">
        <v>356</v>
      </c>
      <c r="B64" s="140" t="s">
        <v>663</v>
      </c>
      <c r="C64" s="263">
        <f>C62+C30</f>
        <v>5183358.699999999</v>
      </c>
      <c r="D64" s="263">
        <f>D62+D30</f>
        <v>5059295.600195999</v>
      </c>
      <c r="E64" s="158">
        <f>E62+E30</f>
        <v>4903231.087444851</v>
      </c>
      <c r="F64" s="661" t="s">
        <v>669</v>
      </c>
      <c r="G64" s="255">
        <f>G62+G30</f>
        <v>5064908.04174</v>
      </c>
      <c r="H64" s="255">
        <f>H62+H30</f>
        <v>4989363.949781738</v>
      </c>
      <c r="I64" s="255">
        <f>I62+I30</f>
        <v>4922823.31373152</v>
      </c>
    </row>
  </sheetData>
  <sheetProtection/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4"/>
  <sheetViews>
    <sheetView zoomScalePageLayoutView="0" workbookViewId="0" topLeftCell="A1">
      <selection activeCell="H599" sqref="H59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54" t="s">
        <v>1407</v>
      </c>
      <c r="B1" s="1654"/>
      <c r="C1" s="1654"/>
      <c r="D1" s="1654"/>
      <c r="E1" s="1654"/>
      <c r="F1" s="19"/>
      <c r="G1" s="19"/>
    </row>
    <row r="2" spans="1:7" ht="15">
      <c r="A2" s="384"/>
      <c r="B2" s="384"/>
      <c r="C2" s="384"/>
      <c r="D2" s="384"/>
      <c r="E2" s="384"/>
      <c r="F2" s="19"/>
      <c r="G2" s="19"/>
    </row>
    <row r="3" spans="2:7" ht="15.75">
      <c r="B3" s="1674" t="s">
        <v>1063</v>
      </c>
      <c r="C3" s="1674"/>
      <c r="D3" s="1674"/>
      <c r="E3" s="1674"/>
      <c r="F3" s="37"/>
      <c r="G3" s="13"/>
    </row>
    <row r="4" spans="2:7" ht="15.75">
      <c r="B4" s="21"/>
      <c r="C4" s="21"/>
      <c r="D4" s="21"/>
      <c r="E4" s="21"/>
      <c r="F4" s="37"/>
      <c r="G4" s="13"/>
    </row>
    <row r="5" spans="2:5" ht="13.5" thickBot="1">
      <c r="B5" s="1"/>
      <c r="C5" s="1"/>
      <c r="D5" s="1"/>
      <c r="E5" s="22" t="s">
        <v>8</v>
      </c>
    </row>
    <row r="6" spans="1:5" ht="39.75" thickBot="1">
      <c r="A6" s="399" t="s">
        <v>311</v>
      </c>
      <c r="B6" s="610" t="s">
        <v>13</v>
      </c>
      <c r="C6" s="367" t="s">
        <v>961</v>
      </c>
      <c r="D6" s="392" t="s">
        <v>1280</v>
      </c>
      <c r="E6" s="391" t="s">
        <v>366</v>
      </c>
    </row>
    <row r="7" spans="1:5" ht="12.75">
      <c r="A7" s="611" t="s">
        <v>312</v>
      </c>
      <c r="B7" s="612" t="s">
        <v>313</v>
      </c>
      <c r="C7" s="621" t="s">
        <v>314</v>
      </c>
      <c r="D7" s="622" t="s">
        <v>315</v>
      </c>
      <c r="E7" s="622" t="s">
        <v>335</v>
      </c>
    </row>
    <row r="8" spans="1:5" ht="12.75">
      <c r="A8" s="372" t="s">
        <v>316</v>
      </c>
      <c r="B8" s="379" t="s">
        <v>256</v>
      </c>
      <c r="C8" s="327"/>
      <c r="D8" s="151"/>
      <c r="E8" s="151"/>
    </row>
    <row r="9" spans="1:5" ht="12.75">
      <c r="A9" s="371" t="s">
        <v>317</v>
      </c>
      <c r="B9" s="199" t="s">
        <v>681</v>
      </c>
      <c r="C9" s="812">
        <f>32779+2880+589+2144-200</f>
        <v>38192</v>
      </c>
      <c r="D9" s="151"/>
      <c r="E9" s="151"/>
    </row>
    <row r="10" spans="1:5" ht="12.75">
      <c r="A10" s="371" t="s">
        <v>318</v>
      </c>
      <c r="B10" s="228" t="s">
        <v>683</v>
      </c>
      <c r="C10" s="812">
        <f>8850+1274+488-3</f>
        <v>10609</v>
      </c>
      <c r="D10" s="151"/>
      <c r="E10" s="151"/>
    </row>
    <row r="11" spans="1:5" ht="12.75">
      <c r="A11" s="371" t="s">
        <v>319</v>
      </c>
      <c r="B11" s="228" t="s">
        <v>682</v>
      </c>
      <c r="C11" s="812">
        <v>146003</v>
      </c>
      <c r="D11" s="151">
        <f>4953</f>
        <v>4953</v>
      </c>
      <c r="E11" s="151"/>
    </row>
    <row r="12" spans="1:5" ht="12.75">
      <c r="A12" s="371" t="s">
        <v>320</v>
      </c>
      <c r="B12" s="228" t="s">
        <v>684</v>
      </c>
      <c r="C12" s="327"/>
      <c r="D12" s="151"/>
      <c r="E12" s="151"/>
    </row>
    <row r="13" spans="1:5" ht="12.75">
      <c r="A13" s="371" t="s">
        <v>321</v>
      </c>
      <c r="B13" s="228" t="s">
        <v>685</v>
      </c>
      <c r="C13" s="327">
        <v>2463</v>
      </c>
      <c r="D13" s="151"/>
      <c r="E13" s="151"/>
    </row>
    <row r="14" spans="1:5" ht="12.75">
      <c r="A14" s="371" t="s">
        <v>322</v>
      </c>
      <c r="B14" s="228" t="s">
        <v>686</v>
      </c>
      <c r="C14" s="327">
        <f>C15+C16+C17+C18+C19+C20+C21</f>
        <v>13411</v>
      </c>
      <c r="D14" s="327">
        <f>D15+D16+D17+D18+D19+D20+D21</f>
        <v>0</v>
      </c>
      <c r="E14" s="151">
        <f>E15+E16+E17+E18+E19+E20+E21</f>
        <v>48351</v>
      </c>
    </row>
    <row r="15" spans="1:5" ht="12.75">
      <c r="A15" s="371" t="s">
        <v>323</v>
      </c>
      <c r="B15" s="228" t="s">
        <v>690</v>
      </c>
      <c r="C15" s="327">
        <f>'6 7_sz_melléklet'!E10+'6 7_sz_melléklet'!E11+'6 7_sz_melléklet'!E12+1345</f>
        <v>13411</v>
      </c>
      <c r="D15" s="151"/>
      <c r="E15" s="151"/>
    </row>
    <row r="16" spans="1:5" s="17" customFormat="1" ht="12.75">
      <c r="A16" s="371" t="s">
        <v>324</v>
      </c>
      <c r="B16" s="228" t="s">
        <v>691</v>
      </c>
      <c r="C16" s="327"/>
      <c r="D16" s="151"/>
      <c r="E16" s="814"/>
    </row>
    <row r="17" spans="1:5" ht="12.75">
      <c r="A17" s="371" t="s">
        <v>325</v>
      </c>
      <c r="B17" s="228" t="s">
        <v>692</v>
      </c>
      <c r="C17" s="327"/>
      <c r="D17" s="151"/>
      <c r="E17" s="151"/>
    </row>
    <row r="18" spans="1:5" ht="11.25" customHeight="1">
      <c r="A18" s="371" t="s">
        <v>326</v>
      </c>
      <c r="B18" s="380" t="s">
        <v>688</v>
      </c>
      <c r="C18" s="262"/>
      <c r="D18" s="155"/>
      <c r="E18" s="151">
        <f>'6 7_sz_melléklet'!E31+'6 7_sz_melléklet'!E32+'6 7_sz_melléklet'!E39+'6 7_sz_melléklet'!E45+'6 7_sz_melléklet'!E46</f>
        <v>48351</v>
      </c>
    </row>
    <row r="19" spans="1:5" ht="11.25" customHeight="1">
      <c r="A19" s="371" t="s">
        <v>327</v>
      </c>
      <c r="B19" s="834" t="s">
        <v>689</v>
      </c>
      <c r="C19" s="330"/>
      <c r="D19" s="152"/>
      <c r="E19" s="151"/>
    </row>
    <row r="20" spans="1:5" ht="11.25" customHeight="1">
      <c r="A20" s="371" t="s">
        <v>328</v>
      </c>
      <c r="B20" s="835" t="s">
        <v>687</v>
      </c>
      <c r="C20" s="330"/>
      <c r="D20" s="152"/>
      <c r="E20" s="151"/>
    </row>
    <row r="21" spans="1:5" ht="11.25" customHeight="1">
      <c r="A21" s="371" t="s">
        <v>329</v>
      </c>
      <c r="B21" s="136" t="s">
        <v>957</v>
      </c>
      <c r="C21" s="330"/>
      <c r="D21" s="152"/>
      <c r="E21" s="151"/>
    </row>
    <row r="22" spans="1:5" ht="13.5" thickBot="1">
      <c r="A22" s="371" t="s">
        <v>330</v>
      </c>
      <c r="B22" s="230" t="s">
        <v>694</v>
      </c>
      <c r="C22" s="328"/>
      <c r="D22" s="156"/>
      <c r="E22" s="151"/>
    </row>
    <row r="23" spans="1:5" ht="13.5" thickBot="1">
      <c r="A23" s="615" t="s">
        <v>331</v>
      </c>
      <c r="B23" s="616" t="s">
        <v>6</v>
      </c>
      <c r="C23" s="629">
        <f>C9+C10+C11+C12+C14+C22</f>
        <v>208215</v>
      </c>
      <c r="D23" s="629">
        <f>D9+D10+D11+D12+D14+D22</f>
        <v>4953</v>
      </c>
      <c r="E23" s="630">
        <f>E9+E10+E11+E12+E14+E22</f>
        <v>48351</v>
      </c>
    </row>
    <row r="24" spans="1:5" ht="13.5" thickTop="1">
      <c r="A24" s="604"/>
      <c r="B24" s="379"/>
      <c r="C24" s="261"/>
      <c r="D24" s="261"/>
      <c r="E24" s="863"/>
    </row>
    <row r="25" spans="1:5" ht="12.75">
      <c r="A25" s="372" t="s">
        <v>332</v>
      </c>
      <c r="B25" s="381" t="s">
        <v>257</v>
      </c>
      <c r="C25" s="329"/>
      <c r="D25" s="329"/>
      <c r="E25" s="154"/>
    </row>
    <row r="26" spans="1:5" ht="12.75">
      <c r="A26" s="371" t="s">
        <v>333</v>
      </c>
      <c r="B26" s="228" t="s">
        <v>695</v>
      </c>
      <c r="C26" s="327">
        <f>'33_sz_ melléklet'!C176+'33_sz_ melléklet'!C154</f>
        <v>14221</v>
      </c>
      <c r="D26" s="151">
        <f>'33_sz_ melléklet'!C159</f>
        <v>19685</v>
      </c>
      <c r="E26" s="151"/>
    </row>
    <row r="27" spans="1:5" ht="12.75">
      <c r="A27" s="371" t="s">
        <v>334</v>
      </c>
      <c r="B27" s="228" t="s">
        <v>696</v>
      </c>
      <c r="C27" s="327"/>
      <c r="D27" s="151"/>
      <c r="E27" s="151"/>
    </row>
    <row r="28" spans="1:5" ht="12.75">
      <c r="A28" s="371" t="s">
        <v>336</v>
      </c>
      <c r="B28" s="228" t="s">
        <v>697</v>
      </c>
      <c r="C28" s="262">
        <f>C29+C30+C31+C32+C33+C34+C35</f>
        <v>0</v>
      </c>
      <c r="D28" s="262">
        <f>D29+D30+D31+D32+D33+D34+D35</f>
        <v>0</v>
      </c>
      <c r="E28" s="155">
        <f>E29+E30+E31+E32+E33+E34+E35</f>
        <v>0</v>
      </c>
    </row>
    <row r="29" spans="1:5" ht="12.75">
      <c r="A29" s="371" t="s">
        <v>337</v>
      </c>
      <c r="B29" s="380" t="s">
        <v>698</v>
      </c>
      <c r="C29" s="327"/>
      <c r="D29" s="151"/>
      <c r="E29" s="151"/>
    </row>
    <row r="30" spans="1:5" ht="12.75">
      <c r="A30" s="371" t="s">
        <v>338</v>
      </c>
      <c r="B30" s="380" t="s">
        <v>699</v>
      </c>
      <c r="C30" s="327"/>
      <c r="D30" s="151"/>
      <c r="E30" s="151"/>
    </row>
    <row r="31" spans="1:5" ht="12.75">
      <c r="A31" s="371" t="s">
        <v>339</v>
      </c>
      <c r="B31" s="380" t="s">
        <v>700</v>
      </c>
      <c r="C31" s="327"/>
      <c r="D31" s="151"/>
      <c r="E31" s="151"/>
    </row>
    <row r="32" spans="1:5" ht="12.75">
      <c r="A32" s="371" t="s">
        <v>340</v>
      </c>
      <c r="B32" s="380" t="s">
        <v>701</v>
      </c>
      <c r="C32" s="327"/>
      <c r="D32" s="151"/>
      <c r="E32" s="151"/>
    </row>
    <row r="33" spans="1:5" ht="12.75">
      <c r="A33" s="371" t="s">
        <v>341</v>
      </c>
      <c r="B33" s="834" t="s">
        <v>702</v>
      </c>
      <c r="C33" s="327"/>
      <c r="D33" s="151"/>
      <c r="E33" s="151"/>
    </row>
    <row r="34" spans="1:5" ht="12.75">
      <c r="A34" s="371" t="s">
        <v>342</v>
      </c>
      <c r="B34" s="309" t="s">
        <v>703</v>
      </c>
      <c r="C34" s="327"/>
      <c r="D34" s="151"/>
      <c r="E34" s="151"/>
    </row>
    <row r="35" spans="1:5" ht="12.75">
      <c r="A35" s="371" t="s">
        <v>343</v>
      </c>
      <c r="B35" s="1091" t="s">
        <v>704</v>
      </c>
      <c r="C35" s="327"/>
      <c r="D35" s="151"/>
      <c r="E35" s="151"/>
    </row>
    <row r="36" spans="1:5" ht="12.75">
      <c r="A36" s="371" t="s">
        <v>344</v>
      </c>
      <c r="B36" s="228"/>
      <c r="C36" s="327"/>
      <c r="D36" s="151"/>
      <c r="E36" s="151"/>
    </row>
    <row r="37" spans="1:5" ht="13.5" customHeight="1" thickBot="1">
      <c r="A37" s="371" t="s">
        <v>345</v>
      </c>
      <c r="B37" s="230"/>
      <c r="C37" s="330">
        <f>-C12</f>
        <v>0</v>
      </c>
      <c r="D37" s="330">
        <f>-D12</f>
        <v>0</v>
      </c>
      <c r="E37" s="152">
        <f>-E12</f>
        <v>0</v>
      </c>
    </row>
    <row r="38" spans="1:5" ht="13.5" thickBot="1">
      <c r="A38" s="615" t="s">
        <v>958</v>
      </c>
      <c r="B38" s="616" t="s">
        <v>7</v>
      </c>
      <c r="C38" s="882">
        <f>C26+C27+C28+C36+C37</f>
        <v>14221</v>
      </c>
      <c r="D38" s="882">
        <f>D26+D27+D28+D36+D37</f>
        <v>19685</v>
      </c>
      <c r="E38" s="882">
        <f>E26+E27+E28+E36+E37</f>
        <v>0</v>
      </c>
    </row>
    <row r="39" spans="1:5" ht="27" thickBot="1" thickTop="1">
      <c r="A39" s="615" t="s">
        <v>347</v>
      </c>
      <c r="B39" s="620" t="s">
        <v>503</v>
      </c>
      <c r="C39" s="881">
        <f>C23+C38</f>
        <v>222436</v>
      </c>
      <c r="D39" s="881">
        <f>D23+D38</f>
        <v>24638</v>
      </c>
      <c r="E39" s="881">
        <f>E23+E38</f>
        <v>48351</v>
      </c>
    </row>
    <row r="40" spans="1:5" ht="13.5" thickTop="1">
      <c r="A40" s="604"/>
      <c r="B40" s="848"/>
      <c r="C40" s="159"/>
      <c r="D40" s="30"/>
      <c r="E40" s="159"/>
    </row>
    <row r="41" spans="1:5" ht="12.75">
      <c r="A41" s="372" t="s">
        <v>348</v>
      </c>
      <c r="B41" s="485" t="s">
        <v>504</v>
      </c>
      <c r="C41" s="154"/>
      <c r="D41" s="160"/>
      <c r="E41" s="154"/>
    </row>
    <row r="42" spans="1:5" ht="12.75">
      <c r="A42" s="371" t="s">
        <v>349</v>
      </c>
      <c r="B42" s="229" t="s">
        <v>1334</v>
      </c>
      <c r="C42" s="151"/>
      <c r="D42" s="117"/>
      <c r="E42" s="151"/>
    </row>
    <row r="43" spans="1:5" ht="12.75">
      <c r="A43" s="371" t="s">
        <v>350</v>
      </c>
      <c r="B43" s="697" t="s">
        <v>724</v>
      </c>
      <c r="C43" s="151"/>
      <c r="D43" s="117"/>
      <c r="E43" s="151"/>
    </row>
    <row r="44" spans="1:5" ht="12.75">
      <c r="A44" s="371" t="s">
        <v>351</v>
      </c>
      <c r="B44" s="697" t="s">
        <v>723</v>
      </c>
      <c r="C44" s="151"/>
      <c r="D44" s="117"/>
      <c r="E44" s="151"/>
    </row>
    <row r="45" spans="1:5" ht="12.75">
      <c r="A45" s="371" t="s">
        <v>352</v>
      </c>
      <c r="B45" s="697" t="s">
        <v>725</v>
      </c>
      <c r="C45" s="151"/>
      <c r="D45" s="117"/>
      <c r="E45" s="151"/>
    </row>
    <row r="46" spans="1:5" ht="12.75">
      <c r="A46" s="371" t="s">
        <v>353</v>
      </c>
      <c r="B46" s="836" t="s">
        <v>727</v>
      </c>
      <c r="C46" s="151"/>
      <c r="D46" s="117"/>
      <c r="E46" s="151"/>
    </row>
    <row r="47" spans="1:5" ht="12.75">
      <c r="A47" s="371" t="s">
        <v>354</v>
      </c>
      <c r="B47" s="837" t="s">
        <v>730</v>
      </c>
      <c r="C47" s="151"/>
      <c r="D47" s="117"/>
      <c r="E47" s="151"/>
    </row>
    <row r="48" spans="1:5" ht="12.75">
      <c r="A48" s="371" t="s">
        <v>355</v>
      </c>
      <c r="B48" s="838" t="s">
        <v>729</v>
      </c>
      <c r="C48" s="151"/>
      <c r="D48" s="117">
        <f>'42_sz_ melléklet'!C12</f>
        <v>0</v>
      </c>
      <c r="E48" s="151"/>
    </row>
    <row r="49" spans="1:5" ht="13.5" thickBot="1">
      <c r="A49" s="371" t="s">
        <v>356</v>
      </c>
      <c r="B49" s="382" t="s">
        <v>728</v>
      </c>
      <c r="C49" s="156"/>
      <c r="D49" s="118">
        <f>'42_sz_ melléklet'!E12+'42_sz_ melléklet'!F12+'42_sz_ melléklet'!H12+'42_sz_ melléklet'!J12</f>
        <v>0</v>
      </c>
      <c r="E49" s="156"/>
    </row>
    <row r="50" spans="1:5" ht="13.5" thickBot="1">
      <c r="A50" s="395" t="s">
        <v>357</v>
      </c>
      <c r="B50" s="315" t="s">
        <v>731</v>
      </c>
      <c r="C50" s="158">
        <f>C42+C43+C44+C45+C46+C47+C48+C49</f>
        <v>0</v>
      </c>
      <c r="D50" s="158">
        <f>D42+D43+D44+D45+D46+D47+D48+D49</f>
        <v>0</v>
      </c>
      <c r="E50" s="158">
        <f>E42+E43+E44+E45+E46+E47+E48+E49</f>
        <v>0</v>
      </c>
    </row>
    <row r="51" spans="1:5" ht="12.75">
      <c r="A51" s="604"/>
      <c r="B51" s="44"/>
      <c r="C51" s="159"/>
      <c r="D51" s="30"/>
      <c r="E51" s="159"/>
    </row>
    <row r="52" spans="1:5" ht="13.5" thickBot="1">
      <c r="A52" s="456" t="s">
        <v>358</v>
      </c>
      <c r="B52" s="1380" t="s">
        <v>506</v>
      </c>
      <c r="C52" s="334">
        <f>C39+C50</f>
        <v>222436</v>
      </c>
      <c r="D52" s="334">
        <f>D39+D50</f>
        <v>24638</v>
      </c>
      <c r="E52" s="334">
        <f>E39+E50</f>
        <v>48351</v>
      </c>
    </row>
    <row r="53" spans="1:5" ht="12.75">
      <c r="A53" s="393"/>
      <c r="B53" s="44"/>
      <c r="C53" s="30"/>
      <c r="D53" s="30"/>
      <c r="E53" s="30"/>
    </row>
    <row r="54" spans="1:5" ht="12.75">
      <c r="A54" s="393"/>
      <c r="B54" s="44"/>
      <c r="C54" s="30"/>
      <c r="D54" s="30"/>
      <c r="E54" s="30"/>
    </row>
    <row r="55" spans="1:5" ht="12.75">
      <c r="A55" s="393"/>
      <c r="B55" s="44"/>
      <c r="C55" s="30"/>
      <c r="D55" s="30"/>
      <c r="E55" s="30"/>
    </row>
    <row r="56" spans="1:5" ht="12.75">
      <c r="A56" s="393"/>
      <c r="B56" s="44"/>
      <c r="C56" s="30"/>
      <c r="D56" s="30"/>
      <c r="E56" s="30"/>
    </row>
    <row r="57" spans="1:5" ht="12.75">
      <c r="A57" s="393"/>
      <c r="B57" s="44"/>
      <c r="C57" s="30"/>
      <c r="D57" s="30"/>
      <c r="E57" s="30"/>
    </row>
    <row r="58" spans="1:5" ht="12.75">
      <c r="A58" s="393"/>
      <c r="B58" s="44"/>
      <c r="C58" s="30"/>
      <c r="D58" s="30"/>
      <c r="E58" s="30"/>
    </row>
    <row r="59" spans="1:5" ht="12.75">
      <c r="A59" s="393"/>
      <c r="B59" s="44"/>
      <c r="C59" s="30"/>
      <c r="D59" s="30"/>
      <c r="E59" s="30"/>
    </row>
    <row r="60" spans="1:5" ht="14.25" customHeight="1">
      <c r="A60" s="1676">
        <v>2</v>
      </c>
      <c r="B60" s="1675"/>
      <c r="C60" s="1675"/>
      <c r="D60" s="1675"/>
      <c r="E60" s="1675"/>
    </row>
    <row r="61" spans="1:5" ht="12.75">
      <c r="A61" s="1654" t="s">
        <v>1407</v>
      </c>
      <c r="B61" s="1654"/>
      <c r="C61" s="1654"/>
      <c r="D61" s="1654"/>
      <c r="E61" s="1654"/>
    </row>
    <row r="62" spans="1:5" ht="12.75">
      <c r="A62" s="384"/>
      <c r="B62" s="384"/>
      <c r="C62" s="384"/>
      <c r="D62" s="384"/>
      <c r="E62" s="384"/>
    </row>
    <row r="63" spans="2:5" ht="15.75">
      <c r="B63" s="1674" t="s">
        <v>1063</v>
      </c>
      <c r="C63" s="1674"/>
      <c r="D63" s="1674"/>
      <c r="E63" s="1674"/>
    </row>
    <row r="64" spans="2:5" ht="15.75">
      <c r="B64" s="21"/>
      <c r="C64" s="21"/>
      <c r="D64" s="21"/>
      <c r="E64" s="21"/>
    </row>
    <row r="65" spans="2:5" ht="13.5" thickBot="1">
      <c r="B65" s="1"/>
      <c r="C65" s="1"/>
      <c r="D65" s="1"/>
      <c r="E65" s="22" t="s">
        <v>8</v>
      </c>
    </row>
    <row r="66" spans="1:5" ht="27" thickBot="1">
      <c r="A66" s="399" t="s">
        <v>311</v>
      </c>
      <c r="B66" s="610" t="s">
        <v>13</v>
      </c>
      <c r="C66" s="830" t="s">
        <v>16</v>
      </c>
      <c r="D66" s="813" t="s">
        <v>14</v>
      </c>
      <c r="E66" s="830" t="s">
        <v>15</v>
      </c>
    </row>
    <row r="67" spans="1:5" ht="12.75" customHeight="1">
      <c r="A67" s="611" t="s">
        <v>312</v>
      </c>
      <c r="B67" s="612" t="s">
        <v>313</v>
      </c>
      <c r="C67" s="621" t="s">
        <v>314</v>
      </c>
      <c r="D67" s="622" t="s">
        <v>315</v>
      </c>
      <c r="E67" s="623" t="s">
        <v>335</v>
      </c>
    </row>
    <row r="68" spans="1:5" ht="11.25" customHeight="1">
      <c r="A68" s="372" t="s">
        <v>316</v>
      </c>
      <c r="B68" s="379" t="s">
        <v>256</v>
      </c>
      <c r="C68" s="327"/>
      <c r="D68" s="151"/>
      <c r="E68" s="145"/>
    </row>
    <row r="69" spans="1:5" ht="12.75">
      <c r="A69" s="371" t="s">
        <v>317</v>
      </c>
      <c r="B69" s="199" t="s">
        <v>681</v>
      </c>
      <c r="C69" s="327"/>
      <c r="D69" s="151"/>
      <c r="E69" s="145"/>
    </row>
    <row r="70" spans="1:5" ht="12.75">
      <c r="A70" s="371" t="s">
        <v>318</v>
      </c>
      <c r="B70" s="228" t="s">
        <v>683</v>
      </c>
      <c r="C70" s="327"/>
      <c r="D70" s="151"/>
      <c r="E70" s="145"/>
    </row>
    <row r="71" spans="1:5" ht="12.75">
      <c r="A71" s="371" t="s">
        <v>319</v>
      </c>
      <c r="B71" s="228" t="s">
        <v>682</v>
      </c>
      <c r="C71" s="327">
        <f>81967+50000+1441+188+3874+30000-4263+25000-207+434-42572+3772</f>
        <v>149634</v>
      </c>
      <c r="D71" s="151"/>
      <c r="E71" s="145"/>
    </row>
    <row r="72" spans="1:5" ht="12.75">
      <c r="A72" s="371" t="s">
        <v>320</v>
      </c>
      <c r="B72" s="228" t="s">
        <v>684</v>
      </c>
      <c r="C72" s="327"/>
      <c r="D72" s="151"/>
      <c r="E72" s="145"/>
    </row>
    <row r="73" spans="1:5" ht="12.75">
      <c r="A73" s="371" t="s">
        <v>321</v>
      </c>
      <c r="B73" s="228" t="s">
        <v>685</v>
      </c>
      <c r="C73" s="327"/>
      <c r="D73" s="151"/>
      <c r="E73" s="145"/>
    </row>
    <row r="74" spans="1:5" ht="12.75">
      <c r="A74" s="371" t="s">
        <v>322</v>
      </c>
      <c r="B74" s="228" t="s">
        <v>686</v>
      </c>
      <c r="C74" s="327">
        <f>C75+C76+C77+C78+C79+C80+C81</f>
        <v>242110</v>
      </c>
      <c r="D74" s="327">
        <f>D75+D76+D77+D78+D79+D80+D81</f>
        <v>0</v>
      </c>
      <c r="E74" s="151">
        <f>E75+E76+E77+E78+E79+E80+E81</f>
        <v>13000</v>
      </c>
    </row>
    <row r="75" spans="1:5" ht="12.75">
      <c r="A75" s="371" t="s">
        <v>323</v>
      </c>
      <c r="B75" s="228" t="s">
        <v>690</v>
      </c>
      <c r="C75" s="812">
        <f>'6 7_sz_melléklet'!E7+'6 7_sz_melléklet'!E8+'6 7_sz_melléklet'!E9-1345</f>
        <v>242110</v>
      </c>
      <c r="D75" s="151"/>
      <c r="E75" s="145"/>
    </row>
    <row r="76" spans="1:5" ht="12.75">
      <c r="A76" s="371" t="s">
        <v>324</v>
      </c>
      <c r="B76" s="228" t="s">
        <v>691</v>
      </c>
      <c r="C76" s="327"/>
      <c r="D76" s="151"/>
      <c r="E76" s="145"/>
    </row>
    <row r="77" spans="1:5" ht="12.75">
      <c r="A77" s="371" t="s">
        <v>325</v>
      </c>
      <c r="B77" s="228" t="s">
        <v>692</v>
      </c>
      <c r="C77" s="327"/>
      <c r="D77" s="151"/>
      <c r="E77" s="145"/>
    </row>
    <row r="78" spans="1:5" ht="13.5" customHeight="1">
      <c r="A78" s="371" t="s">
        <v>326</v>
      </c>
      <c r="B78" s="380" t="s">
        <v>688</v>
      </c>
      <c r="C78" s="262"/>
      <c r="D78" s="155"/>
      <c r="E78" s="145">
        <f>'6 7_sz_melléklet'!E40+'6 7_sz_melléklet'!E41</f>
        <v>13000</v>
      </c>
    </row>
    <row r="79" spans="1:5" ht="13.5" customHeight="1">
      <c r="A79" s="371" t="s">
        <v>327</v>
      </c>
      <c r="B79" s="834" t="s">
        <v>689</v>
      </c>
      <c r="C79" s="330"/>
      <c r="D79" s="152"/>
      <c r="E79" s="145"/>
    </row>
    <row r="80" spans="1:5" ht="13.5" customHeight="1">
      <c r="A80" s="371" t="s">
        <v>328</v>
      </c>
      <c r="B80" s="835" t="s">
        <v>687</v>
      </c>
      <c r="C80" s="330"/>
      <c r="D80" s="152"/>
      <c r="E80" s="145"/>
    </row>
    <row r="81" spans="1:5" ht="13.5" customHeight="1">
      <c r="A81" s="371" t="s">
        <v>329</v>
      </c>
      <c r="B81" s="136" t="s">
        <v>957</v>
      </c>
      <c r="C81" s="330"/>
      <c r="D81" s="152"/>
      <c r="E81" s="145"/>
    </row>
    <row r="82" spans="1:5" s="17" customFormat="1" ht="13.5" thickBot="1">
      <c r="A82" s="371" t="s">
        <v>330</v>
      </c>
      <c r="B82" s="230" t="s">
        <v>694</v>
      </c>
      <c r="C82" s="328"/>
      <c r="D82" s="156"/>
      <c r="E82" s="145"/>
    </row>
    <row r="83" spans="1:5" ht="18" customHeight="1" thickBot="1">
      <c r="A83" s="615" t="s">
        <v>331</v>
      </c>
      <c r="B83" s="616" t="s">
        <v>6</v>
      </c>
      <c r="C83" s="629">
        <f>C69+C70+C71+C72+C74+C82</f>
        <v>391744</v>
      </c>
      <c r="D83" s="629">
        <f>D69+D70+D71+D72+D74+D82</f>
        <v>0</v>
      </c>
      <c r="E83" s="630">
        <f>E69+E70+E71+E72+E74+E82</f>
        <v>13000</v>
      </c>
    </row>
    <row r="84" spans="1:5" ht="11.25" customHeight="1" thickTop="1">
      <c r="A84" s="604"/>
      <c r="B84" s="379"/>
      <c r="C84" s="261"/>
      <c r="D84" s="261"/>
      <c r="E84" s="159"/>
    </row>
    <row r="85" spans="1:5" ht="13.5" customHeight="1">
      <c r="A85" s="372" t="s">
        <v>332</v>
      </c>
      <c r="B85" s="381" t="s">
        <v>257</v>
      </c>
      <c r="C85" s="329"/>
      <c r="D85" s="329"/>
      <c r="E85" s="154"/>
    </row>
    <row r="86" spans="1:5" ht="12.75">
      <c r="A86" s="371" t="s">
        <v>333</v>
      </c>
      <c r="B86" s="228" t="s">
        <v>695</v>
      </c>
      <c r="C86" s="327">
        <f>'33_sz_ melléklet'!C82+'33_sz_ melléklet'!C150+'33_sz_ melléklet'!C97</f>
        <v>111713</v>
      </c>
      <c r="D86" s="327"/>
      <c r="E86" s="151"/>
    </row>
    <row r="87" spans="1:5" ht="12.75">
      <c r="A87" s="371" t="s">
        <v>334</v>
      </c>
      <c r="B87" s="228" t="s">
        <v>696</v>
      </c>
      <c r="C87" s="327">
        <f>'32_sz_ melléklet'!C42</f>
        <v>915</v>
      </c>
      <c r="D87" s="327"/>
      <c r="E87" s="151"/>
    </row>
    <row r="88" spans="1:5" ht="12.75">
      <c r="A88" s="371" t="s">
        <v>336</v>
      </c>
      <c r="B88" s="228" t="s">
        <v>697</v>
      </c>
      <c r="C88" s="327">
        <f>C89+C90+C91+C92+C93+C94+C95</f>
        <v>0</v>
      </c>
      <c r="D88" s="327">
        <f>D89+D90+D91+D92+D93+D94+D95</f>
        <v>12400</v>
      </c>
      <c r="E88" s="155">
        <f>E89+E90+E91+E92+E93+E94+E95</f>
        <v>0</v>
      </c>
    </row>
    <row r="89" spans="1:5" ht="12.75">
      <c r="A89" s="371" t="s">
        <v>337</v>
      </c>
      <c r="B89" s="380" t="s">
        <v>698</v>
      </c>
      <c r="C89" s="327"/>
      <c r="D89" s="327"/>
      <c r="E89" s="151"/>
    </row>
    <row r="90" spans="1:5" ht="12.75">
      <c r="A90" s="371" t="s">
        <v>338</v>
      </c>
      <c r="B90" s="380" t="s">
        <v>699</v>
      </c>
      <c r="C90" s="327"/>
      <c r="D90" s="327"/>
      <c r="E90" s="151"/>
    </row>
    <row r="91" spans="1:5" s="17" customFormat="1" ht="12.75">
      <c r="A91" s="371" t="s">
        <v>339</v>
      </c>
      <c r="B91" s="380" t="s">
        <v>700</v>
      </c>
      <c r="C91" s="327"/>
      <c r="D91" s="327"/>
      <c r="E91" s="151"/>
    </row>
    <row r="92" spans="1:5" s="17" customFormat="1" ht="12.75">
      <c r="A92" s="371" t="s">
        <v>340</v>
      </c>
      <c r="B92" s="380" t="s">
        <v>701</v>
      </c>
      <c r="C92" s="327"/>
      <c r="D92" s="327"/>
      <c r="E92" s="151"/>
    </row>
    <row r="93" spans="1:5" s="17" customFormat="1" ht="12.75">
      <c r="A93" s="371" t="s">
        <v>341</v>
      </c>
      <c r="B93" s="834" t="s">
        <v>702</v>
      </c>
      <c r="C93" s="327"/>
      <c r="D93" s="327">
        <f>'11 12 sz_melléklet'!C41</f>
        <v>8200</v>
      </c>
      <c r="E93" s="151"/>
    </row>
    <row r="94" spans="1:5" s="17" customFormat="1" ht="12.75">
      <c r="A94" s="371" t="s">
        <v>342</v>
      </c>
      <c r="B94" s="309" t="s">
        <v>703</v>
      </c>
      <c r="C94" s="327"/>
      <c r="D94" s="327">
        <f>'11 12 sz_melléklet'!C15</f>
        <v>4200</v>
      </c>
      <c r="E94" s="151"/>
    </row>
    <row r="95" spans="1:5" s="17" customFormat="1" ht="12.75">
      <c r="A95" s="371" t="s">
        <v>343</v>
      </c>
      <c r="B95" s="1091" t="s">
        <v>704</v>
      </c>
      <c r="C95" s="327"/>
      <c r="D95" s="327"/>
      <c r="E95" s="151"/>
    </row>
    <row r="96" spans="1:5" ht="12.75">
      <c r="A96" s="371" t="s">
        <v>344</v>
      </c>
      <c r="B96" s="228"/>
      <c r="C96" s="327"/>
      <c r="D96" s="327"/>
      <c r="E96" s="151"/>
    </row>
    <row r="97" spans="1:5" ht="13.5" thickBot="1">
      <c r="A97" s="371" t="s">
        <v>345</v>
      </c>
      <c r="B97" s="230"/>
      <c r="C97" s="328"/>
      <c r="D97" s="330"/>
      <c r="E97" s="642"/>
    </row>
    <row r="98" spans="1:5" ht="18.75" customHeight="1" thickBot="1">
      <c r="A98" s="615" t="s">
        <v>958</v>
      </c>
      <c r="B98" s="616" t="s">
        <v>7</v>
      </c>
      <c r="C98" s="629">
        <f>C86+C87+C88+C96+C97</f>
        <v>112628</v>
      </c>
      <c r="D98" s="629">
        <f>D86+D87+D88+D96+D97</f>
        <v>12400</v>
      </c>
      <c r="E98" s="630">
        <f>E86+E87+E88+E96+E97</f>
        <v>0</v>
      </c>
    </row>
    <row r="99" spans="1:5" ht="27" thickBot="1" thickTop="1">
      <c r="A99" s="615" t="s">
        <v>347</v>
      </c>
      <c r="B99" s="620" t="s">
        <v>503</v>
      </c>
      <c r="C99" s="619">
        <f>C83+C98</f>
        <v>504372</v>
      </c>
      <c r="D99" s="619">
        <f>D83+D98</f>
        <v>12400</v>
      </c>
      <c r="E99" s="985">
        <f>E83+E98</f>
        <v>13000</v>
      </c>
    </row>
    <row r="100" spans="1:5" ht="13.5" thickTop="1">
      <c r="A100" s="604"/>
      <c r="B100" s="848"/>
      <c r="C100" s="849"/>
      <c r="D100" s="695"/>
      <c r="E100" s="694"/>
    </row>
    <row r="101" spans="1:5" ht="12.75">
      <c r="A101" s="372" t="s">
        <v>348</v>
      </c>
      <c r="B101" s="485" t="s">
        <v>504</v>
      </c>
      <c r="C101" s="24"/>
      <c r="D101" s="29"/>
      <c r="E101" s="270"/>
    </row>
    <row r="102" spans="1:5" ht="12.75">
      <c r="A102" s="371" t="s">
        <v>349</v>
      </c>
      <c r="B102" s="229" t="s">
        <v>1334</v>
      </c>
      <c r="C102" s="24"/>
      <c r="D102" s="31"/>
      <c r="E102" s="182"/>
    </row>
    <row r="103" spans="1:5" ht="12.75">
      <c r="A103" s="371" t="s">
        <v>350</v>
      </c>
      <c r="B103" s="697" t="s">
        <v>724</v>
      </c>
      <c r="C103" s="292"/>
      <c r="D103" s="687"/>
      <c r="E103" s="183"/>
    </row>
    <row r="104" spans="1:5" ht="12.75">
      <c r="A104" s="371" t="s">
        <v>351</v>
      </c>
      <c r="B104" s="697" t="s">
        <v>723</v>
      </c>
      <c r="C104" s="292"/>
      <c r="D104" s="160"/>
      <c r="E104" s="183"/>
    </row>
    <row r="105" spans="1:5" ht="12.75">
      <c r="A105" s="371" t="s">
        <v>352</v>
      </c>
      <c r="B105" s="697" t="s">
        <v>725</v>
      </c>
      <c r="C105" s="292"/>
      <c r="D105" s="160"/>
      <c r="E105" s="154"/>
    </row>
    <row r="106" spans="1:5" ht="12.75">
      <c r="A106" s="371" t="s">
        <v>353</v>
      </c>
      <c r="B106" s="836" t="s">
        <v>727</v>
      </c>
      <c r="C106" s="609"/>
      <c r="D106" s="29"/>
      <c r="E106" s="270"/>
    </row>
    <row r="107" spans="1:5" ht="12.75">
      <c r="A107" s="371" t="s">
        <v>354</v>
      </c>
      <c r="B107" s="837" t="s">
        <v>730</v>
      </c>
      <c r="C107" s="609"/>
      <c r="D107" s="687"/>
      <c r="E107" s="183"/>
    </row>
    <row r="108" spans="1:5" ht="12.75">
      <c r="A108" s="371" t="s">
        <v>355</v>
      </c>
      <c r="B108" s="838" t="s">
        <v>729</v>
      </c>
      <c r="C108" s="116"/>
      <c r="D108" s="117"/>
      <c r="E108" s="151"/>
    </row>
    <row r="109" spans="1:5" ht="13.5" thickBot="1">
      <c r="A109" s="371" t="s">
        <v>356</v>
      </c>
      <c r="B109" s="382" t="s">
        <v>728</v>
      </c>
      <c r="C109" s="28"/>
      <c r="D109" s="30"/>
      <c r="E109" s="159"/>
    </row>
    <row r="110" spans="1:5" ht="13.5" thickBot="1">
      <c r="A110" s="395" t="s">
        <v>357</v>
      </c>
      <c r="B110" s="315" t="s">
        <v>731</v>
      </c>
      <c r="C110" s="114">
        <f>SUM(C102:C109)</f>
        <v>0</v>
      </c>
      <c r="D110" s="114">
        <f>SUM(D102:D109)</f>
        <v>0</v>
      </c>
      <c r="E110" s="909">
        <f>SUM(E102:E109)</f>
        <v>0</v>
      </c>
    </row>
    <row r="111" spans="1:5" ht="12.75">
      <c r="A111" s="604"/>
      <c r="B111" s="44"/>
      <c r="C111" s="847"/>
      <c r="D111" s="248"/>
      <c r="E111" s="272"/>
    </row>
    <row r="112" spans="1:5" ht="13.5" thickBot="1">
      <c r="A112" s="456" t="s">
        <v>358</v>
      </c>
      <c r="B112" s="1380" t="s">
        <v>506</v>
      </c>
      <c r="C112" s="1383">
        <f>C99+C110</f>
        <v>504372</v>
      </c>
      <c r="D112" s="1384">
        <f>D99+D110</f>
        <v>12400</v>
      </c>
      <c r="E112" s="994">
        <f>E99+E110</f>
        <v>13000</v>
      </c>
    </row>
    <row r="113" spans="1:5" ht="12.75">
      <c r="A113" s="393"/>
      <c r="B113" s="44"/>
      <c r="C113" s="30"/>
      <c r="D113" s="30"/>
      <c r="E113" s="30"/>
    </row>
    <row r="114" spans="1:5" ht="12.75">
      <c r="A114" s="393"/>
      <c r="B114" s="44"/>
      <c r="C114" s="30"/>
      <c r="D114" s="30"/>
      <c r="E114" s="30"/>
    </row>
    <row r="115" spans="1:5" ht="12.75">
      <c r="A115" s="393"/>
      <c r="B115" s="44"/>
      <c r="C115" s="30"/>
      <c r="D115" s="30"/>
      <c r="E115" s="30"/>
    </row>
    <row r="116" spans="1:5" ht="12.75">
      <c r="A116" s="393"/>
      <c r="B116" s="44"/>
      <c r="C116" s="30"/>
      <c r="D116" s="30"/>
      <c r="E116" s="30"/>
    </row>
    <row r="117" spans="1:5" ht="12.75">
      <c r="A117" s="393"/>
      <c r="B117" s="44"/>
      <c r="C117" s="30"/>
      <c r="D117" s="30"/>
      <c r="E117" s="30"/>
    </row>
    <row r="118" spans="1:5" ht="12.75">
      <c r="A118" s="393"/>
      <c r="B118" s="44"/>
      <c r="C118" s="30"/>
      <c r="D118" s="30"/>
      <c r="E118" s="30"/>
    </row>
    <row r="119" spans="1:5" ht="12.75">
      <c r="A119" s="1676">
        <v>3</v>
      </c>
      <c r="B119" s="1675"/>
      <c r="C119" s="1675"/>
      <c r="D119" s="1675"/>
      <c r="E119" s="1675"/>
    </row>
    <row r="120" spans="1:5" ht="13.5" customHeight="1">
      <c r="A120" s="1654" t="s">
        <v>1407</v>
      </c>
      <c r="B120" s="1654"/>
      <c r="C120" s="1654"/>
      <c r="D120" s="1654"/>
      <c r="E120" s="1654"/>
    </row>
    <row r="121" spans="1:5" ht="13.5" customHeight="1">
      <c r="A121" s="384"/>
      <c r="B121" s="384"/>
      <c r="C121" s="384"/>
      <c r="D121" s="384"/>
      <c r="E121" s="384"/>
    </row>
    <row r="122" spans="2:5" ht="15.75">
      <c r="B122" s="1674" t="s">
        <v>1063</v>
      </c>
      <c r="C122" s="1674"/>
      <c r="D122" s="1674"/>
      <c r="E122" s="1674"/>
    </row>
    <row r="123" spans="2:5" ht="15.75">
      <c r="B123" s="21"/>
      <c r="C123" s="21"/>
      <c r="D123" s="21"/>
      <c r="E123" s="21"/>
    </row>
    <row r="124" spans="2:5" ht="13.5" thickBot="1">
      <c r="B124" s="1"/>
      <c r="C124" s="1"/>
      <c r="D124" s="1"/>
      <c r="E124" s="22" t="s">
        <v>8</v>
      </c>
    </row>
    <row r="125" spans="1:5" ht="39.75" thickBot="1">
      <c r="A125" s="399" t="s">
        <v>311</v>
      </c>
      <c r="B125" s="610" t="s">
        <v>13</v>
      </c>
      <c r="C125" s="1028" t="s">
        <v>1160</v>
      </c>
      <c r="D125" s="367" t="s">
        <v>994</v>
      </c>
      <c r="E125" s="368" t="s">
        <v>17</v>
      </c>
    </row>
    <row r="126" spans="1:5" ht="12.75">
      <c r="A126" s="611" t="s">
        <v>312</v>
      </c>
      <c r="B126" s="612" t="s">
        <v>313</v>
      </c>
      <c r="C126" s="621" t="s">
        <v>314</v>
      </c>
      <c r="D126" s="622" t="s">
        <v>315</v>
      </c>
      <c r="E126" s="623" t="s">
        <v>335</v>
      </c>
    </row>
    <row r="127" spans="1:5" ht="12.75">
      <c r="A127" s="372" t="s">
        <v>316</v>
      </c>
      <c r="B127" s="379" t="s">
        <v>256</v>
      </c>
      <c r="C127" s="327"/>
      <c r="D127" s="151"/>
      <c r="E127" s="145"/>
    </row>
    <row r="128" spans="1:5" ht="12" customHeight="1">
      <c r="A128" s="371" t="s">
        <v>317</v>
      </c>
      <c r="B128" s="199" t="s">
        <v>681</v>
      </c>
      <c r="C128" s="327">
        <f>4832+24750+28730+12231+63750+41734+1176+446-1037</f>
        <v>176612</v>
      </c>
      <c r="D128" s="814"/>
      <c r="E128" s="145"/>
    </row>
    <row r="129" spans="1:5" ht="12.75">
      <c r="A129" s="371" t="s">
        <v>318</v>
      </c>
      <c r="B129" s="228" t="s">
        <v>683</v>
      </c>
      <c r="C129" s="327">
        <f>652+3339+3879+1651+8605+5634+196+607</f>
        <v>24563</v>
      </c>
      <c r="D129" s="814"/>
      <c r="E129" s="145"/>
    </row>
    <row r="130" spans="1:5" ht="12.75">
      <c r="A130" s="371" t="s">
        <v>319</v>
      </c>
      <c r="B130" s="228" t="s">
        <v>682</v>
      </c>
      <c r="C130" s="327">
        <f>548+4122+936+1174+384+11299</f>
        <v>18463</v>
      </c>
      <c r="D130" s="151"/>
      <c r="E130" s="145">
        <v>41879</v>
      </c>
    </row>
    <row r="131" spans="1:5" ht="12.75">
      <c r="A131" s="371" t="s">
        <v>320</v>
      </c>
      <c r="B131" s="228" t="s">
        <v>684</v>
      </c>
      <c r="C131" s="327"/>
      <c r="D131" s="151"/>
      <c r="E131" s="145"/>
    </row>
    <row r="132" spans="1:5" ht="12.75">
      <c r="A132" s="371" t="s">
        <v>321</v>
      </c>
      <c r="B132" s="228" t="s">
        <v>685</v>
      </c>
      <c r="C132" s="327"/>
      <c r="D132" s="151"/>
      <c r="E132" s="145"/>
    </row>
    <row r="133" spans="1:5" ht="12.75">
      <c r="A133" s="371" t="s">
        <v>322</v>
      </c>
      <c r="B133" s="228" t="s">
        <v>686</v>
      </c>
      <c r="C133" s="327">
        <f>C134+C135+C136+C137+C138+C139+C140</f>
        <v>0</v>
      </c>
      <c r="D133" s="327">
        <f>D134+D135+D136+D137+D138+D139+D140</f>
        <v>0</v>
      </c>
      <c r="E133" s="151">
        <f>E134+E135+E136+E137+E138+E139+E140</f>
        <v>0</v>
      </c>
    </row>
    <row r="134" spans="1:5" ht="12.75">
      <c r="A134" s="371" t="s">
        <v>323</v>
      </c>
      <c r="B134" s="228" t="s">
        <v>690</v>
      </c>
      <c r="C134" s="327"/>
      <c r="D134" s="151"/>
      <c r="E134" s="145"/>
    </row>
    <row r="135" spans="1:5" ht="12" customHeight="1">
      <c r="A135" s="371" t="s">
        <v>324</v>
      </c>
      <c r="B135" s="228" t="s">
        <v>691</v>
      </c>
      <c r="C135" s="327"/>
      <c r="D135" s="151"/>
      <c r="E135" s="145"/>
    </row>
    <row r="136" spans="1:5" ht="12.75">
      <c r="A136" s="371" t="s">
        <v>325</v>
      </c>
      <c r="B136" s="228" t="s">
        <v>692</v>
      </c>
      <c r="C136" s="327"/>
      <c r="D136" s="151"/>
      <c r="E136" s="145"/>
    </row>
    <row r="137" spans="1:5" ht="14.25" customHeight="1">
      <c r="A137" s="371" t="s">
        <v>326</v>
      </c>
      <c r="B137" s="380" t="s">
        <v>688</v>
      </c>
      <c r="C137" s="262"/>
      <c r="D137" s="155"/>
      <c r="E137" s="145"/>
    </row>
    <row r="138" spans="1:5" ht="14.25" customHeight="1">
      <c r="A138" s="371" t="s">
        <v>327</v>
      </c>
      <c r="B138" s="834" t="s">
        <v>689</v>
      </c>
      <c r="C138" s="330"/>
      <c r="D138" s="152"/>
      <c r="E138" s="145"/>
    </row>
    <row r="139" spans="1:5" ht="14.25" customHeight="1">
      <c r="A139" s="371" t="s">
        <v>328</v>
      </c>
      <c r="B139" s="835" t="s">
        <v>687</v>
      </c>
      <c r="C139" s="330"/>
      <c r="D139" s="152"/>
      <c r="E139" s="145"/>
    </row>
    <row r="140" spans="1:5" ht="14.25" customHeight="1">
      <c r="A140" s="371" t="s">
        <v>329</v>
      </c>
      <c r="B140" s="136" t="s">
        <v>957</v>
      </c>
      <c r="C140" s="330"/>
      <c r="D140" s="152"/>
      <c r="E140" s="145"/>
    </row>
    <row r="141" spans="1:5" ht="13.5" customHeight="1" thickBot="1">
      <c r="A141" s="371" t="s">
        <v>330</v>
      </c>
      <c r="B141" s="230" t="s">
        <v>694</v>
      </c>
      <c r="C141" s="328"/>
      <c r="D141" s="156"/>
      <c r="E141" s="145"/>
    </row>
    <row r="142" spans="1:6" s="17" customFormat="1" ht="13.5" thickBot="1">
      <c r="A142" s="615" t="s">
        <v>331</v>
      </c>
      <c r="B142" s="616" t="s">
        <v>6</v>
      </c>
      <c r="C142" s="629">
        <f>C128+C129+C130+C131+C133+C141</f>
        <v>219638</v>
      </c>
      <c r="D142" s="629">
        <f>D128+D129+D130+D131+D133+D141</f>
        <v>0</v>
      </c>
      <c r="E142" s="630">
        <f>E128+E129+E130+E131+E133+E141</f>
        <v>41879</v>
      </c>
      <c r="F142"/>
    </row>
    <row r="143" spans="1:6" s="17" customFormat="1" ht="13.5" thickTop="1">
      <c r="A143" s="604"/>
      <c r="B143" s="379"/>
      <c r="C143" s="261"/>
      <c r="D143" s="261"/>
      <c r="E143" s="159"/>
      <c r="F143"/>
    </row>
    <row r="144" spans="1:5" ht="14.25" customHeight="1">
      <c r="A144" s="372" t="s">
        <v>332</v>
      </c>
      <c r="B144" s="381" t="s">
        <v>257</v>
      </c>
      <c r="C144" s="329"/>
      <c r="D144" s="329"/>
      <c r="E144" s="154"/>
    </row>
    <row r="145" spans="1:5" ht="12.75">
      <c r="A145" s="371" t="s">
        <v>333</v>
      </c>
      <c r="B145" s="228" t="s">
        <v>695</v>
      </c>
      <c r="C145" s="327">
        <f>'33_sz_ melléklet'!C118</f>
        <v>22878</v>
      </c>
      <c r="D145" s="327">
        <f>'33_sz_ melléklet'!C95+'33_sz_ melléklet'!C96+'33_sz_ melléklet'!C98</f>
        <v>60809</v>
      </c>
      <c r="E145" s="151"/>
    </row>
    <row r="146" spans="1:5" ht="14.25" customHeight="1">
      <c r="A146" s="371" t="s">
        <v>334</v>
      </c>
      <c r="B146" s="228" t="s">
        <v>696</v>
      </c>
      <c r="C146" s="327"/>
      <c r="D146" s="327">
        <f>'32_sz_ melléklet'!C33</f>
        <v>15833</v>
      </c>
      <c r="E146" s="151"/>
    </row>
    <row r="147" spans="1:6" s="17" customFormat="1" ht="14.25" customHeight="1">
      <c r="A147" s="371" t="s">
        <v>336</v>
      </c>
      <c r="B147" s="228" t="s">
        <v>697</v>
      </c>
      <c r="C147" s="262">
        <f>C148+C149+C150+C151+C152+C153+C154</f>
        <v>0</v>
      </c>
      <c r="D147" s="262">
        <f>D148+D149+D150+D151+D152+D153+D154</f>
        <v>0</v>
      </c>
      <c r="E147" s="155">
        <f>E148+E149+E150+E151+E152+E153+E154</f>
        <v>0</v>
      </c>
      <c r="F147"/>
    </row>
    <row r="148" spans="1:5" ht="12.75">
      <c r="A148" s="371" t="s">
        <v>337</v>
      </c>
      <c r="B148" s="380" t="s">
        <v>698</v>
      </c>
      <c r="C148" s="327"/>
      <c r="D148" s="327"/>
      <c r="E148" s="151"/>
    </row>
    <row r="149" spans="1:5" ht="12.75">
      <c r="A149" s="371" t="s">
        <v>338</v>
      </c>
      <c r="B149" s="380" t="s">
        <v>699</v>
      </c>
      <c r="C149" s="327"/>
      <c r="D149" s="327"/>
      <c r="E149" s="151"/>
    </row>
    <row r="150" spans="1:5" ht="12.75" customHeight="1">
      <c r="A150" s="371" t="s">
        <v>339</v>
      </c>
      <c r="B150" s="380" t="s">
        <v>700</v>
      </c>
      <c r="C150" s="327"/>
      <c r="D150" s="327"/>
      <c r="E150" s="151"/>
    </row>
    <row r="151" spans="1:5" ht="12.75" customHeight="1">
      <c r="A151" s="371" t="s">
        <v>340</v>
      </c>
      <c r="B151" s="380" t="s">
        <v>701</v>
      </c>
      <c r="C151" s="327"/>
      <c r="D151" s="327"/>
      <c r="E151" s="151"/>
    </row>
    <row r="152" spans="1:5" ht="12.75" customHeight="1">
      <c r="A152" s="371" t="s">
        <v>341</v>
      </c>
      <c r="B152" s="834" t="s">
        <v>702</v>
      </c>
      <c r="C152" s="327"/>
      <c r="D152" s="327"/>
      <c r="E152" s="151"/>
    </row>
    <row r="153" spans="1:5" ht="12.75" customHeight="1">
      <c r="A153" s="371" t="s">
        <v>342</v>
      </c>
      <c r="B153" s="309" t="s">
        <v>703</v>
      </c>
      <c r="C153" s="327"/>
      <c r="D153" s="327"/>
      <c r="E153" s="151"/>
    </row>
    <row r="154" spans="1:5" ht="12.75" customHeight="1">
      <c r="A154" s="371" t="s">
        <v>343</v>
      </c>
      <c r="B154" s="1091" t="s">
        <v>704</v>
      </c>
      <c r="C154" s="327"/>
      <c r="D154" s="327"/>
      <c r="E154" s="151"/>
    </row>
    <row r="155" spans="1:5" ht="12.75">
      <c r="A155" s="371" t="s">
        <v>344</v>
      </c>
      <c r="B155" s="228"/>
      <c r="C155" s="327"/>
      <c r="D155" s="327"/>
      <c r="E155" s="151"/>
    </row>
    <row r="156" spans="1:5" ht="13.5" thickBot="1">
      <c r="A156" s="371" t="s">
        <v>345</v>
      </c>
      <c r="B156" s="230"/>
      <c r="C156" s="330">
        <f>-C131</f>
        <v>0</v>
      </c>
      <c r="D156" s="330">
        <f>-D131</f>
        <v>0</v>
      </c>
      <c r="E156" s="642">
        <f>-E131</f>
        <v>0</v>
      </c>
    </row>
    <row r="157" spans="1:5" ht="13.5" thickBot="1">
      <c r="A157" s="615" t="s">
        <v>958</v>
      </c>
      <c r="B157" s="616" t="s">
        <v>7</v>
      </c>
      <c r="C157" s="629">
        <f>C145+C146+C147+C155+C156</f>
        <v>22878</v>
      </c>
      <c r="D157" s="629">
        <f>D145+D146+D147+D155+D156</f>
        <v>76642</v>
      </c>
      <c r="E157" s="630">
        <f>E145+E146+E147+E155+E156</f>
        <v>0</v>
      </c>
    </row>
    <row r="158" spans="1:5" ht="27" thickBot="1" thickTop="1">
      <c r="A158" s="615" t="s">
        <v>347</v>
      </c>
      <c r="B158" s="620" t="s">
        <v>503</v>
      </c>
      <c r="C158" s="883">
        <f>C142+C157</f>
        <v>242516</v>
      </c>
      <c r="D158" s="883">
        <f>D142+D157</f>
        <v>76642</v>
      </c>
      <c r="E158" s="984">
        <f>E142+E157</f>
        <v>41879</v>
      </c>
    </row>
    <row r="159" spans="1:5" ht="13.5" thickTop="1">
      <c r="A159" s="604"/>
      <c r="B159" s="848"/>
      <c r="C159" s="869"/>
      <c r="D159" s="869"/>
      <c r="E159" s="869"/>
    </row>
    <row r="160" spans="1:5" ht="12.75">
      <c r="A160" s="372" t="s">
        <v>348</v>
      </c>
      <c r="B160" s="485" t="s">
        <v>504</v>
      </c>
      <c r="C160" s="331"/>
      <c r="D160" s="157"/>
      <c r="E160" s="146"/>
    </row>
    <row r="161" spans="1:5" ht="12.75">
      <c r="A161" s="371" t="s">
        <v>349</v>
      </c>
      <c r="B161" s="229" t="s">
        <v>1334</v>
      </c>
      <c r="C161" s="327"/>
      <c r="D161" s="151"/>
      <c r="E161" s="145"/>
    </row>
    <row r="162" spans="1:5" ht="12.75">
      <c r="A162" s="371" t="s">
        <v>350</v>
      </c>
      <c r="B162" s="697" t="s">
        <v>724</v>
      </c>
      <c r="C162" s="327"/>
      <c r="D162" s="327"/>
      <c r="E162" s="151"/>
    </row>
    <row r="163" spans="1:5" ht="12.75">
      <c r="A163" s="371" t="s">
        <v>351</v>
      </c>
      <c r="B163" s="697" t="s">
        <v>723</v>
      </c>
      <c r="C163" s="329"/>
      <c r="D163" s="154"/>
      <c r="E163" s="146"/>
    </row>
    <row r="164" spans="1:5" ht="12.75">
      <c r="A164" s="371" t="s">
        <v>352</v>
      </c>
      <c r="B164" s="697" t="s">
        <v>725</v>
      </c>
      <c r="C164" s="262"/>
      <c r="D164" s="155"/>
      <c r="E164" s="147"/>
    </row>
    <row r="165" spans="1:5" ht="12.75">
      <c r="A165" s="371" t="s">
        <v>353</v>
      </c>
      <c r="B165" s="836" t="s">
        <v>727</v>
      </c>
      <c r="C165" s="327"/>
      <c r="D165" s="151"/>
      <c r="E165" s="147"/>
    </row>
    <row r="166" spans="1:5" ht="12.75">
      <c r="A166" s="371" t="s">
        <v>354</v>
      </c>
      <c r="B166" s="837" t="s">
        <v>730</v>
      </c>
      <c r="C166" s="327"/>
      <c r="D166" s="151"/>
      <c r="E166" s="147"/>
    </row>
    <row r="167" spans="1:5" ht="12.75">
      <c r="A167" s="371" t="s">
        <v>355</v>
      </c>
      <c r="B167" s="838" t="s">
        <v>729</v>
      </c>
      <c r="C167" s="252"/>
      <c r="D167" s="151"/>
      <c r="E167" s="147"/>
    </row>
    <row r="168" spans="1:5" ht="13.5" thickBot="1">
      <c r="A168" s="371" t="s">
        <v>356</v>
      </c>
      <c r="B168" s="382" t="s">
        <v>728</v>
      </c>
      <c r="C168" s="261"/>
      <c r="D168" s="261"/>
      <c r="E168" s="159"/>
    </row>
    <row r="169" spans="1:5" ht="13.5" thickBot="1">
      <c r="A169" s="395" t="s">
        <v>357</v>
      </c>
      <c r="B169" s="315" t="s">
        <v>731</v>
      </c>
      <c r="C169" s="263">
        <f>SUM(C161:C168)</f>
        <v>0</v>
      </c>
      <c r="D169" s="263">
        <f>SUM(D161:D168)</f>
        <v>0</v>
      </c>
      <c r="E169" s="158">
        <f>SUM(E161:E168)</f>
        <v>0</v>
      </c>
    </row>
    <row r="170" spans="1:5" ht="12.75">
      <c r="A170" s="604"/>
      <c r="B170" s="44"/>
      <c r="C170" s="854"/>
      <c r="D170" s="816"/>
      <c r="E170" s="816"/>
    </row>
    <row r="171" spans="1:5" ht="13.5" thickBot="1">
      <c r="A171" s="456" t="s">
        <v>358</v>
      </c>
      <c r="B171" s="1380" t="s">
        <v>506</v>
      </c>
      <c r="C171" s="994">
        <f>C158+C169</f>
        <v>242516</v>
      </c>
      <c r="D171" s="994">
        <f>D158+D169</f>
        <v>76642</v>
      </c>
      <c r="E171" s="994">
        <f>E158+E169</f>
        <v>41879</v>
      </c>
    </row>
    <row r="172" spans="1:5" ht="12.75">
      <c r="A172" s="393"/>
      <c r="B172" s="827"/>
      <c r="C172" s="295"/>
      <c r="D172" s="30"/>
      <c r="E172" s="30"/>
    </row>
    <row r="173" spans="1:5" ht="12.75">
      <c r="A173" s="393"/>
      <c r="B173" s="827"/>
      <c r="C173" s="295"/>
      <c r="D173" s="30"/>
      <c r="E173" s="30"/>
    </row>
    <row r="174" spans="1:5" ht="12.75">
      <c r="A174" s="393"/>
      <c r="B174" s="827"/>
      <c r="C174" s="295"/>
      <c r="D174" s="30"/>
      <c r="E174" s="30"/>
    </row>
    <row r="175" spans="1:5" ht="12.75">
      <c r="A175" s="393"/>
      <c r="B175" s="827"/>
      <c r="C175" s="295"/>
      <c r="D175" s="30"/>
      <c r="E175" s="30"/>
    </row>
    <row r="176" spans="1:5" ht="12.75">
      <c r="A176" s="393"/>
      <c r="B176" s="827"/>
      <c r="C176" s="295"/>
      <c r="D176" s="30"/>
      <c r="E176" s="30"/>
    </row>
    <row r="178" spans="1:5" ht="12.75">
      <c r="A178" s="1676">
        <v>4</v>
      </c>
      <c r="B178" s="1675"/>
      <c r="C178" s="1675"/>
      <c r="D178" s="1675"/>
      <c r="E178" s="1675"/>
    </row>
    <row r="179" spans="1:5" ht="12.75">
      <c r="A179" s="1654" t="s">
        <v>1407</v>
      </c>
      <c r="B179" s="1654"/>
      <c r="C179" s="1654"/>
      <c r="D179" s="1654"/>
      <c r="E179" s="1654"/>
    </row>
    <row r="180" spans="1:5" ht="12.75">
      <c r="A180" s="384"/>
      <c r="B180" s="384"/>
      <c r="C180" s="384"/>
      <c r="D180" s="384"/>
      <c r="E180" s="384"/>
    </row>
    <row r="181" spans="2:5" ht="15.75">
      <c r="B181" s="1674" t="s">
        <v>1063</v>
      </c>
      <c r="C181" s="1674"/>
      <c r="D181" s="1674"/>
      <c r="E181" s="1674"/>
    </row>
    <row r="182" spans="2:5" ht="15.75">
      <c r="B182" s="21"/>
      <c r="C182" s="21"/>
      <c r="D182" s="21"/>
      <c r="E182" s="21"/>
    </row>
    <row r="183" spans="2:5" ht="13.5" thickBot="1">
      <c r="B183" s="1"/>
      <c r="C183" s="1"/>
      <c r="D183" s="1"/>
      <c r="E183" s="22" t="s">
        <v>8</v>
      </c>
    </row>
    <row r="184" spans="1:5" ht="27" thickBot="1">
      <c r="A184" s="399" t="s">
        <v>311</v>
      </c>
      <c r="B184" s="610" t="s">
        <v>13</v>
      </c>
      <c r="C184" s="394" t="s">
        <v>18</v>
      </c>
      <c r="D184" s="389" t="s">
        <v>259</v>
      </c>
      <c r="E184" s="368" t="s">
        <v>497</v>
      </c>
    </row>
    <row r="185" spans="1:5" ht="12.75">
      <c r="A185" s="611" t="s">
        <v>312</v>
      </c>
      <c r="B185" s="612" t="s">
        <v>313</v>
      </c>
      <c r="C185" s="636" t="s">
        <v>314</v>
      </c>
      <c r="D185" s="622" t="s">
        <v>315</v>
      </c>
      <c r="E185" s="623" t="s">
        <v>335</v>
      </c>
    </row>
    <row r="186" spans="1:5" ht="12.75">
      <c r="A186" s="372" t="s">
        <v>316</v>
      </c>
      <c r="B186" s="379" t="s">
        <v>256</v>
      </c>
      <c r="C186" s="327"/>
      <c r="D186" s="151"/>
      <c r="E186" s="145"/>
    </row>
    <row r="187" spans="1:5" ht="12.75">
      <c r="A187" s="371" t="s">
        <v>317</v>
      </c>
      <c r="B187" s="199" t="s">
        <v>681</v>
      </c>
      <c r="C187" s="327"/>
      <c r="D187" s="151"/>
      <c r="E187" s="145"/>
    </row>
    <row r="188" spans="1:5" ht="12.75">
      <c r="A188" s="371" t="s">
        <v>318</v>
      </c>
      <c r="B188" s="228" t="s">
        <v>683</v>
      </c>
      <c r="C188" s="327"/>
      <c r="D188" s="151"/>
      <c r="E188" s="145"/>
    </row>
    <row r="189" spans="1:5" ht="12.75">
      <c r="A189" s="371" t="s">
        <v>319</v>
      </c>
      <c r="B189" s="228" t="s">
        <v>682</v>
      </c>
      <c r="C189" s="327">
        <v>3274</v>
      </c>
      <c r="D189" s="151">
        <f>2000-1182</f>
        <v>818</v>
      </c>
      <c r="E189" s="145">
        <v>35817</v>
      </c>
    </row>
    <row r="190" spans="1:5" ht="12.75">
      <c r="A190" s="371" t="s">
        <v>320</v>
      </c>
      <c r="B190" s="228" t="s">
        <v>684</v>
      </c>
      <c r="C190" s="327"/>
      <c r="D190" s="151"/>
      <c r="E190" s="145"/>
    </row>
    <row r="191" spans="1:5" ht="12.75">
      <c r="A191" s="371" t="s">
        <v>321</v>
      </c>
      <c r="B191" s="228" t="s">
        <v>685</v>
      </c>
      <c r="C191" s="327"/>
      <c r="D191" s="151"/>
      <c r="E191" s="145"/>
    </row>
    <row r="192" spans="1:5" ht="12.75">
      <c r="A192" s="371" t="s">
        <v>322</v>
      </c>
      <c r="B192" s="228" t="s">
        <v>686</v>
      </c>
      <c r="C192" s="327">
        <f>C193+C194+C195+C196+C197+C198+C199</f>
        <v>42522</v>
      </c>
      <c r="D192" s="327">
        <f>D193+D194+D195+D196+D197+D198+D199</f>
        <v>0</v>
      </c>
      <c r="E192" s="151">
        <f>E193+E194+E195+E196+E197+E198+E199</f>
        <v>0</v>
      </c>
    </row>
    <row r="193" spans="1:5" ht="12.75">
      <c r="A193" s="371" t="s">
        <v>323</v>
      </c>
      <c r="B193" s="228" t="s">
        <v>690</v>
      </c>
      <c r="C193" s="327"/>
      <c r="D193" s="151"/>
      <c r="E193" s="145"/>
    </row>
    <row r="194" spans="1:5" ht="12.75">
      <c r="A194" s="371" t="s">
        <v>324</v>
      </c>
      <c r="B194" s="228" t="s">
        <v>691</v>
      </c>
      <c r="C194" s="327"/>
      <c r="D194" s="151"/>
      <c r="E194" s="145"/>
    </row>
    <row r="195" spans="1:5" ht="12.75">
      <c r="A195" s="371" t="s">
        <v>325</v>
      </c>
      <c r="B195" s="228" t="s">
        <v>692</v>
      </c>
      <c r="C195" s="327"/>
      <c r="D195" s="151"/>
      <c r="E195" s="145"/>
    </row>
    <row r="196" spans="1:5" ht="12.75">
      <c r="A196" s="371" t="s">
        <v>326</v>
      </c>
      <c r="B196" s="380" t="s">
        <v>688</v>
      </c>
      <c r="C196" s="327">
        <f>'6 7_sz_melléklet'!E52</f>
        <v>42522</v>
      </c>
      <c r="D196" s="155"/>
      <c r="E196" s="145"/>
    </row>
    <row r="197" spans="1:5" ht="12.75">
      <c r="A197" s="371" t="s">
        <v>327</v>
      </c>
      <c r="B197" s="834" t="s">
        <v>689</v>
      </c>
      <c r="C197" s="330"/>
      <c r="D197" s="152"/>
      <c r="E197" s="145"/>
    </row>
    <row r="198" spans="1:5" ht="12.75">
      <c r="A198" s="371" t="s">
        <v>328</v>
      </c>
      <c r="B198" s="835" t="s">
        <v>687</v>
      </c>
      <c r="C198" s="330"/>
      <c r="D198" s="152"/>
      <c r="E198" s="145"/>
    </row>
    <row r="199" spans="1:5" ht="12.75">
      <c r="A199" s="371" t="s">
        <v>329</v>
      </c>
      <c r="B199" s="136" t="s">
        <v>957</v>
      </c>
      <c r="C199" s="330"/>
      <c r="D199" s="152"/>
      <c r="E199" s="145"/>
    </row>
    <row r="200" spans="1:5" ht="13.5" thickBot="1">
      <c r="A200" s="371" t="s">
        <v>330</v>
      </c>
      <c r="B200" s="230" t="s">
        <v>694</v>
      </c>
      <c r="C200" s="328"/>
      <c r="D200" s="156"/>
      <c r="E200" s="145"/>
    </row>
    <row r="201" spans="1:5" ht="18.75" customHeight="1" thickBot="1">
      <c r="A201" s="615" t="s">
        <v>331</v>
      </c>
      <c r="B201" s="616" t="s">
        <v>6</v>
      </c>
      <c r="C201" s="629">
        <f>C187+C188+C189+C190+C192+C200</f>
        <v>45796</v>
      </c>
      <c r="D201" s="629">
        <f>D187+D188+D189+D190+D192+D200</f>
        <v>818</v>
      </c>
      <c r="E201" s="630">
        <f>E187+E188+E189+E190+E192+E200</f>
        <v>35817</v>
      </c>
    </row>
    <row r="202" spans="1:5" ht="13.5" thickTop="1">
      <c r="A202" s="604"/>
      <c r="B202" s="379"/>
      <c r="C202" s="867"/>
      <c r="D202" s="867"/>
      <c r="E202" s="868"/>
    </row>
    <row r="203" spans="1:5" ht="12.75">
      <c r="A203" s="372" t="s">
        <v>332</v>
      </c>
      <c r="B203" s="381" t="s">
        <v>257</v>
      </c>
      <c r="C203" s="329"/>
      <c r="D203" s="154"/>
      <c r="E203" s="146"/>
    </row>
    <row r="204" spans="1:5" ht="12.75">
      <c r="A204" s="371" t="s">
        <v>333</v>
      </c>
      <c r="B204" s="228" t="s">
        <v>695</v>
      </c>
      <c r="C204" s="327">
        <f>'33_sz_ melléklet'!C104</f>
        <v>5271</v>
      </c>
      <c r="D204" s="151">
        <f>'33_sz_ melléklet'!C165</f>
        <v>18765</v>
      </c>
      <c r="E204" s="145">
        <f>'33_sz_ melléklet'!C74</f>
        <v>4517</v>
      </c>
    </row>
    <row r="205" spans="1:5" ht="12.75">
      <c r="A205" s="371" t="s">
        <v>334</v>
      </c>
      <c r="B205" s="228" t="s">
        <v>696</v>
      </c>
      <c r="C205" s="327">
        <f>'32_sz_ melléklet'!C39</f>
        <v>69224</v>
      </c>
      <c r="D205" s="327"/>
      <c r="E205" s="151"/>
    </row>
    <row r="206" spans="1:5" ht="12.75">
      <c r="A206" s="371" t="s">
        <v>336</v>
      </c>
      <c r="B206" s="228" t="s">
        <v>697</v>
      </c>
      <c r="C206" s="151">
        <f>C207+C208+C209+C210+C211+C212+C213</f>
        <v>0</v>
      </c>
      <c r="D206" s="151">
        <f>D207+D208+D209+D210+D211+D212+D213</f>
        <v>19552</v>
      </c>
      <c r="E206" s="151">
        <f>E207+E208+E209+E210+E211+E212+E213</f>
        <v>0</v>
      </c>
    </row>
    <row r="207" spans="1:5" ht="12.75">
      <c r="A207" s="371" t="s">
        <v>337</v>
      </c>
      <c r="B207" s="380" t="s">
        <v>698</v>
      </c>
      <c r="C207" s="327"/>
      <c r="D207" s="151"/>
      <c r="E207" s="145"/>
    </row>
    <row r="208" spans="1:5" ht="12.75">
      <c r="A208" s="371" t="s">
        <v>338</v>
      </c>
      <c r="B208" s="380" t="s">
        <v>699</v>
      </c>
      <c r="C208" s="327"/>
      <c r="D208" s="151"/>
      <c r="E208" s="145"/>
    </row>
    <row r="209" spans="1:5" ht="12.75">
      <c r="A209" s="371" t="s">
        <v>339</v>
      </c>
      <c r="B209" s="380" t="s">
        <v>700</v>
      </c>
      <c r="C209" s="327"/>
      <c r="D209" s="151"/>
      <c r="E209" s="145"/>
    </row>
    <row r="210" spans="1:5" ht="12.75">
      <c r="A210" s="371" t="s">
        <v>340</v>
      </c>
      <c r="B210" s="380" t="s">
        <v>701</v>
      </c>
      <c r="C210" s="327"/>
      <c r="D210" s="151">
        <f>' 8 10 sz. melléklet'!E47</f>
        <v>19552</v>
      </c>
      <c r="E210" s="145"/>
    </row>
    <row r="211" spans="1:5" ht="12.75">
      <c r="A211" s="371" t="s">
        <v>341</v>
      </c>
      <c r="B211" s="834" t="s">
        <v>702</v>
      </c>
      <c r="C211" s="327"/>
      <c r="D211" s="151"/>
      <c r="E211" s="145"/>
    </row>
    <row r="212" spans="1:5" ht="12.75">
      <c r="A212" s="371" t="s">
        <v>342</v>
      </c>
      <c r="B212" s="309" t="s">
        <v>703</v>
      </c>
      <c r="C212" s="327"/>
      <c r="D212" s="151"/>
      <c r="E212" s="145"/>
    </row>
    <row r="213" spans="1:5" ht="12.75">
      <c r="A213" s="371" t="s">
        <v>343</v>
      </c>
      <c r="B213" s="1091" t="s">
        <v>704</v>
      </c>
      <c r="C213" s="327"/>
      <c r="D213" s="151"/>
      <c r="E213" s="145"/>
    </row>
    <row r="214" spans="1:5" ht="12.75">
      <c r="A214" s="371" t="s">
        <v>344</v>
      </c>
      <c r="B214" s="228"/>
      <c r="C214" s="251"/>
      <c r="D214" s="327"/>
      <c r="E214" s="155"/>
    </row>
    <row r="215" spans="1:5" ht="13.5" thickBot="1">
      <c r="A215" s="371" t="s">
        <v>345</v>
      </c>
      <c r="B215" s="230"/>
      <c r="C215" s="261">
        <f>-C190</f>
        <v>0</v>
      </c>
      <c r="D215" s="261">
        <f>-D190</f>
        <v>0</v>
      </c>
      <c r="E215" s="159">
        <f>-E190</f>
        <v>0</v>
      </c>
    </row>
    <row r="216" spans="1:5" ht="13.5" thickBot="1">
      <c r="A216" s="615" t="s">
        <v>958</v>
      </c>
      <c r="B216" s="616" t="s">
        <v>7</v>
      </c>
      <c r="C216" s="862">
        <f>C204+C205+C206+C214+C215</f>
        <v>74495</v>
      </c>
      <c r="D216" s="862">
        <f>D204+D205+D206+D214+D215</f>
        <v>38317</v>
      </c>
      <c r="E216" s="893">
        <f>E204+E205+E206+E214+E215</f>
        <v>4517</v>
      </c>
    </row>
    <row r="217" spans="1:5" ht="27" thickBot="1" thickTop="1">
      <c r="A217" s="615" t="s">
        <v>347</v>
      </c>
      <c r="B217" s="620" t="s">
        <v>503</v>
      </c>
      <c r="C217" s="267">
        <f>C216+C201</f>
        <v>120291</v>
      </c>
      <c r="D217" s="267">
        <f>D216+D201</f>
        <v>39135</v>
      </c>
      <c r="E217" s="272">
        <f>E216+E201</f>
        <v>40334</v>
      </c>
    </row>
    <row r="218" spans="1:5" ht="13.5" thickTop="1">
      <c r="A218" s="604"/>
      <c r="B218" s="848"/>
      <c r="C218" s="858"/>
      <c r="D218" s="858"/>
      <c r="E218" s="863"/>
    </row>
    <row r="219" spans="1:5" ht="12.75">
      <c r="A219" s="372" t="s">
        <v>348</v>
      </c>
      <c r="B219" s="485" t="s">
        <v>504</v>
      </c>
      <c r="C219" s="329"/>
      <c r="D219" s="154"/>
      <c r="E219" s="146"/>
    </row>
    <row r="220" spans="1:5" ht="12.75">
      <c r="A220" s="371" t="s">
        <v>349</v>
      </c>
      <c r="B220" s="229" t="s">
        <v>1334</v>
      </c>
      <c r="C220" s="327"/>
      <c r="D220" s="327"/>
      <c r="E220" s="151"/>
    </row>
    <row r="221" spans="1:5" ht="12.75">
      <c r="A221" s="371" t="s">
        <v>350</v>
      </c>
      <c r="B221" s="697" t="s">
        <v>724</v>
      </c>
      <c r="C221" s="329"/>
      <c r="D221" s="154"/>
      <c r="E221" s="146"/>
    </row>
    <row r="222" spans="1:5" ht="12.75">
      <c r="A222" s="371" t="s">
        <v>351</v>
      </c>
      <c r="B222" s="697" t="s">
        <v>723</v>
      </c>
      <c r="C222" s="262"/>
      <c r="D222" s="155"/>
      <c r="E222" s="147"/>
    </row>
    <row r="223" spans="1:5" ht="12.75">
      <c r="A223" s="371" t="s">
        <v>352</v>
      </c>
      <c r="B223" s="697" t="s">
        <v>725</v>
      </c>
      <c r="C223" s="327"/>
      <c r="D223" s="151"/>
      <c r="E223" s="147"/>
    </row>
    <row r="224" spans="1:5" ht="12.75">
      <c r="A224" s="371" t="s">
        <v>353</v>
      </c>
      <c r="B224" s="836" t="s">
        <v>727</v>
      </c>
      <c r="C224" s="252"/>
      <c r="D224" s="151"/>
      <c r="E224" s="147"/>
    </row>
    <row r="225" spans="1:5" ht="12.75">
      <c r="A225" s="371" t="s">
        <v>354</v>
      </c>
      <c r="B225" s="837" t="s">
        <v>730</v>
      </c>
      <c r="C225" s="252"/>
      <c r="D225" s="151"/>
      <c r="E225" s="147"/>
    </row>
    <row r="226" spans="1:5" ht="12.75">
      <c r="A226" s="371" t="s">
        <v>355</v>
      </c>
      <c r="B226" s="838" t="s">
        <v>729</v>
      </c>
      <c r="C226" s="252"/>
      <c r="D226" s="327"/>
      <c r="E226" s="151"/>
    </row>
    <row r="227" spans="1:5" ht="13.5" thickBot="1">
      <c r="A227" s="371" t="s">
        <v>356</v>
      </c>
      <c r="B227" s="382" t="s">
        <v>728</v>
      </c>
      <c r="C227" s="267"/>
      <c r="D227" s="267"/>
      <c r="E227" s="272"/>
    </row>
    <row r="228" spans="1:5" ht="13.5" thickBot="1">
      <c r="A228" s="395" t="s">
        <v>357</v>
      </c>
      <c r="B228" s="315" t="s">
        <v>731</v>
      </c>
      <c r="C228" s="842">
        <f>SUM(C220:C227)</f>
        <v>0</v>
      </c>
      <c r="D228" s="842">
        <f>SUM(D220:D227)</f>
        <v>0</v>
      </c>
      <c r="E228" s="948">
        <f>SUM(E220:E227)</f>
        <v>0</v>
      </c>
    </row>
    <row r="229" spans="1:5" ht="12.75">
      <c r="A229" s="604"/>
      <c r="B229" s="44"/>
      <c r="C229" s="854"/>
      <c r="D229" s="816"/>
      <c r="E229" s="816"/>
    </row>
    <row r="230" spans="1:5" ht="13.5" thickBot="1">
      <c r="A230" s="456" t="s">
        <v>358</v>
      </c>
      <c r="B230" s="1380" t="s">
        <v>506</v>
      </c>
      <c r="C230" s="1345">
        <f>C217+C228</f>
        <v>120291</v>
      </c>
      <c r="D230" s="1345">
        <f>D217+D228</f>
        <v>39135</v>
      </c>
      <c r="E230" s="334">
        <f>E217+E228</f>
        <v>40334</v>
      </c>
    </row>
    <row r="231" spans="1:5" ht="12.75">
      <c r="A231" s="393"/>
      <c r="B231" s="827"/>
      <c r="C231" s="30"/>
      <c r="D231" s="30"/>
      <c r="E231" s="30"/>
    </row>
    <row r="232" spans="1:5" ht="12.75">
      <c r="A232" s="393"/>
      <c r="B232" s="827"/>
      <c r="C232" s="30"/>
      <c r="D232" s="30"/>
      <c r="E232" s="30"/>
    </row>
    <row r="233" spans="1:5" ht="12.75">
      <c r="A233" s="393"/>
      <c r="B233" s="827"/>
      <c r="C233" s="30"/>
      <c r="D233" s="30"/>
      <c r="E233" s="30"/>
    </row>
    <row r="234" spans="1:5" ht="12.75">
      <c r="A234" s="393"/>
      <c r="B234" s="827"/>
      <c r="C234" s="30"/>
      <c r="D234" s="30"/>
      <c r="E234" s="30"/>
    </row>
    <row r="235" spans="1:5" ht="12.75">
      <c r="A235" s="393"/>
      <c r="B235" s="827"/>
      <c r="C235" s="30"/>
      <c r="D235" s="30"/>
      <c r="E235" s="30"/>
    </row>
    <row r="236" ht="12.75" customHeight="1"/>
    <row r="237" spans="1:5" ht="12.75">
      <c r="A237" s="1676">
        <v>5</v>
      </c>
      <c r="B237" s="1675"/>
      <c r="C237" s="1675"/>
      <c r="D237" s="1675"/>
      <c r="E237" s="1675"/>
    </row>
    <row r="238" spans="1:5" ht="12.75">
      <c r="A238" s="1654" t="s">
        <v>1407</v>
      </c>
      <c r="B238" s="1654"/>
      <c r="C238" s="1654"/>
      <c r="D238" s="1654"/>
      <c r="E238" s="1654"/>
    </row>
    <row r="239" spans="1:5" ht="12.75">
      <c r="A239" s="384"/>
      <c r="B239" s="384"/>
      <c r="C239" s="384"/>
      <c r="D239" s="384"/>
      <c r="E239" s="384"/>
    </row>
    <row r="240" spans="2:5" ht="15.75">
      <c r="B240" s="1674" t="s">
        <v>1063</v>
      </c>
      <c r="C240" s="1674"/>
      <c r="D240" s="1674"/>
      <c r="E240" s="1674"/>
    </row>
    <row r="241" spans="2:5" ht="15.75">
      <c r="B241" s="21"/>
      <c r="C241" s="21"/>
      <c r="D241" s="21"/>
      <c r="E241" s="21"/>
    </row>
    <row r="242" spans="2:5" ht="13.5" thickBot="1">
      <c r="B242" s="1"/>
      <c r="C242" s="1"/>
      <c r="D242" s="1"/>
      <c r="E242" s="22" t="s">
        <v>8</v>
      </c>
    </row>
    <row r="243" spans="1:5" ht="27" thickBot="1">
      <c r="A243" s="399" t="s">
        <v>311</v>
      </c>
      <c r="B243" s="610" t="s">
        <v>13</v>
      </c>
      <c r="C243" s="1385" t="s">
        <v>496</v>
      </c>
      <c r="D243" s="1387" t="s">
        <v>258</v>
      </c>
      <c r="E243" s="389" t="s">
        <v>20</v>
      </c>
    </row>
    <row r="244" spans="1:5" ht="12.75">
      <c r="A244" s="611" t="s">
        <v>312</v>
      </c>
      <c r="B244" s="612" t="s">
        <v>313</v>
      </c>
      <c r="C244" s="621" t="s">
        <v>314</v>
      </c>
      <c r="D244" s="639" t="s">
        <v>315</v>
      </c>
      <c r="E244" s="623" t="s">
        <v>335</v>
      </c>
    </row>
    <row r="245" spans="1:5" ht="12.75">
      <c r="A245" s="372" t="s">
        <v>316</v>
      </c>
      <c r="B245" s="379" t="s">
        <v>256</v>
      </c>
      <c r="C245" s="327"/>
      <c r="D245" s="151"/>
      <c r="E245" s="145"/>
    </row>
    <row r="246" spans="1:5" ht="12.75">
      <c r="A246" s="371" t="s">
        <v>317</v>
      </c>
      <c r="B246" s="199" t="s">
        <v>681</v>
      </c>
      <c r="C246" s="327"/>
      <c r="D246" s="151"/>
      <c r="E246" s="145">
        <v>1050</v>
      </c>
    </row>
    <row r="247" spans="1:5" ht="12.75">
      <c r="A247" s="371" t="s">
        <v>318</v>
      </c>
      <c r="B247" s="228" t="s">
        <v>683</v>
      </c>
      <c r="C247" s="327"/>
      <c r="D247" s="151"/>
      <c r="E247" s="145">
        <v>1557</v>
      </c>
    </row>
    <row r="248" spans="1:5" ht="12.75">
      <c r="A248" s="371" t="s">
        <v>319</v>
      </c>
      <c r="B248" s="228" t="s">
        <v>682</v>
      </c>
      <c r="C248" s="327">
        <f>'1_ sz_függelék'!B20</f>
        <v>68768.74</v>
      </c>
      <c r="D248" s="151">
        <v>2535</v>
      </c>
      <c r="E248" s="145">
        <v>8679</v>
      </c>
    </row>
    <row r="249" spans="1:5" ht="12.75">
      <c r="A249" s="371" t="s">
        <v>320</v>
      </c>
      <c r="B249" s="228" t="s">
        <v>684</v>
      </c>
      <c r="C249" s="327"/>
      <c r="D249" s="151"/>
      <c r="E249" s="145"/>
    </row>
    <row r="250" spans="1:5" ht="12.75">
      <c r="A250" s="371" t="s">
        <v>321</v>
      </c>
      <c r="B250" s="228" t="s">
        <v>685</v>
      </c>
      <c r="C250" s="327"/>
      <c r="D250" s="151"/>
      <c r="E250" s="145"/>
    </row>
    <row r="251" spans="1:5" ht="12.75">
      <c r="A251" s="371" t="s">
        <v>322</v>
      </c>
      <c r="B251" s="228" t="s">
        <v>686</v>
      </c>
      <c r="C251" s="327">
        <f>C252+C253+C254+C255+C256+C257+C258</f>
        <v>0</v>
      </c>
      <c r="D251" s="151">
        <f>D252+D253+D254+D255+D256+D257+D258</f>
        <v>0</v>
      </c>
      <c r="E251" s="145">
        <f>E252+E253+E254+E255+E256+E257+E258</f>
        <v>67852</v>
      </c>
    </row>
    <row r="252" spans="1:5" ht="12.75">
      <c r="A252" s="371" t="s">
        <v>323</v>
      </c>
      <c r="B252" s="228" t="s">
        <v>690</v>
      </c>
      <c r="C252" s="327"/>
      <c r="D252" s="151"/>
      <c r="E252" s="145"/>
    </row>
    <row r="253" spans="1:5" ht="12.75">
      <c r="A253" s="371" t="s">
        <v>324</v>
      </c>
      <c r="B253" s="228" t="s">
        <v>691</v>
      </c>
      <c r="C253" s="327"/>
      <c r="D253" s="151"/>
      <c r="E253" s="145"/>
    </row>
    <row r="254" spans="1:5" ht="12.75">
      <c r="A254" s="371" t="s">
        <v>325</v>
      </c>
      <c r="B254" s="228" t="s">
        <v>692</v>
      </c>
      <c r="C254" s="327"/>
      <c r="D254" s="151"/>
      <c r="E254" s="145"/>
    </row>
    <row r="255" spans="1:5" ht="12.75">
      <c r="A255" s="371" t="s">
        <v>326</v>
      </c>
      <c r="B255" s="380" t="s">
        <v>688</v>
      </c>
      <c r="C255" s="262"/>
      <c r="D255" s="155"/>
      <c r="E255" s="145">
        <f>'6 7_sz_melléklet'!E36+'6 7_sz_melléklet'!E38+'6 7_sz_melléklet'!E33+'6 7_sz_melléklet'!E51</f>
        <v>67852</v>
      </c>
    </row>
    <row r="256" spans="1:5" ht="12.75">
      <c r="A256" s="371" t="s">
        <v>327</v>
      </c>
      <c r="B256" s="834" t="s">
        <v>689</v>
      </c>
      <c r="C256" s="252"/>
      <c r="D256" s="151"/>
      <c r="E256" s="145"/>
    </row>
    <row r="257" spans="1:5" ht="12.75">
      <c r="A257" s="371" t="s">
        <v>328</v>
      </c>
      <c r="B257" s="835" t="s">
        <v>687</v>
      </c>
      <c r="C257" s="252"/>
      <c r="D257" s="151"/>
      <c r="E257" s="145"/>
    </row>
    <row r="258" spans="1:5" ht="12.75">
      <c r="A258" s="371" t="s">
        <v>329</v>
      </c>
      <c r="B258" s="136" t="s">
        <v>957</v>
      </c>
      <c r="C258" s="327"/>
      <c r="D258" s="151"/>
      <c r="E258" s="145"/>
    </row>
    <row r="259" spans="1:5" ht="13.5" thickBot="1">
      <c r="A259" s="371" t="s">
        <v>330</v>
      </c>
      <c r="B259" s="230" t="s">
        <v>694</v>
      </c>
      <c r="C259" s="261"/>
      <c r="D259" s="484"/>
      <c r="E259" s="150"/>
    </row>
    <row r="260" spans="1:5" ht="18.75" customHeight="1" thickBot="1">
      <c r="A260" s="615" t="s">
        <v>331</v>
      </c>
      <c r="B260" s="616" t="s">
        <v>6</v>
      </c>
      <c r="C260" s="884">
        <f>C246+C247+C248+C249+C251+C259</f>
        <v>68768.74</v>
      </c>
      <c r="D260" s="1386">
        <f>D246+D247+D248+D249+D251+D259</f>
        <v>2535</v>
      </c>
      <c r="E260" s="893">
        <f>E246+E247+E248+E249+E251+E259</f>
        <v>79138</v>
      </c>
    </row>
    <row r="261" spans="1:5" ht="13.5" thickTop="1">
      <c r="A261" s="604"/>
      <c r="B261" s="379"/>
      <c r="C261" s="860"/>
      <c r="D261" s="860"/>
      <c r="E261" s="861"/>
    </row>
    <row r="262" spans="1:5" ht="12.75">
      <c r="A262" s="372" t="s">
        <v>332</v>
      </c>
      <c r="B262" s="381" t="s">
        <v>257</v>
      </c>
      <c r="C262" s="331"/>
      <c r="D262" s="331"/>
      <c r="E262" s="157"/>
    </row>
    <row r="263" spans="1:5" ht="12.75">
      <c r="A263" s="371" t="s">
        <v>333</v>
      </c>
      <c r="B263" s="228" t="s">
        <v>695</v>
      </c>
      <c r="C263" s="327">
        <f>'33_sz_ melléklet'!C86</f>
        <v>5588</v>
      </c>
      <c r="D263" s="151"/>
      <c r="E263" s="145"/>
    </row>
    <row r="264" spans="1:5" ht="12.75">
      <c r="A264" s="371" t="s">
        <v>334</v>
      </c>
      <c r="B264" s="228" t="s">
        <v>696</v>
      </c>
      <c r="C264" s="327">
        <f>'32_sz_ melléklet'!C27</f>
        <v>91746</v>
      </c>
      <c r="D264" s="151"/>
      <c r="E264" s="145"/>
    </row>
    <row r="265" spans="1:5" ht="12.75">
      <c r="A265" s="371" t="s">
        <v>336</v>
      </c>
      <c r="B265" s="228" t="s">
        <v>697</v>
      </c>
      <c r="C265" s="327">
        <f>C266+C267+C268+C269+C270+C271+C272</f>
        <v>0</v>
      </c>
      <c r="D265" s="327">
        <f>D266+D267+D268+D269+D270+D271+D272</f>
        <v>0</v>
      </c>
      <c r="E265" s="151">
        <f>E266+E267+E268+E269+E270+E271+E272</f>
        <v>0</v>
      </c>
    </row>
    <row r="266" spans="1:5" ht="12.75">
      <c r="A266" s="371" t="s">
        <v>337</v>
      </c>
      <c r="B266" s="380" t="s">
        <v>698</v>
      </c>
      <c r="C266" s="327"/>
      <c r="D266" s="151"/>
      <c r="E266" s="145"/>
    </row>
    <row r="267" spans="1:5" ht="12.75">
      <c r="A267" s="371" t="s">
        <v>338</v>
      </c>
      <c r="B267" s="380" t="s">
        <v>699</v>
      </c>
      <c r="C267" s="327"/>
      <c r="D267" s="151"/>
      <c r="E267" s="145"/>
    </row>
    <row r="268" spans="1:5" ht="12.75">
      <c r="A268" s="371" t="s">
        <v>339</v>
      </c>
      <c r="B268" s="380" t="s">
        <v>700</v>
      </c>
      <c r="C268" s="327"/>
      <c r="D268" s="151"/>
      <c r="E268" s="145"/>
    </row>
    <row r="269" spans="1:5" ht="12.75">
      <c r="A269" s="371" t="s">
        <v>340</v>
      </c>
      <c r="B269" s="380" t="s">
        <v>701</v>
      </c>
      <c r="C269" s="327"/>
      <c r="D269" s="151"/>
      <c r="E269" s="145"/>
    </row>
    <row r="270" spans="1:5" ht="12.75">
      <c r="A270" s="371" t="s">
        <v>341</v>
      </c>
      <c r="B270" s="834" t="s">
        <v>702</v>
      </c>
      <c r="C270" s="327"/>
      <c r="D270" s="151"/>
      <c r="E270" s="145"/>
    </row>
    <row r="271" spans="1:5" ht="12.75">
      <c r="A271" s="371" t="s">
        <v>342</v>
      </c>
      <c r="B271" s="309" t="s">
        <v>703</v>
      </c>
      <c r="C271" s="251"/>
      <c r="D271" s="262"/>
      <c r="E271" s="155"/>
    </row>
    <row r="272" spans="1:5" ht="12.75">
      <c r="A272" s="371" t="s">
        <v>343</v>
      </c>
      <c r="B272" s="1091" t="s">
        <v>704</v>
      </c>
      <c r="C272" s="252"/>
      <c r="D272" s="327"/>
      <c r="E272" s="151"/>
    </row>
    <row r="273" spans="1:5" ht="12.75">
      <c r="A273" s="371" t="s">
        <v>344</v>
      </c>
      <c r="B273" s="228"/>
      <c r="C273" s="329"/>
      <c r="D273" s="154"/>
      <c r="E273" s="146"/>
    </row>
    <row r="274" spans="1:5" ht="13.5" thickBot="1">
      <c r="A274" s="371" t="s">
        <v>345</v>
      </c>
      <c r="B274" s="230"/>
      <c r="C274" s="328"/>
      <c r="D274" s="156"/>
      <c r="E274" s="148"/>
    </row>
    <row r="275" spans="1:5" ht="13.5" thickBot="1">
      <c r="A275" s="615" t="s">
        <v>958</v>
      </c>
      <c r="B275" s="616" t="s">
        <v>7</v>
      </c>
      <c r="C275" s="862">
        <f>C263+C264+C265+C273+C274</f>
        <v>97334</v>
      </c>
      <c r="D275" s="862">
        <f>D263+D264+D265+D273+D274</f>
        <v>0</v>
      </c>
      <c r="E275" s="893">
        <f>E263+E264+E265+E273+E274</f>
        <v>0</v>
      </c>
    </row>
    <row r="276" spans="1:5" ht="27" thickBot="1" thickTop="1">
      <c r="A276" s="615" t="s">
        <v>347</v>
      </c>
      <c r="B276" s="620" t="s">
        <v>503</v>
      </c>
      <c r="C276" s="267">
        <f>C260+C275</f>
        <v>166102.74</v>
      </c>
      <c r="D276" s="267">
        <f>D260+D275</f>
        <v>2535</v>
      </c>
      <c r="E276" s="272">
        <f>E260+E275</f>
        <v>79138</v>
      </c>
    </row>
    <row r="277" spans="1:5" ht="13.5" thickTop="1">
      <c r="A277" s="604"/>
      <c r="B277" s="848"/>
      <c r="C277" s="863"/>
      <c r="D277" s="863"/>
      <c r="E277" s="863"/>
    </row>
    <row r="278" spans="1:5" ht="12.75">
      <c r="A278" s="372" t="s">
        <v>348</v>
      </c>
      <c r="B278" s="485" t="s">
        <v>504</v>
      </c>
      <c r="C278" s="329"/>
      <c r="D278" s="154"/>
      <c r="E278" s="146"/>
    </row>
    <row r="279" spans="1:5" ht="12.75">
      <c r="A279" s="371" t="s">
        <v>349</v>
      </c>
      <c r="B279" s="229" t="s">
        <v>1334</v>
      </c>
      <c r="C279" s="262"/>
      <c r="D279" s="155"/>
      <c r="E279" s="147"/>
    </row>
    <row r="280" spans="1:5" ht="12.75">
      <c r="A280" s="371" t="s">
        <v>350</v>
      </c>
      <c r="B280" s="697" t="s">
        <v>724</v>
      </c>
      <c r="C280" s="327"/>
      <c r="D280" s="151"/>
      <c r="E280" s="147"/>
    </row>
    <row r="281" spans="1:5" ht="12.75">
      <c r="A281" s="371" t="s">
        <v>351</v>
      </c>
      <c r="B281" s="697" t="s">
        <v>723</v>
      </c>
      <c r="C281" s="327"/>
      <c r="D281" s="151"/>
      <c r="E281" s="147"/>
    </row>
    <row r="282" spans="1:5" ht="12.75">
      <c r="A282" s="371" t="s">
        <v>352</v>
      </c>
      <c r="B282" s="697" t="s">
        <v>725</v>
      </c>
      <c r="C282" s="327"/>
      <c r="D282" s="151"/>
      <c r="E282" s="147"/>
    </row>
    <row r="283" spans="1:5" ht="12.75">
      <c r="A283" s="371" t="s">
        <v>353</v>
      </c>
      <c r="B283" s="836" t="s">
        <v>727</v>
      </c>
      <c r="C283" s="252"/>
      <c r="D283" s="327"/>
      <c r="E283" s="151"/>
    </row>
    <row r="284" spans="1:5" ht="12.75">
      <c r="A284" s="371" t="s">
        <v>354</v>
      </c>
      <c r="B284" s="837" t="s">
        <v>730</v>
      </c>
      <c r="C284" s="251"/>
      <c r="D284" s="262"/>
      <c r="E284" s="155"/>
    </row>
    <row r="285" spans="1:5" ht="12.75">
      <c r="A285" s="371" t="s">
        <v>355</v>
      </c>
      <c r="B285" s="838" t="s">
        <v>729</v>
      </c>
      <c r="C285" s="885"/>
      <c r="D285" s="151"/>
      <c r="E285" s="145"/>
    </row>
    <row r="286" spans="1:5" ht="13.5" thickBot="1">
      <c r="A286" s="371" t="s">
        <v>356</v>
      </c>
      <c r="B286" s="382" t="s">
        <v>728</v>
      </c>
      <c r="C286" s="257"/>
      <c r="D286" s="159"/>
      <c r="E286" s="150"/>
    </row>
    <row r="287" spans="1:5" ht="13.5" thickBot="1">
      <c r="A287" s="395" t="s">
        <v>357</v>
      </c>
      <c r="B287" s="315" t="s">
        <v>731</v>
      </c>
      <c r="C287" s="263">
        <f>C279+C280+C281+C282+C283+C284+C285+C286</f>
        <v>0</v>
      </c>
      <c r="D287" s="263">
        <f>D279+D280+D281+D282+D283+D284+D285+D286</f>
        <v>0</v>
      </c>
      <c r="E287" s="158">
        <f>E279+E280+E281+E282+E283+E284+E285+E286</f>
        <v>0</v>
      </c>
    </row>
    <row r="288" spans="1:5" ht="12.75">
      <c r="A288" s="604"/>
      <c r="B288" s="44"/>
      <c r="C288" s="816"/>
      <c r="D288" s="816"/>
      <c r="E288" s="816"/>
    </row>
    <row r="289" spans="1:5" ht="13.5" thickBot="1">
      <c r="A289" s="456" t="s">
        <v>358</v>
      </c>
      <c r="B289" s="1380" t="s">
        <v>506</v>
      </c>
      <c r="C289" s="1345">
        <f>C276+C287</f>
        <v>166102.74</v>
      </c>
      <c r="D289" s="1345">
        <f>D276+D287</f>
        <v>2535</v>
      </c>
      <c r="E289" s="334">
        <f>E276+E287</f>
        <v>79138</v>
      </c>
    </row>
    <row r="290" spans="1:5" ht="12.75">
      <c r="A290" s="393"/>
      <c r="B290" s="827"/>
      <c r="C290" s="828"/>
      <c r="D290" s="828"/>
      <c r="E290" s="828"/>
    </row>
    <row r="291" spans="1:5" ht="12.75">
      <c r="A291" s="393"/>
      <c r="B291" s="827"/>
      <c r="C291" s="828"/>
      <c r="D291" s="828"/>
      <c r="E291" s="828"/>
    </row>
    <row r="292" spans="1:5" ht="12.75">
      <c r="A292" s="393"/>
      <c r="B292" s="827"/>
      <c r="C292" s="828"/>
      <c r="D292" s="828"/>
      <c r="E292" s="828"/>
    </row>
    <row r="293" spans="1:5" ht="12.75">
      <c r="A293" s="393"/>
      <c r="B293" s="827"/>
      <c r="C293" s="828"/>
      <c r="D293" s="828"/>
      <c r="E293" s="828"/>
    </row>
    <row r="294" spans="1:5" ht="12.75">
      <c r="A294" s="393"/>
      <c r="B294" s="827"/>
      <c r="C294" s="828"/>
      <c r="D294" s="828"/>
      <c r="E294" s="828"/>
    </row>
    <row r="295" spans="1:5" ht="12.75">
      <c r="A295" s="393"/>
      <c r="B295" s="756"/>
      <c r="C295" s="30"/>
      <c r="D295" s="30"/>
      <c r="E295" s="30"/>
    </row>
    <row r="296" spans="1:5" ht="12.75">
      <c r="A296" s="1676">
        <v>6</v>
      </c>
      <c r="B296" s="1675"/>
      <c r="C296" s="1675"/>
      <c r="D296" s="1675"/>
      <c r="E296" s="1675"/>
    </row>
    <row r="297" spans="1:5" ht="12.75">
      <c r="A297" s="833"/>
      <c r="B297" s="13"/>
      <c r="C297" s="13"/>
      <c r="D297" s="13"/>
      <c r="E297" s="13"/>
    </row>
    <row r="298" spans="1:5" ht="12.75">
      <c r="A298" s="1654" t="s">
        <v>1407</v>
      </c>
      <c r="B298" s="1654"/>
      <c r="C298" s="1654"/>
      <c r="D298" s="1654"/>
      <c r="E298" s="1654"/>
    </row>
    <row r="299" spans="1:5" ht="12.75">
      <c r="A299" s="384"/>
      <c r="B299" s="384"/>
      <c r="C299" s="384"/>
      <c r="D299" s="384"/>
      <c r="E299" s="384"/>
    </row>
    <row r="300" spans="2:5" ht="15.75">
      <c r="B300" s="1674" t="s">
        <v>1063</v>
      </c>
      <c r="C300" s="1674"/>
      <c r="D300" s="1674"/>
      <c r="E300" s="1674"/>
    </row>
    <row r="301" spans="2:5" ht="13.5" thickBot="1">
      <c r="B301" s="1"/>
      <c r="C301" s="1"/>
      <c r="D301" s="1"/>
      <c r="E301" s="22" t="s">
        <v>8</v>
      </c>
    </row>
    <row r="302" spans="1:5" ht="27" thickBot="1">
      <c r="A302" s="390" t="s">
        <v>311</v>
      </c>
      <c r="B302" s="610" t="s">
        <v>13</v>
      </c>
      <c r="C302" s="866" t="s">
        <v>19</v>
      </c>
      <c r="D302" s="638" t="s">
        <v>21</v>
      </c>
      <c r="E302" s="163" t="s">
        <v>498</v>
      </c>
    </row>
    <row r="303" spans="1:5" ht="12.75">
      <c r="A303" s="611" t="s">
        <v>312</v>
      </c>
      <c r="B303" s="612" t="s">
        <v>313</v>
      </c>
      <c r="C303" s="636" t="s">
        <v>314</v>
      </c>
      <c r="D303" s="637" t="s">
        <v>315</v>
      </c>
      <c r="E303" s="639" t="s">
        <v>335</v>
      </c>
    </row>
    <row r="304" spans="1:5" ht="12.75">
      <c r="A304" s="372" t="s">
        <v>316</v>
      </c>
      <c r="B304" s="379" t="s">
        <v>256</v>
      </c>
      <c r="C304" s="327"/>
      <c r="D304" s="151"/>
      <c r="E304" s="151"/>
    </row>
    <row r="305" spans="1:5" ht="12.75">
      <c r="A305" s="371" t="s">
        <v>317</v>
      </c>
      <c r="B305" s="199" t="s">
        <v>681</v>
      </c>
      <c r="C305" s="327"/>
      <c r="D305" s="151"/>
      <c r="E305" s="151"/>
    </row>
    <row r="306" spans="1:5" ht="12.75">
      <c r="A306" s="371" t="s">
        <v>318</v>
      </c>
      <c r="B306" s="228" t="s">
        <v>683</v>
      </c>
      <c r="C306" s="327"/>
      <c r="D306" s="151"/>
      <c r="E306" s="151"/>
    </row>
    <row r="307" spans="1:5" ht="12.75">
      <c r="A307" s="371" t="s">
        <v>319</v>
      </c>
      <c r="B307" s="228" t="s">
        <v>682</v>
      </c>
      <c r="C307" s="327">
        <f>4044+216+110</f>
        <v>4370</v>
      </c>
      <c r="D307" s="151">
        <f>6350-4097</f>
        <v>2253</v>
      </c>
      <c r="E307" s="151">
        <v>0</v>
      </c>
    </row>
    <row r="308" spans="1:5" ht="12.75">
      <c r="A308" s="371" t="s">
        <v>320</v>
      </c>
      <c r="B308" s="228" t="s">
        <v>684</v>
      </c>
      <c r="C308" s="327"/>
      <c r="D308" s="151"/>
      <c r="E308" s="151"/>
    </row>
    <row r="309" spans="1:5" ht="12.75">
      <c r="A309" s="371" t="s">
        <v>321</v>
      </c>
      <c r="B309" s="228" t="s">
        <v>685</v>
      </c>
      <c r="C309" s="327"/>
      <c r="D309" s="151"/>
      <c r="E309" s="151"/>
    </row>
    <row r="310" spans="1:5" ht="12.75">
      <c r="A310" s="371" t="s">
        <v>322</v>
      </c>
      <c r="B310" s="228" t="s">
        <v>686</v>
      </c>
      <c r="C310" s="327">
        <f>C311+C312+C313+C314+C315+C316+C317</f>
        <v>0</v>
      </c>
      <c r="D310" s="327">
        <f>D311+D312+D313+D314+D315+D316+D317</f>
        <v>0</v>
      </c>
      <c r="E310" s="151">
        <f>E311+E312+E313+E314+E315+E316+E317</f>
        <v>0</v>
      </c>
    </row>
    <row r="311" spans="1:5" ht="12.75">
      <c r="A311" s="371" t="s">
        <v>323</v>
      </c>
      <c r="B311" s="228" t="s">
        <v>690</v>
      </c>
      <c r="C311" s="327"/>
      <c r="D311" s="151"/>
      <c r="E311" s="151"/>
    </row>
    <row r="312" spans="1:5" ht="12.75">
      <c r="A312" s="371" t="s">
        <v>324</v>
      </c>
      <c r="B312" s="228" t="s">
        <v>691</v>
      </c>
      <c r="C312" s="327"/>
      <c r="D312" s="151"/>
      <c r="E312" s="151"/>
    </row>
    <row r="313" spans="1:5" ht="12.75">
      <c r="A313" s="371" t="s">
        <v>325</v>
      </c>
      <c r="B313" s="228" t="s">
        <v>692</v>
      </c>
      <c r="C313" s="327"/>
      <c r="D313" s="151"/>
      <c r="E313" s="151"/>
    </row>
    <row r="314" spans="1:5" ht="12.75">
      <c r="A314" s="371" t="s">
        <v>326</v>
      </c>
      <c r="B314" s="380" t="s">
        <v>688</v>
      </c>
      <c r="C314" s="262"/>
      <c r="D314" s="155"/>
      <c r="E314" s="151"/>
    </row>
    <row r="315" spans="1:5" ht="12.75">
      <c r="A315" s="371" t="s">
        <v>327</v>
      </c>
      <c r="B315" s="834" t="s">
        <v>689</v>
      </c>
      <c r="C315" s="330"/>
      <c r="D315" s="152"/>
      <c r="E315" s="151"/>
    </row>
    <row r="316" spans="1:5" ht="12.75">
      <c r="A316" s="371" t="s">
        <v>328</v>
      </c>
      <c r="B316" s="835" t="s">
        <v>687</v>
      </c>
      <c r="C316" s="330"/>
      <c r="D316" s="152"/>
      <c r="E316" s="151"/>
    </row>
    <row r="317" spans="1:5" ht="12.75">
      <c r="A317" s="371" t="s">
        <v>329</v>
      </c>
      <c r="B317" s="136" t="s">
        <v>957</v>
      </c>
      <c r="C317" s="330"/>
      <c r="D317" s="152"/>
      <c r="E317" s="151"/>
    </row>
    <row r="318" spans="1:5" ht="13.5" thickBot="1">
      <c r="A318" s="371" t="s">
        <v>330</v>
      </c>
      <c r="B318" s="230" t="s">
        <v>694</v>
      </c>
      <c r="C318" s="328">
        <f>' 8 10 sz. melléklet'!E27</f>
        <v>123501</v>
      </c>
      <c r="D318" s="156"/>
      <c r="E318" s="325"/>
    </row>
    <row r="319" spans="1:5" ht="13.5" thickBot="1">
      <c r="A319" s="615" t="s">
        <v>331</v>
      </c>
      <c r="B319" s="616" t="s">
        <v>6</v>
      </c>
      <c r="C319" s="886">
        <f>C305+C306+C307+C308+C310+C318</f>
        <v>127871</v>
      </c>
      <c r="D319" s="886">
        <f>D305+D306+D307+D308+D310+D318</f>
        <v>2253</v>
      </c>
      <c r="E319" s="732">
        <f>E305+E306+E307+E308+E310+E318</f>
        <v>0</v>
      </c>
    </row>
    <row r="320" spans="1:5" ht="13.5" thickTop="1">
      <c r="A320" s="604"/>
      <c r="B320" s="379"/>
      <c r="C320" s="860"/>
      <c r="D320" s="860"/>
      <c r="E320" s="861"/>
    </row>
    <row r="321" spans="1:5" ht="12.75">
      <c r="A321" s="372" t="s">
        <v>332</v>
      </c>
      <c r="B321" s="381" t="s">
        <v>257</v>
      </c>
      <c r="C321" s="329"/>
      <c r="D321" s="154"/>
      <c r="E321" s="146"/>
    </row>
    <row r="322" spans="1:5" ht="12.75">
      <c r="A322" s="371" t="s">
        <v>333</v>
      </c>
      <c r="B322" s="228" t="s">
        <v>695</v>
      </c>
      <c r="C322" s="327"/>
      <c r="D322" s="151">
        <f>'33_sz_ melléklet'!C91</f>
        <v>304540</v>
      </c>
      <c r="E322" s="145"/>
    </row>
    <row r="323" spans="1:5" ht="12.75">
      <c r="A323" s="371" t="s">
        <v>334</v>
      </c>
      <c r="B323" s="228" t="s">
        <v>696</v>
      </c>
      <c r="C323" s="262"/>
      <c r="D323" s="327">
        <f>'32_sz_ melléklet'!C51</f>
        <v>12576</v>
      </c>
      <c r="E323" s="155"/>
    </row>
    <row r="324" spans="1:5" ht="12.75">
      <c r="A324" s="371" t="s">
        <v>336</v>
      </c>
      <c r="B324" s="228" t="s">
        <v>697</v>
      </c>
      <c r="C324" s="327">
        <f>C325+C326+C327+C328+C329+C330+C331</f>
        <v>0</v>
      </c>
      <c r="D324" s="327">
        <f>D325+D326+D327+D328+D329+D330+D331</f>
        <v>81123</v>
      </c>
      <c r="E324" s="151">
        <f>E325+E326+E327+E328+E329+E330+E331</f>
        <v>1000</v>
      </c>
    </row>
    <row r="325" spans="1:5" ht="12.75">
      <c r="A325" s="371" t="s">
        <v>337</v>
      </c>
      <c r="B325" s="380" t="s">
        <v>698</v>
      </c>
      <c r="C325" s="327"/>
      <c r="D325" s="151"/>
      <c r="E325" s="145"/>
    </row>
    <row r="326" spans="1:5" ht="12.75">
      <c r="A326" s="371" t="s">
        <v>338</v>
      </c>
      <c r="B326" s="380" t="s">
        <v>699</v>
      </c>
      <c r="C326" s="327"/>
      <c r="D326" s="151"/>
      <c r="E326" s="145"/>
    </row>
    <row r="327" spans="1:5" ht="12.75">
      <c r="A327" s="371" t="s">
        <v>339</v>
      </c>
      <c r="B327" s="380" t="s">
        <v>700</v>
      </c>
      <c r="C327" s="327"/>
      <c r="D327" s="151"/>
      <c r="E327" s="145"/>
    </row>
    <row r="328" spans="1:5" ht="12.75">
      <c r="A328" s="371" t="s">
        <v>340</v>
      </c>
      <c r="B328" s="380" t="s">
        <v>701</v>
      </c>
      <c r="C328" s="327"/>
      <c r="D328" s="151">
        <f>' 8 10 sz. melléklet'!E51</f>
        <v>60000</v>
      </c>
      <c r="E328" s="145">
        <f>' 8 10 sz. melléklet'!F49</f>
        <v>1000</v>
      </c>
    </row>
    <row r="329" spans="1:5" ht="12.75">
      <c r="A329" s="371" t="s">
        <v>341</v>
      </c>
      <c r="B329" s="834" t="s">
        <v>702</v>
      </c>
      <c r="C329" s="327"/>
      <c r="D329" s="151">
        <f>'11 12 sz_melléklet'!C44</f>
        <v>21123</v>
      </c>
      <c r="E329" s="145"/>
    </row>
    <row r="330" spans="1:5" ht="12.75">
      <c r="A330" s="371" t="s">
        <v>342</v>
      </c>
      <c r="B330" s="309" t="s">
        <v>703</v>
      </c>
      <c r="C330" s="327"/>
      <c r="D330" s="151"/>
      <c r="E330" s="145"/>
    </row>
    <row r="331" spans="1:5" ht="12.75">
      <c r="A331" s="371" t="s">
        <v>343</v>
      </c>
      <c r="B331" s="1091" t="s">
        <v>704</v>
      </c>
      <c r="C331" s="327"/>
      <c r="D331" s="151"/>
      <c r="E331" s="145"/>
    </row>
    <row r="332" spans="1:5" ht="12.75">
      <c r="A332" s="371" t="s">
        <v>344</v>
      </c>
      <c r="B332" s="228"/>
      <c r="C332" s="251"/>
      <c r="D332" s="327"/>
      <c r="E332" s="155"/>
    </row>
    <row r="333" spans="1:5" ht="13.5" thickBot="1">
      <c r="A333" s="371" t="s">
        <v>345</v>
      </c>
      <c r="B333" s="230"/>
      <c r="C333" s="261">
        <f>-C308</f>
        <v>0</v>
      </c>
      <c r="D333" s="261">
        <f>-D308</f>
        <v>0</v>
      </c>
      <c r="E333" s="159">
        <f>-E308</f>
        <v>0</v>
      </c>
    </row>
    <row r="334" spans="1:5" ht="13.5" thickBot="1">
      <c r="A334" s="615" t="s">
        <v>958</v>
      </c>
      <c r="B334" s="616" t="s">
        <v>7</v>
      </c>
      <c r="C334" s="886">
        <f>C322+C323+C324+C332+C333</f>
        <v>0</v>
      </c>
      <c r="D334" s="886">
        <f>D322+D323+D324+D332+D333</f>
        <v>398239</v>
      </c>
      <c r="E334" s="732">
        <f>E322+E323+E324+E332+E333</f>
        <v>1000</v>
      </c>
    </row>
    <row r="335" spans="1:5" ht="27" thickBot="1" thickTop="1">
      <c r="A335" s="615" t="s">
        <v>347</v>
      </c>
      <c r="B335" s="620" t="s">
        <v>503</v>
      </c>
      <c r="C335" s="887">
        <f>C319+C334</f>
        <v>127871</v>
      </c>
      <c r="D335" s="887">
        <f>D319+D334</f>
        <v>400492</v>
      </c>
      <c r="E335" s="983">
        <f>E319+E334</f>
        <v>1000</v>
      </c>
    </row>
    <row r="336" spans="1:5" ht="13.5" thickTop="1">
      <c r="A336" s="604"/>
      <c r="B336" s="848"/>
      <c r="C336" s="858"/>
      <c r="D336" s="858"/>
      <c r="E336" s="863"/>
    </row>
    <row r="337" spans="1:5" ht="12.75">
      <c r="A337" s="372" t="s">
        <v>348</v>
      </c>
      <c r="B337" s="485" t="s">
        <v>504</v>
      </c>
      <c r="C337" s="329"/>
      <c r="D337" s="154"/>
      <c r="E337" s="146"/>
    </row>
    <row r="338" spans="1:5" ht="12.75">
      <c r="A338" s="371" t="s">
        <v>349</v>
      </c>
      <c r="B338" s="229" t="s">
        <v>1334</v>
      </c>
      <c r="C338" s="327"/>
      <c r="D338" s="327"/>
      <c r="E338" s="151"/>
    </row>
    <row r="339" spans="1:5" ht="12.75">
      <c r="A339" s="371" t="s">
        <v>350</v>
      </c>
      <c r="B339" s="697" t="s">
        <v>724</v>
      </c>
      <c r="C339" s="329"/>
      <c r="D339" s="154"/>
      <c r="E339" s="146"/>
    </row>
    <row r="340" spans="1:5" ht="12.75">
      <c r="A340" s="371" t="s">
        <v>351</v>
      </c>
      <c r="B340" s="697" t="s">
        <v>723</v>
      </c>
      <c r="C340" s="262"/>
      <c r="D340" s="155"/>
      <c r="E340" s="147"/>
    </row>
    <row r="341" spans="1:5" ht="12.75">
      <c r="A341" s="371" t="s">
        <v>352</v>
      </c>
      <c r="B341" s="697" t="s">
        <v>725</v>
      </c>
      <c r="C341" s="327"/>
      <c r="D341" s="151"/>
      <c r="E341" s="147"/>
    </row>
    <row r="342" spans="1:5" ht="12.75">
      <c r="A342" s="371" t="s">
        <v>353</v>
      </c>
      <c r="B342" s="836" t="s">
        <v>727</v>
      </c>
      <c r="C342" s="327"/>
      <c r="D342" s="151"/>
      <c r="E342" s="147"/>
    </row>
    <row r="343" spans="1:5" ht="12.75">
      <c r="A343" s="371" t="s">
        <v>354</v>
      </c>
      <c r="B343" s="837" t="s">
        <v>730</v>
      </c>
      <c r="C343" s="252"/>
      <c r="D343" s="151"/>
      <c r="E343" s="147"/>
    </row>
    <row r="344" spans="1:5" ht="12.75">
      <c r="A344" s="371" t="s">
        <v>355</v>
      </c>
      <c r="B344" s="838" t="s">
        <v>729</v>
      </c>
      <c r="C344" s="254"/>
      <c r="D344" s="329"/>
      <c r="E344" s="154"/>
    </row>
    <row r="345" spans="1:5" ht="13.5" thickBot="1">
      <c r="A345" s="371" t="s">
        <v>356</v>
      </c>
      <c r="B345" s="382" t="s">
        <v>728</v>
      </c>
      <c r="C345" s="267"/>
      <c r="D345" s="267"/>
      <c r="E345" s="272"/>
    </row>
    <row r="346" spans="1:5" ht="13.5" thickBot="1">
      <c r="A346" s="395" t="s">
        <v>357</v>
      </c>
      <c r="B346" s="315" t="s">
        <v>731</v>
      </c>
      <c r="C346" s="888">
        <f>SUM(C338:C345)</f>
        <v>0</v>
      </c>
      <c r="D346" s="888">
        <f>SUM(D338:D345)</f>
        <v>0</v>
      </c>
      <c r="E346" s="692">
        <f>SUM(E338:E345)</f>
        <v>0</v>
      </c>
    </row>
    <row r="347" spans="1:5" ht="12.75">
      <c r="A347" s="604"/>
      <c r="B347" s="44"/>
      <c r="C347" s="854"/>
      <c r="D347" s="816"/>
      <c r="E347" s="816"/>
    </row>
    <row r="348" spans="1:5" ht="13.5" thickBot="1">
      <c r="A348" s="631" t="s">
        <v>358</v>
      </c>
      <c r="B348" s="846" t="s">
        <v>506</v>
      </c>
      <c r="C348" s="864">
        <f>C346+C335</f>
        <v>127871</v>
      </c>
      <c r="D348" s="864">
        <f>D346+D335</f>
        <v>400492</v>
      </c>
      <c r="E348" s="865">
        <f>E346+E335</f>
        <v>1000</v>
      </c>
    </row>
    <row r="349" spans="1:5" ht="13.5" thickTop="1">
      <c r="A349" s="393"/>
      <c r="B349" s="827"/>
      <c r="C349" s="30"/>
      <c r="D349" s="30"/>
      <c r="E349" s="30"/>
    </row>
    <row r="350" spans="1:5" ht="12.75">
      <c r="A350" s="393"/>
      <c r="B350" s="827"/>
      <c r="C350" s="30"/>
      <c r="D350" s="30"/>
      <c r="E350" s="30"/>
    </row>
    <row r="351" spans="1:5" ht="12.75">
      <c r="A351" s="393"/>
      <c r="B351" s="827"/>
      <c r="C351" s="30"/>
      <c r="D351" s="30"/>
      <c r="E351" s="30"/>
    </row>
    <row r="352" spans="1:5" ht="12.75">
      <c r="A352" s="393"/>
      <c r="B352" s="827"/>
      <c r="C352" s="30"/>
      <c r="D352" s="30"/>
      <c r="E352" s="30"/>
    </row>
    <row r="353" spans="1:5" ht="12.75">
      <c r="A353" s="393"/>
      <c r="B353" s="827"/>
      <c r="C353" s="30"/>
      <c r="D353" s="30"/>
      <c r="E353" s="30"/>
    </row>
    <row r="354" spans="1:5" ht="12.75">
      <c r="A354" s="393"/>
      <c r="B354" s="827"/>
      <c r="C354" s="30"/>
      <c r="D354" s="30"/>
      <c r="E354" s="30"/>
    </row>
    <row r="356" spans="1:5" ht="12.75">
      <c r="A356" s="1676">
        <v>7</v>
      </c>
      <c r="B356" s="1676"/>
      <c r="C356" s="1676"/>
      <c r="D356" s="1676"/>
      <c r="E356" s="1676"/>
    </row>
    <row r="357" spans="1:5" ht="12.75">
      <c r="A357" s="833"/>
      <c r="B357" s="833"/>
      <c r="C357" s="833"/>
      <c r="D357" s="833"/>
      <c r="E357" s="833"/>
    </row>
    <row r="358" spans="1:5" ht="12.75">
      <c r="A358" s="1654" t="s">
        <v>1407</v>
      </c>
      <c r="B358" s="1654"/>
      <c r="C358" s="1654"/>
      <c r="D358" s="1654"/>
      <c r="E358" s="1654"/>
    </row>
    <row r="359" spans="1:5" ht="12.75">
      <c r="A359" s="384"/>
      <c r="B359" s="384"/>
      <c r="C359" s="384"/>
      <c r="D359" s="384"/>
      <c r="E359" s="384"/>
    </row>
    <row r="360" spans="2:5" ht="15.75">
      <c r="B360" s="1674" t="s">
        <v>1063</v>
      </c>
      <c r="C360" s="1674"/>
      <c r="D360" s="1674"/>
      <c r="E360" s="1674"/>
    </row>
    <row r="361" spans="2:5" ht="13.5" thickBot="1">
      <c r="B361" s="1"/>
      <c r="C361" s="1"/>
      <c r="D361" s="1"/>
      <c r="E361" s="22" t="s">
        <v>8</v>
      </c>
    </row>
    <row r="362" spans="1:5" ht="39.75" thickBot="1">
      <c r="A362" s="399" t="s">
        <v>311</v>
      </c>
      <c r="B362" s="610" t="s">
        <v>13</v>
      </c>
      <c r="C362" s="813" t="s">
        <v>499</v>
      </c>
      <c r="D362" s="830" t="s">
        <v>260</v>
      </c>
      <c r="E362" s="391" t="s">
        <v>450</v>
      </c>
    </row>
    <row r="363" spans="1:5" ht="12.75">
      <c r="A363" s="611" t="s">
        <v>312</v>
      </c>
      <c r="B363" s="612" t="s">
        <v>313</v>
      </c>
      <c r="C363" s="636" t="s">
        <v>314</v>
      </c>
      <c r="D363" s="636" t="s">
        <v>315</v>
      </c>
      <c r="E363" s="639" t="s">
        <v>315</v>
      </c>
    </row>
    <row r="364" spans="1:5" ht="12.75">
      <c r="A364" s="372" t="s">
        <v>316</v>
      </c>
      <c r="B364" s="379" t="s">
        <v>256</v>
      </c>
      <c r="C364" s="327"/>
      <c r="D364" s="327"/>
      <c r="E364" s="151"/>
    </row>
    <row r="365" spans="1:5" ht="12.75">
      <c r="A365" s="371" t="s">
        <v>317</v>
      </c>
      <c r="B365" s="199" t="s">
        <v>681</v>
      </c>
      <c r="C365" s="327"/>
      <c r="D365" s="327"/>
      <c r="E365" s="151"/>
    </row>
    <row r="366" spans="1:5" ht="12.75">
      <c r="A366" s="371" t="s">
        <v>318</v>
      </c>
      <c r="B366" s="228" t="s">
        <v>683</v>
      </c>
      <c r="C366" s="327"/>
      <c r="D366" s="327"/>
      <c r="E366" s="151"/>
    </row>
    <row r="367" spans="1:5" ht="12.75">
      <c r="A367" s="371" t="s">
        <v>319</v>
      </c>
      <c r="B367" s="228" t="s">
        <v>682</v>
      </c>
      <c r="C367" s="327"/>
      <c r="D367" s="327">
        <f>292+3680+10911</f>
        <v>14883</v>
      </c>
      <c r="E367" s="151">
        <v>153</v>
      </c>
    </row>
    <row r="368" spans="1:5" ht="12.75">
      <c r="A368" s="371" t="s">
        <v>320</v>
      </c>
      <c r="B368" s="228" t="s">
        <v>684</v>
      </c>
      <c r="C368" s="327"/>
      <c r="D368" s="327" t="s">
        <v>1335</v>
      </c>
      <c r="E368" s="151"/>
    </row>
    <row r="369" spans="1:5" ht="12.75">
      <c r="A369" s="371" t="s">
        <v>321</v>
      </c>
      <c r="B369" s="228" t="s">
        <v>685</v>
      </c>
      <c r="C369" s="327"/>
      <c r="D369" s="327"/>
      <c r="E369" s="151"/>
    </row>
    <row r="370" spans="1:5" ht="12.75">
      <c r="A370" s="371" t="s">
        <v>322</v>
      </c>
      <c r="B370" s="228" t="s">
        <v>686</v>
      </c>
      <c r="C370" s="327">
        <f>C371+C372+C373+C374+C375+C376+C377</f>
        <v>1000</v>
      </c>
      <c r="D370" s="327">
        <f>D371+D372+D373+D374+D375+D376+D377</f>
        <v>293031</v>
      </c>
      <c r="E370" s="151">
        <f>E371+E372+E373+E374+E375+E376+E377</f>
        <v>1200</v>
      </c>
    </row>
    <row r="371" spans="1:5" ht="12.75">
      <c r="A371" s="371" t="s">
        <v>323</v>
      </c>
      <c r="B371" s="228" t="s">
        <v>690</v>
      </c>
      <c r="C371" s="327"/>
      <c r="D371" s="327"/>
      <c r="E371" s="151"/>
    </row>
    <row r="372" spans="1:5" ht="12.75">
      <c r="A372" s="371" t="s">
        <v>324</v>
      </c>
      <c r="B372" s="228" t="s">
        <v>691</v>
      </c>
      <c r="C372" s="327"/>
      <c r="D372" s="327"/>
      <c r="E372" s="151"/>
    </row>
    <row r="373" spans="1:5" ht="12.75">
      <c r="A373" s="371" t="s">
        <v>325</v>
      </c>
      <c r="B373" s="228" t="s">
        <v>692</v>
      </c>
      <c r="C373" s="327"/>
      <c r="D373" s="327"/>
      <c r="E373" s="151"/>
    </row>
    <row r="374" spans="1:5" ht="12.75">
      <c r="A374" s="371" t="s">
        <v>326</v>
      </c>
      <c r="B374" s="380" t="s">
        <v>688</v>
      </c>
      <c r="C374" s="327">
        <f>'6 7_sz_melléklet'!E48</f>
        <v>1000</v>
      </c>
      <c r="D374" s="327">
        <f>'6 7_sz_melléklet'!E37+'6 7_sz_melléklet'!E42+'6 7_sz_melléklet'!E43+'6 7_sz_melléklet'!E44</f>
        <v>293031</v>
      </c>
      <c r="E374" s="151">
        <f>'6 7_sz_melléklet'!E49</f>
        <v>1200</v>
      </c>
    </row>
    <row r="375" spans="1:5" ht="12.75">
      <c r="A375" s="371" t="s">
        <v>327</v>
      </c>
      <c r="B375" s="834" t="s">
        <v>689</v>
      </c>
      <c r="C375" s="330"/>
      <c r="D375" s="330"/>
      <c r="E375" s="156"/>
    </row>
    <row r="376" spans="1:5" ht="12.75">
      <c r="A376" s="371" t="s">
        <v>328</v>
      </c>
      <c r="B376" s="835" t="s">
        <v>687</v>
      </c>
      <c r="C376" s="330"/>
      <c r="D376" s="330"/>
      <c r="E376" s="156"/>
    </row>
    <row r="377" spans="1:5" ht="12.75">
      <c r="A377" s="371" t="s">
        <v>329</v>
      </c>
      <c r="B377" s="136" t="s">
        <v>957</v>
      </c>
      <c r="C377" s="330"/>
      <c r="D377" s="330"/>
      <c r="E377" s="156"/>
    </row>
    <row r="378" spans="1:5" ht="13.5" thickBot="1">
      <c r="A378" s="371" t="s">
        <v>330</v>
      </c>
      <c r="B378" s="230" t="s">
        <v>694</v>
      </c>
      <c r="C378" s="328"/>
      <c r="D378" s="328"/>
      <c r="E378" s="325"/>
    </row>
    <row r="379" spans="1:5" ht="13.5" thickBot="1">
      <c r="A379" s="615" t="s">
        <v>331</v>
      </c>
      <c r="B379" s="616" t="s">
        <v>6</v>
      </c>
      <c r="C379" s="886">
        <f>C365+C366+C367+C368+C370+C378</f>
        <v>1000</v>
      </c>
      <c r="D379" s="886">
        <f>D367+D370</f>
        <v>307914</v>
      </c>
      <c r="E379" s="732">
        <f>E365+E366+E367+E368+E370+E378</f>
        <v>1353</v>
      </c>
    </row>
    <row r="380" spans="1:5" ht="13.5" thickTop="1">
      <c r="A380" s="604"/>
      <c r="B380" s="379"/>
      <c r="C380" s="860"/>
      <c r="D380" s="860"/>
      <c r="E380" s="861"/>
    </row>
    <row r="381" spans="1:5" ht="12.75">
      <c r="A381" s="372" t="s">
        <v>332</v>
      </c>
      <c r="B381" s="381" t="s">
        <v>257</v>
      </c>
      <c r="C381" s="329"/>
      <c r="D381" s="154"/>
      <c r="E381" s="154"/>
    </row>
    <row r="382" spans="1:5" ht="12.75">
      <c r="A382" s="371" t="s">
        <v>333</v>
      </c>
      <c r="B382" s="228" t="s">
        <v>695</v>
      </c>
      <c r="C382" s="327"/>
      <c r="D382" s="151">
        <f>'33_sz_ melléklet'!C114</f>
        <v>523985</v>
      </c>
      <c r="E382" s="151">
        <f>'33_sz_ melléklet'!C135</f>
        <v>1372</v>
      </c>
    </row>
    <row r="383" spans="1:5" ht="12.75">
      <c r="A383" s="371" t="s">
        <v>334</v>
      </c>
      <c r="B383" s="228" t="s">
        <v>696</v>
      </c>
      <c r="C383" s="262"/>
      <c r="D383" s="262"/>
      <c r="E383" s="151"/>
    </row>
    <row r="384" spans="1:5" ht="12.75">
      <c r="A384" s="371" t="s">
        <v>336</v>
      </c>
      <c r="B384" s="228" t="s">
        <v>697</v>
      </c>
      <c r="C384" s="327">
        <f>C385+C386+C387+C388+C389+C390+C391</f>
        <v>0</v>
      </c>
      <c r="D384" s="327">
        <f>D385+D386+D387+D388+D389+D390+D391</f>
        <v>74130</v>
      </c>
      <c r="E384" s="151">
        <f>E385+E386+E387+E388+E389+E390+E391</f>
        <v>3000</v>
      </c>
    </row>
    <row r="385" spans="1:5" ht="12.75">
      <c r="A385" s="371" t="s">
        <v>337</v>
      </c>
      <c r="B385" s="380" t="s">
        <v>698</v>
      </c>
      <c r="C385" s="327"/>
      <c r="D385" s="151"/>
      <c r="E385" s="151"/>
    </row>
    <row r="386" spans="1:5" ht="12.75">
      <c r="A386" s="371" t="s">
        <v>338</v>
      </c>
      <c r="B386" s="380" t="s">
        <v>699</v>
      </c>
      <c r="C386" s="327"/>
      <c r="D386" s="151"/>
      <c r="E386" s="151"/>
    </row>
    <row r="387" spans="1:5" ht="12.75">
      <c r="A387" s="371" t="s">
        <v>339</v>
      </c>
      <c r="B387" s="380" t="s">
        <v>700</v>
      </c>
      <c r="C387" s="327"/>
      <c r="D387" s="151"/>
      <c r="E387" s="151"/>
    </row>
    <row r="388" spans="1:5" ht="12.75">
      <c r="A388" s="371" t="s">
        <v>340</v>
      </c>
      <c r="B388" s="380" t="s">
        <v>701</v>
      </c>
      <c r="C388" s="327"/>
      <c r="D388" s="151">
        <f>' 8 10 sz. melléklet'!E48+' 8 10 sz. melléklet'!E50</f>
        <v>74130</v>
      </c>
      <c r="E388" s="151"/>
    </row>
    <row r="389" spans="1:5" ht="12.75">
      <c r="A389" s="371" t="s">
        <v>341</v>
      </c>
      <c r="B389" s="834" t="s">
        <v>702</v>
      </c>
      <c r="C389" s="327"/>
      <c r="D389" s="151"/>
      <c r="E389" s="151">
        <f>'11 12 sz_melléklet'!C43</f>
        <v>3000</v>
      </c>
    </row>
    <row r="390" spans="1:5" ht="12.75">
      <c r="A390" s="371" t="s">
        <v>342</v>
      </c>
      <c r="B390" s="309" t="s">
        <v>703</v>
      </c>
      <c r="C390" s="327"/>
      <c r="D390" s="151"/>
      <c r="E390" s="151"/>
    </row>
    <row r="391" spans="1:5" ht="12.75">
      <c r="A391" s="371" t="s">
        <v>343</v>
      </c>
      <c r="B391" s="1091" t="s">
        <v>704</v>
      </c>
      <c r="C391" s="327"/>
      <c r="D391" s="151"/>
      <c r="E391" s="151"/>
    </row>
    <row r="392" spans="1:5" ht="12.75">
      <c r="A392" s="371" t="s">
        <v>344</v>
      </c>
      <c r="B392" s="228"/>
      <c r="C392" s="251"/>
      <c r="D392" s="262"/>
      <c r="E392" s="155"/>
    </row>
    <row r="393" spans="1:5" ht="13.5" thickBot="1">
      <c r="A393" s="371" t="s">
        <v>345</v>
      </c>
      <c r="B393" s="230"/>
      <c r="C393" s="859"/>
      <c r="D393" s="859"/>
      <c r="E393" s="857"/>
    </row>
    <row r="394" spans="1:5" ht="14.25" thickBot="1" thickTop="1">
      <c r="A394" s="615" t="s">
        <v>958</v>
      </c>
      <c r="B394" s="616" t="s">
        <v>7</v>
      </c>
      <c r="C394" s="267">
        <f>C382+C383+C384+C392+C393</f>
        <v>0</v>
      </c>
      <c r="D394" s="267">
        <f>D382+D383+D384+D392+D393</f>
        <v>598115</v>
      </c>
      <c r="E394" s="272">
        <f>E382+E383+E384+E392+E393</f>
        <v>4372</v>
      </c>
    </row>
    <row r="395" spans="1:5" ht="27" thickBot="1" thickTop="1">
      <c r="A395" s="615" t="s">
        <v>347</v>
      </c>
      <c r="B395" s="620" t="s">
        <v>503</v>
      </c>
      <c r="C395" s="889">
        <f>C379+C394</f>
        <v>1000</v>
      </c>
      <c r="D395" s="889">
        <f>D379+D394</f>
        <v>906029</v>
      </c>
      <c r="E395" s="890">
        <f>E379+E394</f>
        <v>5725</v>
      </c>
    </row>
    <row r="396" spans="1:5" ht="13.5" thickTop="1">
      <c r="A396" s="604"/>
      <c r="B396" s="848"/>
      <c r="C396" s="858"/>
      <c r="D396" s="858"/>
      <c r="E396" s="863"/>
    </row>
    <row r="397" spans="1:5" ht="12.75">
      <c r="A397" s="372" t="s">
        <v>348</v>
      </c>
      <c r="B397" s="485" t="s">
        <v>504</v>
      </c>
      <c r="C397" s="329"/>
      <c r="D397" s="154"/>
      <c r="E397" s="154"/>
    </row>
    <row r="398" spans="1:5" ht="12.75">
      <c r="A398" s="371" t="s">
        <v>349</v>
      </c>
      <c r="B398" s="229" t="s">
        <v>1334</v>
      </c>
      <c r="C398" s="329"/>
      <c r="D398" s="329"/>
      <c r="E398" s="154"/>
    </row>
    <row r="399" spans="1:5" ht="12.75">
      <c r="A399" s="371" t="s">
        <v>350</v>
      </c>
      <c r="B399" s="697" t="s">
        <v>724</v>
      </c>
      <c r="C399" s="329"/>
      <c r="D399" s="154"/>
      <c r="E399" s="146"/>
    </row>
    <row r="400" spans="1:5" ht="12.75">
      <c r="A400" s="371" t="s">
        <v>351</v>
      </c>
      <c r="B400" s="697" t="s">
        <v>723</v>
      </c>
      <c r="C400" s="262"/>
      <c r="D400" s="155"/>
      <c r="E400" s="151"/>
    </row>
    <row r="401" spans="1:5" ht="12.75">
      <c r="A401" s="371" t="s">
        <v>352</v>
      </c>
      <c r="B401" s="697" t="s">
        <v>725</v>
      </c>
      <c r="C401" s="327"/>
      <c r="D401" s="151"/>
      <c r="E401" s="151"/>
    </row>
    <row r="402" spans="1:5" ht="12.75">
      <c r="A402" s="371" t="s">
        <v>353</v>
      </c>
      <c r="B402" s="836" t="s">
        <v>727</v>
      </c>
      <c r="C402" s="327"/>
      <c r="D402" s="151"/>
      <c r="E402" s="151"/>
    </row>
    <row r="403" spans="1:5" ht="12.75">
      <c r="A403" s="371" t="s">
        <v>354</v>
      </c>
      <c r="B403" s="837" t="s">
        <v>730</v>
      </c>
      <c r="C403" s="252"/>
      <c r="D403" s="151"/>
      <c r="E403" s="151"/>
    </row>
    <row r="404" spans="1:5" ht="12.75">
      <c r="A404" s="371" t="s">
        <v>355</v>
      </c>
      <c r="B404" s="838" t="s">
        <v>729</v>
      </c>
      <c r="C404" s="254"/>
      <c r="D404" s="329"/>
      <c r="E404" s="154"/>
    </row>
    <row r="405" spans="1:5" ht="13.5" thickBot="1">
      <c r="A405" s="371" t="s">
        <v>356</v>
      </c>
      <c r="B405" s="382" t="s">
        <v>728</v>
      </c>
      <c r="C405" s="267"/>
      <c r="D405" s="267"/>
      <c r="E405" s="272"/>
    </row>
    <row r="406" spans="1:5" ht="13.5" thickBot="1">
      <c r="A406" s="395" t="s">
        <v>357</v>
      </c>
      <c r="B406" s="315" t="s">
        <v>731</v>
      </c>
      <c r="C406" s="888">
        <f>SUM(C398:C405)</f>
        <v>0</v>
      </c>
      <c r="D406" s="888">
        <f>SUM(D398:D405)</f>
        <v>0</v>
      </c>
      <c r="E406" s="692">
        <f>SUM(E398:E405)</f>
        <v>0</v>
      </c>
    </row>
    <row r="407" spans="1:5" ht="12.75">
      <c r="A407" s="604"/>
      <c r="B407" s="44"/>
      <c r="C407" s="854"/>
      <c r="D407" s="816"/>
      <c r="E407" s="816"/>
    </row>
    <row r="408" spans="1:5" ht="13.5" thickBot="1">
      <c r="A408" s="631" t="s">
        <v>358</v>
      </c>
      <c r="B408" s="846" t="s">
        <v>506</v>
      </c>
      <c r="C408" s="865">
        <f>C395+C406</f>
        <v>1000</v>
      </c>
      <c r="D408" s="865">
        <f>D395+D406</f>
        <v>906029</v>
      </c>
      <c r="E408" s="865">
        <f>E395+E406</f>
        <v>5725</v>
      </c>
    </row>
    <row r="409" spans="1:5" ht="13.5" thickTop="1">
      <c r="A409" s="393"/>
      <c r="B409" s="827"/>
      <c r="C409" s="30"/>
      <c r="D409" s="30"/>
      <c r="E409" s="30"/>
    </row>
    <row r="410" spans="1:5" ht="12.75">
      <c r="A410" s="393"/>
      <c r="B410" s="827"/>
      <c r="C410" s="30"/>
      <c r="D410" s="30"/>
      <c r="E410" s="30"/>
    </row>
    <row r="411" spans="1:5" ht="12.75">
      <c r="A411" s="393"/>
      <c r="B411" s="827"/>
      <c r="C411" s="30"/>
      <c r="D411" s="30"/>
      <c r="E411" s="30"/>
    </row>
    <row r="412" spans="1:5" ht="12.75">
      <c r="A412" s="393"/>
      <c r="B412" s="827"/>
      <c r="C412" s="30"/>
      <c r="D412" s="30"/>
      <c r="E412" s="30"/>
    </row>
    <row r="413" spans="1:5" ht="12.75">
      <c r="A413" s="393"/>
      <c r="B413" s="827"/>
      <c r="C413" s="30"/>
      <c r="D413" s="30"/>
      <c r="E413" s="30"/>
    </row>
    <row r="414" spans="1:5" ht="12.75">
      <c r="A414" s="393"/>
      <c r="B414" s="756"/>
      <c r="C414" s="30"/>
      <c r="D414" s="30"/>
      <c r="E414" s="30"/>
    </row>
    <row r="415" spans="1:5" ht="12.75">
      <c r="A415" s="1676">
        <v>8</v>
      </c>
      <c r="B415" s="1675"/>
      <c r="C415" s="1675"/>
      <c r="D415" s="1675"/>
      <c r="E415" s="1675"/>
    </row>
    <row r="416" spans="1:5" ht="12.75">
      <c r="A416" s="833"/>
      <c r="B416" s="13"/>
      <c r="C416" s="13"/>
      <c r="D416" s="13"/>
      <c r="E416" s="13"/>
    </row>
    <row r="417" spans="1:5" ht="12.75">
      <c r="A417" s="1654" t="s">
        <v>1407</v>
      </c>
      <c r="B417" s="1654"/>
      <c r="C417" s="1654"/>
      <c r="D417" s="1654"/>
      <c r="E417" s="1654"/>
    </row>
    <row r="418" spans="1:5" ht="12.75">
      <c r="A418" s="384"/>
      <c r="B418" s="384"/>
      <c r="C418" s="384"/>
      <c r="D418" s="384"/>
      <c r="E418" s="384"/>
    </row>
    <row r="419" spans="2:5" ht="15.75">
      <c r="B419" s="1674" t="s">
        <v>1063</v>
      </c>
      <c r="C419" s="1674"/>
      <c r="D419" s="1674"/>
      <c r="E419" s="1674"/>
    </row>
    <row r="420" spans="2:5" ht="13.5" thickBot="1">
      <c r="B420" s="1"/>
      <c r="C420" s="1"/>
      <c r="D420" s="1"/>
      <c r="E420" s="22" t="s">
        <v>8</v>
      </c>
    </row>
    <row r="421" spans="1:5" ht="27" thickBot="1">
      <c r="A421" s="399" t="s">
        <v>311</v>
      </c>
      <c r="B421" s="610" t="s">
        <v>13</v>
      </c>
      <c r="C421" s="367" t="s">
        <v>451</v>
      </c>
      <c r="D421" s="368" t="s">
        <v>1156</v>
      </c>
      <c r="E421" s="368" t="s">
        <v>1001</v>
      </c>
    </row>
    <row r="422" spans="1:5" ht="12.75">
      <c r="A422" s="611" t="s">
        <v>312</v>
      </c>
      <c r="B422" s="1373" t="s">
        <v>313</v>
      </c>
      <c r="C422" s="796" t="s">
        <v>314</v>
      </c>
      <c r="D422" s="796" t="s">
        <v>315</v>
      </c>
      <c r="E422" s="639" t="s">
        <v>315</v>
      </c>
    </row>
    <row r="423" spans="1:5" ht="12.75">
      <c r="A423" s="372" t="s">
        <v>316</v>
      </c>
      <c r="B423" s="379" t="s">
        <v>256</v>
      </c>
      <c r="C423" s="329"/>
      <c r="D423" s="329"/>
      <c r="E423" s="154"/>
    </row>
    <row r="424" spans="1:5" ht="12.75">
      <c r="A424" s="371" t="s">
        <v>317</v>
      </c>
      <c r="B424" s="199" t="s">
        <v>681</v>
      </c>
      <c r="C424" s="327"/>
      <c r="D424" s="327"/>
      <c r="E424" s="151"/>
    </row>
    <row r="425" spans="1:5" ht="12.75">
      <c r="A425" s="371" t="s">
        <v>318</v>
      </c>
      <c r="B425" s="228" t="s">
        <v>683</v>
      </c>
      <c r="C425" s="327"/>
      <c r="D425" s="327"/>
      <c r="E425" s="151"/>
    </row>
    <row r="426" spans="1:5" ht="12.75">
      <c r="A426" s="371" t="s">
        <v>319</v>
      </c>
      <c r="B426" s="228" t="s">
        <v>682</v>
      </c>
      <c r="C426" s="327"/>
      <c r="D426" s="327"/>
      <c r="E426" s="151">
        <v>1001</v>
      </c>
    </row>
    <row r="427" spans="1:5" ht="12.75">
      <c r="A427" s="371" t="s">
        <v>320</v>
      </c>
      <c r="B427" s="228" t="s">
        <v>684</v>
      </c>
      <c r="C427" s="327"/>
      <c r="D427" s="327"/>
      <c r="E427" s="151"/>
    </row>
    <row r="428" spans="1:5" ht="12.75">
      <c r="A428" s="371" t="s">
        <v>321</v>
      </c>
      <c r="B428" s="228" t="s">
        <v>685</v>
      </c>
      <c r="C428" s="327"/>
      <c r="D428" s="327"/>
      <c r="E428" s="151"/>
    </row>
    <row r="429" spans="1:5" ht="12.75">
      <c r="A429" s="371" t="s">
        <v>322</v>
      </c>
      <c r="B429" s="228" t="s">
        <v>686</v>
      </c>
      <c r="C429" s="327">
        <f>C430+C431+C432+C433+C434+C435+C436</f>
        <v>30358</v>
      </c>
      <c r="D429" s="327">
        <f>D430+D431+D432+D433+D434+D435+D436</f>
        <v>0</v>
      </c>
      <c r="E429" s="151">
        <f>E430+E431+E432+E433+E434+E435+E436</f>
        <v>0</v>
      </c>
    </row>
    <row r="430" spans="1:5" ht="12.75">
      <c r="A430" s="371" t="s">
        <v>323</v>
      </c>
      <c r="B430" s="228" t="s">
        <v>690</v>
      </c>
      <c r="C430" s="327"/>
      <c r="D430" s="327"/>
      <c r="E430" s="151"/>
    </row>
    <row r="431" spans="1:5" ht="12.75">
      <c r="A431" s="371" t="s">
        <v>324</v>
      </c>
      <c r="B431" s="228" t="s">
        <v>691</v>
      </c>
      <c r="C431" s="327"/>
      <c r="D431" s="327"/>
      <c r="E431" s="151"/>
    </row>
    <row r="432" spans="1:5" ht="12.75">
      <c r="A432" s="371" t="s">
        <v>325</v>
      </c>
      <c r="B432" s="228" t="s">
        <v>692</v>
      </c>
      <c r="C432" s="327"/>
      <c r="D432" s="327"/>
      <c r="E432" s="151"/>
    </row>
    <row r="433" spans="1:5" ht="12.75">
      <c r="A433" s="371" t="s">
        <v>326</v>
      </c>
      <c r="B433" s="380" t="s">
        <v>688</v>
      </c>
      <c r="C433" s="327">
        <f>'6 7_sz_melléklet'!E35</f>
        <v>30358</v>
      </c>
      <c r="D433" s="327"/>
      <c r="E433" s="151"/>
    </row>
    <row r="434" spans="1:5" ht="12.75">
      <c r="A434" s="371" t="s">
        <v>327</v>
      </c>
      <c r="B434" s="834" t="s">
        <v>689</v>
      </c>
      <c r="C434" s="330"/>
      <c r="D434" s="330"/>
      <c r="E434" s="156"/>
    </row>
    <row r="435" spans="1:5" ht="12.75">
      <c r="A435" s="371" t="s">
        <v>328</v>
      </c>
      <c r="B435" s="835" t="s">
        <v>687</v>
      </c>
      <c r="C435" s="330"/>
      <c r="D435" s="328"/>
      <c r="E435" s="156"/>
    </row>
    <row r="436" spans="1:5" ht="12.75">
      <c r="A436" s="371" t="s">
        <v>329</v>
      </c>
      <c r="B436" s="136" t="s">
        <v>957</v>
      </c>
      <c r="C436" s="330"/>
      <c r="D436" s="328"/>
      <c r="E436" s="156"/>
    </row>
    <row r="437" spans="1:5" ht="13.5" thickBot="1">
      <c r="A437" s="371" t="s">
        <v>330</v>
      </c>
      <c r="B437" s="230" t="s">
        <v>694</v>
      </c>
      <c r="C437" s="328"/>
      <c r="D437" s="328"/>
      <c r="E437" s="325"/>
    </row>
    <row r="438" spans="1:5" ht="20.25" customHeight="1" thickBot="1">
      <c r="A438" s="615" t="s">
        <v>331</v>
      </c>
      <c r="B438" s="616" t="s">
        <v>6</v>
      </c>
      <c r="C438" s="629">
        <f>C424+C425+C426+C427+C429+C437</f>
        <v>30358</v>
      </c>
      <c r="D438" s="629">
        <f>D424+D425+D426+D427+D429+D437</f>
        <v>0</v>
      </c>
      <c r="E438" s="630">
        <f>E424+E425+E426+E427+E429+E437</f>
        <v>1001</v>
      </c>
    </row>
    <row r="439" spans="1:5" ht="13.5" thickTop="1">
      <c r="A439" s="604"/>
      <c r="B439" s="379"/>
      <c r="C439" s="867"/>
      <c r="D439" s="867"/>
      <c r="E439" s="868"/>
    </row>
    <row r="440" spans="1:5" ht="12.75">
      <c r="A440" s="372" t="s">
        <v>332</v>
      </c>
      <c r="B440" s="381" t="s">
        <v>257</v>
      </c>
      <c r="C440" s="329"/>
      <c r="D440" s="154"/>
      <c r="E440" s="154"/>
    </row>
    <row r="441" spans="1:5" ht="12.75">
      <c r="A441" s="371" t="s">
        <v>333</v>
      </c>
      <c r="B441" s="228" t="s">
        <v>695</v>
      </c>
      <c r="C441" s="327"/>
      <c r="D441" s="151">
        <f>'33_sz_ melléklet'!C140</f>
        <v>2003</v>
      </c>
      <c r="E441" s="151">
        <f>'33_sz_ melléklet'!C79</f>
        <v>1379</v>
      </c>
    </row>
    <row r="442" spans="1:5" ht="12.75">
      <c r="A442" s="371" t="s">
        <v>334</v>
      </c>
      <c r="B442" s="228" t="s">
        <v>696</v>
      </c>
      <c r="C442" s="262"/>
      <c r="D442" s="262"/>
      <c r="E442" s="151"/>
    </row>
    <row r="443" spans="1:5" ht="12.75">
      <c r="A443" s="371" t="s">
        <v>336</v>
      </c>
      <c r="B443" s="228" t="s">
        <v>697</v>
      </c>
      <c r="C443" s="327">
        <f>C444+C445+C446+C447+C448+C449+C450</f>
        <v>0</v>
      </c>
      <c r="D443" s="327">
        <f>D444+D445+D446+D447+D448+D449+D450</f>
        <v>0</v>
      </c>
      <c r="E443" s="151">
        <f>E444+E445+E446+E447+E448+E449+E450</f>
        <v>0</v>
      </c>
    </row>
    <row r="444" spans="1:5" ht="12.75">
      <c r="A444" s="371" t="s">
        <v>337</v>
      </c>
      <c r="B444" s="380" t="s">
        <v>698</v>
      </c>
      <c r="C444" s="327"/>
      <c r="D444" s="151"/>
      <c r="E444" s="151"/>
    </row>
    <row r="445" spans="1:5" ht="12.75">
      <c r="A445" s="371" t="s">
        <v>338</v>
      </c>
      <c r="B445" s="380" t="s">
        <v>699</v>
      </c>
      <c r="C445" s="327"/>
      <c r="D445" s="151"/>
      <c r="E445" s="151"/>
    </row>
    <row r="446" spans="1:5" ht="12.75">
      <c r="A446" s="371" t="s">
        <v>339</v>
      </c>
      <c r="B446" s="380" t="s">
        <v>700</v>
      </c>
      <c r="C446" s="327"/>
      <c r="D446" s="151"/>
      <c r="E446" s="151"/>
    </row>
    <row r="447" spans="1:5" ht="12.75">
      <c r="A447" s="371" t="s">
        <v>340</v>
      </c>
      <c r="B447" s="380" t="s">
        <v>701</v>
      </c>
      <c r="C447" s="327"/>
      <c r="D447" s="151"/>
      <c r="E447" s="151"/>
    </row>
    <row r="448" spans="1:5" ht="12.75">
      <c r="A448" s="371" t="s">
        <v>341</v>
      </c>
      <c r="B448" s="834" t="s">
        <v>702</v>
      </c>
      <c r="C448" s="327"/>
      <c r="D448" s="151"/>
      <c r="E448" s="151"/>
    </row>
    <row r="449" spans="1:5" ht="12.75">
      <c r="A449" s="371" t="s">
        <v>342</v>
      </c>
      <c r="B449" s="309" t="s">
        <v>703</v>
      </c>
      <c r="C449" s="327"/>
      <c r="D449" s="151"/>
      <c r="E449" s="151"/>
    </row>
    <row r="450" spans="1:5" ht="12.75">
      <c r="A450" s="371" t="s">
        <v>343</v>
      </c>
      <c r="B450" s="1091" t="s">
        <v>704</v>
      </c>
      <c r="C450" s="327"/>
      <c r="D450" s="151"/>
      <c r="E450" s="151"/>
    </row>
    <row r="451" spans="1:5" ht="12.75">
      <c r="A451" s="371" t="s">
        <v>344</v>
      </c>
      <c r="B451" s="228"/>
      <c r="C451" s="251"/>
      <c r="D451" s="262"/>
      <c r="E451" s="155"/>
    </row>
    <row r="452" spans="1:5" ht="13.5" thickBot="1">
      <c r="A452" s="371" t="s">
        <v>345</v>
      </c>
      <c r="B452" s="230"/>
      <c r="C452" s="261"/>
      <c r="D452" s="261"/>
      <c r="E452" s="159"/>
    </row>
    <row r="453" spans="1:5" ht="13.5" thickBot="1">
      <c r="A453" s="615" t="s">
        <v>958</v>
      </c>
      <c r="B453" s="616" t="s">
        <v>7</v>
      </c>
      <c r="C453" s="630">
        <f>C441+C442+C443+C451+C452</f>
        <v>0</v>
      </c>
      <c r="D453" s="630">
        <f>D441+D442+D443+D451+D452</f>
        <v>2003</v>
      </c>
      <c r="E453" s="630">
        <f>E441+E442+E443+E451+E452</f>
        <v>1379</v>
      </c>
    </row>
    <row r="454" spans="1:5" ht="27" thickBot="1" thickTop="1">
      <c r="A454" s="615" t="s">
        <v>347</v>
      </c>
      <c r="B454" s="620" t="s">
        <v>503</v>
      </c>
      <c r="C454" s="267">
        <f>C438+C453</f>
        <v>30358</v>
      </c>
      <c r="D454" s="267">
        <f>D438+D453</f>
        <v>2003</v>
      </c>
      <c r="E454" s="272">
        <f>E438+E453</f>
        <v>2380</v>
      </c>
    </row>
    <row r="455" spans="1:5" ht="13.5" thickTop="1">
      <c r="A455" s="604"/>
      <c r="B455" s="848"/>
      <c r="C455" s="858"/>
      <c r="D455" s="858"/>
      <c r="E455" s="863"/>
    </row>
    <row r="456" spans="1:5" ht="12.75">
      <c r="A456" s="372" t="s">
        <v>348</v>
      </c>
      <c r="B456" s="485" t="s">
        <v>504</v>
      </c>
      <c r="C456" s="329"/>
      <c r="D456" s="154"/>
      <c r="E456" s="154"/>
    </row>
    <row r="457" spans="1:5" ht="12.75">
      <c r="A457" s="371" t="s">
        <v>349</v>
      </c>
      <c r="B457" s="229" t="s">
        <v>1334</v>
      </c>
      <c r="C457" s="327"/>
      <c r="D457" s="327"/>
      <c r="E457" s="151"/>
    </row>
    <row r="458" spans="1:5" ht="12.75">
      <c r="A458" s="371" t="s">
        <v>350</v>
      </c>
      <c r="B458" s="697" t="s">
        <v>724</v>
      </c>
      <c r="C458" s="329"/>
      <c r="D458" s="154"/>
      <c r="E458" s="146"/>
    </row>
    <row r="459" spans="1:5" ht="12.75">
      <c r="A459" s="371" t="s">
        <v>351</v>
      </c>
      <c r="B459" s="697" t="s">
        <v>723</v>
      </c>
      <c r="C459" s="262"/>
      <c r="D459" s="155"/>
      <c r="E459" s="151"/>
    </row>
    <row r="460" spans="1:5" ht="12.75">
      <c r="A460" s="371" t="s">
        <v>352</v>
      </c>
      <c r="B460" s="697" t="s">
        <v>725</v>
      </c>
      <c r="C460" s="327"/>
      <c r="D460" s="151"/>
      <c r="E460" s="151"/>
    </row>
    <row r="461" spans="1:5" ht="12.75">
      <c r="A461" s="371" t="s">
        <v>353</v>
      </c>
      <c r="B461" s="836" t="s">
        <v>727</v>
      </c>
      <c r="C461" s="327"/>
      <c r="D461" s="151"/>
      <c r="E461" s="151"/>
    </row>
    <row r="462" spans="1:5" ht="12.75">
      <c r="A462" s="371" t="s">
        <v>354</v>
      </c>
      <c r="B462" s="837" t="s">
        <v>730</v>
      </c>
      <c r="C462" s="252"/>
      <c r="D462" s="151"/>
      <c r="E462" s="151"/>
    </row>
    <row r="463" spans="1:5" ht="12.75">
      <c r="A463" s="371" t="s">
        <v>355</v>
      </c>
      <c r="B463" s="838" t="s">
        <v>729</v>
      </c>
      <c r="C463" s="254"/>
      <c r="D463" s="329"/>
      <c r="E463" s="154"/>
    </row>
    <row r="464" spans="1:5" ht="13.5" thickBot="1">
      <c r="A464" s="371" t="s">
        <v>356</v>
      </c>
      <c r="B464" s="382" t="s">
        <v>728</v>
      </c>
      <c r="C464" s="267"/>
      <c r="D464" s="267"/>
      <c r="E464" s="272"/>
    </row>
    <row r="465" spans="1:5" ht="13.5" thickBot="1">
      <c r="A465" s="395" t="s">
        <v>357</v>
      </c>
      <c r="B465" s="315" t="s">
        <v>731</v>
      </c>
      <c r="C465" s="888">
        <f>SUM(C457:C464)</f>
        <v>0</v>
      </c>
      <c r="D465" s="888">
        <f>SUM(D457:D464)</f>
        <v>0</v>
      </c>
      <c r="E465" s="692">
        <f>SUM(E457:E464)</f>
        <v>0</v>
      </c>
    </row>
    <row r="466" spans="1:5" ht="12.75">
      <c r="A466" s="604"/>
      <c r="B466" s="44"/>
      <c r="C466" s="854"/>
      <c r="D466" s="816"/>
      <c r="E466" s="816"/>
    </row>
    <row r="467" spans="1:5" ht="13.5" thickBot="1">
      <c r="A467" s="631" t="s">
        <v>358</v>
      </c>
      <c r="B467" s="846" t="s">
        <v>506</v>
      </c>
      <c r="C467" s="865">
        <f>C454+C465</f>
        <v>30358</v>
      </c>
      <c r="D467" s="865">
        <f>D454+D465</f>
        <v>2003</v>
      </c>
      <c r="E467" s="334">
        <f>E454+E465</f>
        <v>2380</v>
      </c>
    </row>
    <row r="468" spans="1:5" ht="13.5" thickTop="1">
      <c r="A468" s="393"/>
      <c r="B468" s="827"/>
      <c r="C468" s="30"/>
      <c r="D468" s="30"/>
      <c r="E468" s="30"/>
    </row>
    <row r="469" spans="1:5" ht="12.75">
      <c r="A469" s="393"/>
      <c r="B469" s="827"/>
      <c r="C469" s="30"/>
      <c r="D469" s="30"/>
      <c r="E469" s="30"/>
    </row>
    <row r="470" spans="1:5" ht="12.75">
      <c r="A470" s="393"/>
      <c r="B470" s="827"/>
      <c r="C470" s="30"/>
      <c r="D470" s="30"/>
      <c r="E470" s="30"/>
    </row>
    <row r="471" spans="1:5" ht="12.75">
      <c r="A471" s="393"/>
      <c r="B471" s="827"/>
      <c r="C471" s="30"/>
      <c r="D471" s="30"/>
      <c r="E471" s="30"/>
    </row>
    <row r="472" spans="1:5" ht="12.75">
      <c r="A472" s="393"/>
      <c r="B472" s="827"/>
      <c r="C472" s="30"/>
      <c r="D472" s="30"/>
      <c r="E472" s="30"/>
    </row>
    <row r="473" spans="1:5" ht="12.75">
      <c r="A473" s="1676">
        <v>9</v>
      </c>
      <c r="B473" s="1675"/>
      <c r="C473" s="1675"/>
      <c r="D473" s="1675"/>
      <c r="E473" s="1675"/>
    </row>
    <row r="474" spans="1:5" ht="12.75">
      <c r="A474" s="833"/>
      <c r="B474" s="13"/>
      <c r="C474" s="13"/>
      <c r="D474" s="13"/>
      <c r="E474" s="13"/>
    </row>
    <row r="475" spans="1:5" ht="12.75">
      <c r="A475" s="1654" t="s">
        <v>1407</v>
      </c>
      <c r="B475" s="1654"/>
      <c r="C475" s="1654"/>
      <c r="D475" s="1654"/>
      <c r="E475" s="1654"/>
    </row>
    <row r="476" spans="1:5" ht="12.75">
      <c r="A476" s="384"/>
      <c r="B476" s="384"/>
      <c r="C476" s="384"/>
      <c r="D476" s="384"/>
      <c r="E476" s="384"/>
    </row>
    <row r="477" spans="2:5" ht="15.75">
      <c r="B477" s="1674" t="s">
        <v>1063</v>
      </c>
      <c r="C477" s="1674"/>
      <c r="D477" s="1674"/>
      <c r="E477" s="1674"/>
    </row>
    <row r="478" spans="2:5" ht="13.5" thickBot="1">
      <c r="B478" s="1"/>
      <c r="C478" s="1"/>
      <c r="D478" s="1"/>
      <c r="E478" s="22" t="s">
        <v>8</v>
      </c>
    </row>
    <row r="479" spans="1:5" ht="27" thickBot="1">
      <c r="A479" s="399" t="s">
        <v>311</v>
      </c>
      <c r="B479" s="610" t="s">
        <v>13</v>
      </c>
      <c r="C479" s="367" t="s">
        <v>500</v>
      </c>
      <c r="D479" s="368" t="s">
        <v>459</v>
      </c>
      <c r="E479" s="391" t="s">
        <v>995</v>
      </c>
    </row>
    <row r="480" spans="1:5" ht="12.75">
      <c r="A480" s="611" t="s">
        <v>312</v>
      </c>
      <c r="B480" s="612" t="s">
        <v>313</v>
      </c>
      <c r="C480" s="636" t="s">
        <v>314</v>
      </c>
      <c r="D480" s="636" t="s">
        <v>315</v>
      </c>
      <c r="E480" s="639" t="s">
        <v>335</v>
      </c>
    </row>
    <row r="481" spans="1:5" ht="12.75">
      <c r="A481" s="372" t="s">
        <v>316</v>
      </c>
      <c r="B481" s="379" t="s">
        <v>256</v>
      </c>
      <c r="C481" s="327"/>
      <c r="D481" s="327"/>
      <c r="E481" s="154"/>
    </row>
    <row r="482" spans="1:5" ht="12.75">
      <c r="A482" s="371" t="s">
        <v>317</v>
      </c>
      <c r="B482" s="199" t="s">
        <v>681</v>
      </c>
      <c r="C482" s="327"/>
      <c r="D482" s="327"/>
      <c r="E482" s="151"/>
    </row>
    <row r="483" spans="1:5" ht="12.75">
      <c r="A483" s="371" t="s">
        <v>318</v>
      </c>
      <c r="B483" s="228" t="s">
        <v>683</v>
      </c>
      <c r="C483" s="327"/>
      <c r="D483" s="327"/>
      <c r="E483" s="151"/>
    </row>
    <row r="484" spans="1:5" ht="12.75">
      <c r="A484" s="371" t="s">
        <v>319</v>
      </c>
      <c r="B484" s="228" t="s">
        <v>682</v>
      </c>
      <c r="C484" s="327">
        <v>3850</v>
      </c>
      <c r="D484" s="327"/>
      <c r="E484" s="151"/>
    </row>
    <row r="485" spans="1:5" ht="12.75">
      <c r="A485" s="371" t="s">
        <v>320</v>
      </c>
      <c r="B485" s="228" t="s">
        <v>684</v>
      </c>
      <c r="C485" s="327"/>
      <c r="D485" s="327"/>
      <c r="E485" s="151"/>
    </row>
    <row r="486" spans="1:5" ht="12.75">
      <c r="A486" s="371" t="s">
        <v>321</v>
      </c>
      <c r="B486" s="228" t="s">
        <v>685</v>
      </c>
      <c r="C486" s="327"/>
      <c r="D486" s="327"/>
      <c r="E486" s="151"/>
    </row>
    <row r="487" spans="1:5" ht="12.75">
      <c r="A487" s="371" t="s">
        <v>322</v>
      </c>
      <c r="B487" s="228" t="s">
        <v>686</v>
      </c>
      <c r="C487" s="327">
        <f>C488+C489+C490+C491+C492+C493+C494</f>
        <v>29481</v>
      </c>
      <c r="D487" s="327">
        <f>D488+D489+D490+D491+D492+D493+D494</f>
        <v>143</v>
      </c>
      <c r="E487" s="151">
        <f>E488+E489+E490+E491+E492+E493+E494</f>
        <v>4662</v>
      </c>
    </row>
    <row r="488" spans="1:5" ht="12.75">
      <c r="A488" s="371" t="s">
        <v>323</v>
      </c>
      <c r="B488" s="228" t="s">
        <v>690</v>
      </c>
      <c r="C488" s="327"/>
      <c r="D488" s="327"/>
      <c r="E488" s="151"/>
    </row>
    <row r="489" spans="1:5" ht="12.75">
      <c r="A489" s="371" t="s">
        <v>324</v>
      </c>
      <c r="B489" s="228" t="s">
        <v>691</v>
      </c>
      <c r="C489" s="327"/>
      <c r="D489" s="327"/>
      <c r="E489" s="151"/>
    </row>
    <row r="490" spans="1:5" ht="12.75">
      <c r="A490" s="371" t="s">
        <v>325</v>
      </c>
      <c r="B490" s="228" t="s">
        <v>692</v>
      </c>
      <c r="C490" s="327"/>
      <c r="D490" s="327"/>
      <c r="E490" s="151"/>
    </row>
    <row r="491" spans="1:5" ht="12.75">
      <c r="A491" s="371" t="s">
        <v>326</v>
      </c>
      <c r="B491" s="380" t="s">
        <v>688</v>
      </c>
      <c r="C491" s="327">
        <f>'6 7_sz_melléklet'!E34</f>
        <v>29481</v>
      </c>
      <c r="D491" s="327"/>
      <c r="E491" s="151">
        <f>'6 7_sz_melléklet'!F50</f>
        <v>4662</v>
      </c>
    </row>
    <row r="492" spans="1:5" ht="12.75">
      <c r="A492" s="371" t="s">
        <v>327</v>
      </c>
      <c r="B492" s="834" t="s">
        <v>689</v>
      </c>
      <c r="C492" s="330"/>
      <c r="D492" s="330"/>
      <c r="E492" s="151"/>
    </row>
    <row r="493" spans="1:5" ht="12.75">
      <c r="A493" s="371" t="s">
        <v>328</v>
      </c>
      <c r="B493" s="835" t="s">
        <v>687</v>
      </c>
      <c r="C493" s="330"/>
      <c r="D493" s="330"/>
      <c r="E493" s="151"/>
    </row>
    <row r="494" spans="1:5" ht="12.75">
      <c r="A494" s="371" t="s">
        <v>329</v>
      </c>
      <c r="B494" s="136" t="s">
        <v>957</v>
      </c>
      <c r="C494" s="330"/>
      <c r="D494" s="330">
        <f>'6 7_sz_melléklet'!F22</f>
        <v>143</v>
      </c>
      <c r="E494" s="151"/>
    </row>
    <row r="495" spans="1:5" ht="13.5" thickBot="1">
      <c r="A495" s="371" t="s">
        <v>330</v>
      </c>
      <c r="B495" s="230" t="s">
        <v>694</v>
      </c>
      <c r="C495" s="328"/>
      <c r="D495" s="328"/>
      <c r="E495" s="325"/>
    </row>
    <row r="496" spans="1:5" ht="20.25" customHeight="1" thickBot="1">
      <c r="A496" s="615" t="s">
        <v>331</v>
      </c>
      <c r="B496" s="616" t="s">
        <v>6</v>
      </c>
      <c r="C496" s="886">
        <f>C482+C483+C484+C485+C487+C495</f>
        <v>33331</v>
      </c>
      <c r="D496" s="886">
        <f>D482+D483+D484+D485+D487+D495</f>
        <v>143</v>
      </c>
      <c r="E496" s="732">
        <f>E482+E483+E484+E485+E487+E495</f>
        <v>4662</v>
      </c>
    </row>
    <row r="497" spans="1:5" ht="13.5" thickTop="1">
      <c r="A497" s="604"/>
      <c r="B497" s="379"/>
      <c r="C497" s="860"/>
      <c r="D497" s="860"/>
      <c r="E497" s="861"/>
    </row>
    <row r="498" spans="1:5" ht="12.75">
      <c r="A498" s="372" t="s">
        <v>332</v>
      </c>
      <c r="B498" s="381" t="s">
        <v>257</v>
      </c>
      <c r="C498" s="329"/>
      <c r="D498" s="154"/>
      <c r="E498" s="154"/>
    </row>
    <row r="499" spans="1:5" ht="12.75">
      <c r="A499" s="371" t="s">
        <v>333</v>
      </c>
      <c r="B499" s="228" t="s">
        <v>695</v>
      </c>
      <c r="C499" s="327">
        <f>'33_sz_ melléklet'!C123</f>
        <v>7515</v>
      </c>
      <c r="D499" s="151"/>
      <c r="E499" s="151"/>
    </row>
    <row r="500" spans="1:5" ht="12.75">
      <c r="A500" s="371" t="s">
        <v>334</v>
      </c>
      <c r="B500" s="228" t="s">
        <v>696</v>
      </c>
      <c r="C500" s="327">
        <f>'32_sz_ melléklet'!C46</f>
        <v>362</v>
      </c>
      <c r="D500" s="262"/>
      <c r="E500" s="155"/>
    </row>
    <row r="501" spans="1:5" ht="12.75">
      <c r="A501" s="371" t="s">
        <v>336</v>
      </c>
      <c r="B501" s="228" t="s">
        <v>697</v>
      </c>
      <c r="C501" s="327">
        <f>C502+C503+C505+C506+C507+C508</f>
        <v>0</v>
      </c>
      <c r="D501" s="327">
        <f>D502+D503+D505+D506+D507+D508</f>
        <v>0</v>
      </c>
      <c r="E501" s="151">
        <f>E502+E503+E505+E506+E507+E508</f>
        <v>0</v>
      </c>
    </row>
    <row r="502" spans="1:5" ht="12.75">
      <c r="A502" s="371" t="s">
        <v>337</v>
      </c>
      <c r="B502" s="380" t="s">
        <v>698</v>
      </c>
      <c r="C502" s="327"/>
      <c r="D502" s="151"/>
      <c r="E502" s="151"/>
    </row>
    <row r="503" spans="1:5" ht="12.75">
      <c r="A503" s="371" t="s">
        <v>338</v>
      </c>
      <c r="B503" s="380" t="s">
        <v>699</v>
      </c>
      <c r="C503" s="327"/>
      <c r="D503" s="151"/>
      <c r="E503" s="151"/>
    </row>
    <row r="504" spans="1:5" ht="12.75">
      <c r="A504" s="371" t="s">
        <v>339</v>
      </c>
      <c r="B504" s="380" t="s">
        <v>700</v>
      </c>
      <c r="C504" s="327"/>
      <c r="D504" s="151"/>
      <c r="E504" s="151"/>
    </row>
    <row r="505" spans="1:5" ht="12.75">
      <c r="A505" s="371" t="s">
        <v>340</v>
      </c>
      <c r="B505" s="380" t="s">
        <v>701</v>
      </c>
      <c r="C505" s="327"/>
      <c r="D505" s="151"/>
      <c r="E505" s="151"/>
    </row>
    <row r="506" spans="1:5" ht="12.75">
      <c r="A506" s="371" t="s">
        <v>341</v>
      </c>
      <c r="B506" s="834" t="s">
        <v>702</v>
      </c>
      <c r="C506" s="327"/>
      <c r="D506" s="151"/>
      <c r="E506" s="151"/>
    </row>
    <row r="507" spans="1:5" ht="12.75">
      <c r="A507" s="371" t="s">
        <v>342</v>
      </c>
      <c r="B507" s="309" t="s">
        <v>703</v>
      </c>
      <c r="C507" s="327"/>
      <c r="D507" s="151"/>
      <c r="E507" s="151"/>
    </row>
    <row r="508" spans="1:5" ht="12.75">
      <c r="A508" s="371" t="s">
        <v>343</v>
      </c>
      <c r="B508" s="1091" t="s">
        <v>704</v>
      </c>
      <c r="C508" s="327"/>
      <c r="D508" s="151"/>
      <c r="E508" s="151"/>
    </row>
    <row r="509" spans="1:5" ht="12.75">
      <c r="A509" s="371" t="s">
        <v>344</v>
      </c>
      <c r="B509" s="228"/>
      <c r="C509" s="330"/>
      <c r="D509" s="330"/>
      <c r="E509" s="152"/>
    </row>
    <row r="510" spans="1:5" ht="13.5" thickBot="1">
      <c r="A510" s="371" t="s">
        <v>345</v>
      </c>
      <c r="B510" s="230"/>
      <c r="C510" s="325">
        <f>-C485</f>
        <v>0</v>
      </c>
      <c r="D510" s="325">
        <f>-D485</f>
        <v>0</v>
      </c>
      <c r="E510" s="325">
        <f>-E485</f>
        <v>0</v>
      </c>
    </row>
    <row r="511" spans="1:5" ht="13.5" thickBot="1">
      <c r="A511" s="615" t="s">
        <v>958</v>
      </c>
      <c r="B511" s="616" t="s">
        <v>7</v>
      </c>
      <c r="C511" s="630">
        <f>C499+C500+C501+C509+C510</f>
        <v>7877</v>
      </c>
      <c r="D511" s="630">
        <f>D499+D500+D501+D509+D510</f>
        <v>0</v>
      </c>
      <c r="E511" s="630">
        <f>E499+E500+E501+E509+E510</f>
        <v>0</v>
      </c>
    </row>
    <row r="512" spans="1:5" ht="27" thickBot="1" thickTop="1">
      <c r="A512" s="615" t="s">
        <v>347</v>
      </c>
      <c r="B512" s="620" t="s">
        <v>503</v>
      </c>
      <c r="C512" s="267">
        <f>C511+C496</f>
        <v>41208</v>
      </c>
      <c r="D512" s="267">
        <f>D511+D496</f>
        <v>143</v>
      </c>
      <c r="E512" s="272">
        <f>E511+E496</f>
        <v>4662</v>
      </c>
    </row>
    <row r="513" spans="1:5" ht="13.5" thickTop="1">
      <c r="A513" s="604"/>
      <c r="B513" s="848"/>
      <c r="C513" s="858"/>
      <c r="D513" s="858"/>
      <c r="E513" s="863"/>
    </row>
    <row r="514" spans="1:5" ht="12.75">
      <c r="A514" s="372" t="s">
        <v>348</v>
      </c>
      <c r="B514" s="485" t="s">
        <v>504</v>
      </c>
      <c r="C514" s="154"/>
      <c r="D514" s="154"/>
      <c r="E514" s="154"/>
    </row>
    <row r="515" spans="1:5" ht="12.75">
      <c r="A515" s="371" t="s">
        <v>349</v>
      </c>
      <c r="B515" s="229" t="s">
        <v>1334</v>
      </c>
      <c r="C515" s="327"/>
      <c r="D515" s="327">
        <v>30526</v>
      </c>
      <c r="E515" s="151"/>
    </row>
    <row r="516" spans="1:5" ht="12.75">
      <c r="A516" s="371" t="s">
        <v>350</v>
      </c>
      <c r="B516" s="697" t="s">
        <v>724</v>
      </c>
      <c r="C516" s="329"/>
      <c r="D516" s="154">
        <v>12023365</v>
      </c>
      <c r="E516" s="146"/>
    </row>
    <row r="517" spans="1:5" ht="12.75">
      <c r="A517" s="371" t="s">
        <v>351</v>
      </c>
      <c r="B517" s="697" t="s">
        <v>723</v>
      </c>
      <c r="C517" s="262"/>
      <c r="D517" s="151">
        <f>'30_ sz_ melléklet'!F55+'31_sz_ melléklet'!E114</f>
        <v>1219077</v>
      </c>
      <c r="E517" s="151"/>
    </row>
    <row r="518" spans="1:5" ht="12.75">
      <c r="A518" s="371" t="s">
        <v>352</v>
      </c>
      <c r="B518" s="697" t="s">
        <v>725</v>
      </c>
      <c r="C518" s="327"/>
      <c r="D518" s="151"/>
      <c r="E518" s="151"/>
    </row>
    <row r="519" spans="1:5" ht="12.75">
      <c r="A519" s="371" t="s">
        <v>353</v>
      </c>
      <c r="B519" s="836" t="s">
        <v>727</v>
      </c>
      <c r="C519" s="327"/>
      <c r="D519" s="151"/>
      <c r="E519" s="151"/>
    </row>
    <row r="520" spans="1:5" ht="12.75">
      <c r="A520" s="371" t="s">
        <v>354</v>
      </c>
      <c r="B520" s="837" t="s">
        <v>730</v>
      </c>
      <c r="C520" s="252"/>
      <c r="D520" s="151">
        <v>100000</v>
      </c>
      <c r="E520" s="151"/>
    </row>
    <row r="521" spans="1:5" ht="12.75">
      <c r="A521" s="371" t="s">
        <v>355</v>
      </c>
      <c r="B521" s="838" t="s">
        <v>729</v>
      </c>
      <c r="C521" s="252"/>
      <c r="D521" s="327"/>
      <c r="E521" s="151"/>
    </row>
    <row r="522" spans="1:5" ht="13.5" thickBot="1">
      <c r="A522" s="371" t="s">
        <v>356</v>
      </c>
      <c r="B522" s="382" t="s">
        <v>728</v>
      </c>
      <c r="C522" s="267"/>
      <c r="D522" s="267"/>
      <c r="E522" s="272"/>
    </row>
    <row r="523" spans="1:5" ht="13.5" thickBot="1">
      <c r="A523" s="395" t="s">
        <v>357</v>
      </c>
      <c r="B523" s="315" t="s">
        <v>731</v>
      </c>
      <c r="C523" s="888">
        <f>SUM(C515:C522)</f>
        <v>0</v>
      </c>
      <c r="D523" s="888">
        <f>SUM(D515:D522)</f>
        <v>13372968</v>
      </c>
      <c r="E523" s="692">
        <f>SUM(E515:E522)</f>
        <v>0</v>
      </c>
    </row>
    <row r="524" spans="1:5" ht="12.75">
      <c r="A524" s="604"/>
      <c r="B524" s="44"/>
      <c r="C524" s="891"/>
      <c r="D524" s="732"/>
      <c r="E524" s="732"/>
    </row>
    <row r="525" spans="1:5" ht="13.5" thickBot="1">
      <c r="A525" s="631" t="s">
        <v>358</v>
      </c>
      <c r="B525" s="846" t="s">
        <v>506</v>
      </c>
      <c r="C525" s="865">
        <f>C512+C523</f>
        <v>41208</v>
      </c>
      <c r="D525" s="865">
        <f>D512+D523</f>
        <v>13373111</v>
      </c>
      <c r="E525" s="334">
        <f>E512+E523</f>
        <v>4662</v>
      </c>
    </row>
    <row r="526" spans="1:5" ht="13.5" thickTop="1">
      <c r="A526" s="393"/>
      <c r="B526" s="827"/>
      <c r="C526" s="30"/>
      <c r="D526" s="30"/>
      <c r="E526" s="30"/>
    </row>
    <row r="527" spans="1:5" ht="12.75">
      <c r="A527" s="393"/>
      <c r="B527" s="827"/>
      <c r="C527" s="30"/>
      <c r="D527" s="30"/>
      <c r="E527" s="30"/>
    </row>
    <row r="528" spans="1:5" ht="12.75">
      <c r="A528" s="393"/>
      <c r="B528" s="827"/>
      <c r="C528" s="30"/>
      <c r="D528" s="30"/>
      <c r="E528" s="30"/>
    </row>
    <row r="529" spans="1:5" ht="12.75">
      <c r="A529" s="393"/>
      <c r="B529" s="827"/>
      <c r="C529" s="30"/>
      <c r="D529" s="30"/>
      <c r="E529" s="30"/>
    </row>
    <row r="530" spans="1:5" ht="12.75">
      <c r="A530" s="393"/>
      <c r="B530" s="827"/>
      <c r="C530" s="30"/>
      <c r="D530" s="30"/>
      <c r="E530" s="30"/>
    </row>
    <row r="531" spans="1:5" ht="12.75">
      <c r="A531" s="393"/>
      <c r="B531" s="756"/>
      <c r="C531" s="30"/>
      <c r="D531" s="30"/>
      <c r="E531" s="30"/>
    </row>
    <row r="532" spans="1:5" ht="12.75">
      <c r="A532" s="1676">
        <v>10</v>
      </c>
      <c r="B532" s="1675"/>
      <c r="C532" s="1675"/>
      <c r="D532" s="1675"/>
      <c r="E532" s="1675"/>
    </row>
    <row r="533" spans="1:5" ht="12.75">
      <c r="A533" s="833"/>
      <c r="B533" s="13"/>
      <c r="C533" s="13"/>
      <c r="D533" s="13"/>
      <c r="E533" s="13"/>
    </row>
    <row r="534" spans="1:5" ht="12.75">
      <c r="A534" s="1654" t="s">
        <v>1407</v>
      </c>
      <c r="B534" s="1654"/>
      <c r="C534" s="1654"/>
      <c r="D534" s="1654"/>
      <c r="E534" s="1654"/>
    </row>
    <row r="535" spans="1:5" ht="12.75">
      <c r="A535" s="384"/>
      <c r="B535" s="384"/>
      <c r="C535" s="384"/>
      <c r="D535" s="384"/>
      <c r="E535" s="384"/>
    </row>
    <row r="536" spans="2:5" ht="15.75">
      <c r="B536" s="1674" t="s">
        <v>1063</v>
      </c>
      <c r="C536" s="1674"/>
      <c r="D536" s="1674"/>
      <c r="E536" s="1674"/>
    </row>
    <row r="537" spans="2:5" ht="13.5" thickBot="1">
      <c r="B537" s="1"/>
      <c r="C537" s="1"/>
      <c r="D537" s="1"/>
      <c r="E537" s="22" t="s">
        <v>8</v>
      </c>
    </row>
    <row r="538" spans="1:5" ht="27" thickBot="1">
      <c r="A538" s="399" t="s">
        <v>311</v>
      </c>
      <c r="B538" s="610" t="s">
        <v>13</v>
      </c>
      <c r="C538" s="367" t="s">
        <v>1397</v>
      </c>
      <c r="D538" s="368"/>
      <c r="E538" s="391"/>
    </row>
    <row r="539" spans="1:5" ht="12.75">
      <c r="A539" s="611" t="s">
        <v>312</v>
      </c>
      <c r="B539" s="612" t="s">
        <v>313</v>
      </c>
      <c r="C539" s="636" t="s">
        <v>314</v>
      </c>
      <c r="D539" s="636" t="s">
        <v>315</v>
      </c>
      <c r="E539" s="639" t="s">
        <v>335</v>
      </c>
    </row>
    <row r="540" spans="1:5" ht="12.75">
      <c r="A540" s="372" t="s">
        <v>316</v>
      </c>
      <c r="B540" s="379" t="s">
        <v>256</v>
      </c>
      <c r="C540" s="327"/>
      <c r="D540" s="327"/>
      <c r="E540" s="154"/>
    </row>
    <row r="541" spans="1:5" ht="12.75">
      <c r="A541" s="371" t="s">
        <v>317</v>
      </c>
      <c r="B541" s="199" t="s">
        <v>681</v>
      </c>
      <c r="C541" s="327"/>
      <c r="D541" s="327"/>
      <c r="E541" s="151"/>
    </row>
    <row r="542" spans="1:5" ht="12.75">
      <c r="A542" s="371" t="s">
        <v>318</v>
      </c>
      <c r="B542" s="228" t="s">
        <v>683</v>
      </c>
      <c r="C542" s="327"/>
      <c r="D542" s="327"/>
      <c r="E542" s="151"/>
    </row>
    <row r="543" spans="1:5" ht="12.75">
      <c r="A543" s="371" t="s">
        <v>319</v>
      </c>
      <c r="B543" s="228" t="s">
        <v>682</v>
      </c>
      <c r="C543" s="327">
        <v>80937</v>
      </c>
      <c r="D543" s="327"/>
      <c r="E543" s="151"/>
    </row>
    <row r="544" spans="1:5" ht="12.75">
      <c r="A544" s="371" t="s">
        <v>320</v>
      </c>
      <c r="B544" s="228" t="s">
        <v>684</v>
      </c>
      <c r="C544" s="327"/>
      <c r="D544" s="327"/>
      <c r="E544" s="151"/>
    </row>
    <row r="545" spans="1:5" ht="12.75">
      <c r="A545" s="371" t="s">
        <v>321</v>
      </c>
      <c r="B545" s="228" t="s">
        <v>685</v>
      </c>
      <c r="C545" s="327"/>
      <c r="D545" s="327"/>
      <c r="E545" s="151"/>
    </row>
    <row r="546" spans="1:5" ht="12.75">
      <c r="A546" s="371" t="s">
        <v>322</v>
      </c>
      <c r="B546" s="228" t="s">
        <v>686</v>
      </c>
      <c r="C546" s="327">
        <f>C547+C548+C549+C550+C551+C552+C553</f>
        <v>0</v>
      </c>
      <c r="D546" s="327">
        <f>D547+D548+D549+D550+D551+D552+D553</f>
        <v>0</v>
      </c>
      <c r="E546" s="151">
        <f>E547+E548+E549+E550+E551+E552+E553</f>
        <v>0</v>
      </c>
    </row>
    <row r="547" spans="1:5" ht="12.75">
      <c r="A547" s="371" t="s">
        <v>323</v>
      </c>
      <c r="B547" s="228" t="s">
        <v>690</v>
      </c>
      <c r="C547" s="327"/>
      <c r="D547" s="327"/>
      <c r="E547" s="151"/>
    </row>
    <row r="548" spans="1:5" ht="12.75">
      <c r="A548" s="371" t="s">
        <v>324</v>
      </c>
      <c r="B548" s="228" t="s">
        <v>691</v>
      </c>
      <c r="C548" s="327"/>
      <c r="D548" s="327"/>
      <c r="E548" s="151"/>
    </row>
    <row r="549" spans="1:5" ht="12.75">
      <c r="A549" s="371" t="s">
        <v>325</v>
      </c>
      <c r="B549" s="228" t="s">
        <v>692</v>
      </c>
      <c r="C549" s="327"/>
      <c r="D549" s="327"/>
      <c r="E549" s="151"/>
    </row>
    <row r="550" spans="1:5" ht="12.75">
      <c r="A550" s="371" t="s">
        <v>326</v>
      </c>
      <c r="B550" s="380" t="s">
        <v>688</v>
      </c>
      <c r="C550" s="327">
        <f>'6 7_sz_melléklet'!E93</f>
        <v>0</v>
      </c>
      <c r="D550" s="327"/>
      <c r="E550" s="151">
        <f>'6 7_sz_melléklet'!F109</f>
        <v>0</v>
      </c>
    </row>
    <row r="551" spans="1:5" ht="12.75">
      <c r="A551" s="371" t="s">
        <v>327</v>
      </c>
      <c r="B551" s="834" t="s">
        <v>689</v>
      </c>
      <c r="C551" s="330"/>
      <c r="D551" s="330"/>
      <c r="E551" s="151"/>
    </row>
    <row r="552" spans="1:5" ht="12.75">
      <c r="A552" s="371" t="s">
        <v>328</v>
      </c>
      <c r="B552" s="835" t="s">
        <v>687</v>
      </c>
      <c r="C552" s="330"/>
      <c r="D552" s="330"/>
      <c r="E552" s="151"/>
    </row>
    <row r="553" spans="1:5" ht="12.75">
      <c r="A553" s="371" t="s">
        <v>329</v>
      </c>
      <c r="B553" s="136" t="s">
        <v>957</v>
      </c>
      <c r="C553" s="330"/>
      <c r="D553" s="330">
        <f>'6 7_sz_melléklet'!F81</f>
        <v>0</v>
      </c>
      <c r="E553" s="151"/>
    </row>
    <row r="554" spans="1:5" ht="13.5" thickBot="1">
      <c r="A554" s="371" t="s">
        <v>330</v>
      </c>
      <c r="B554" s="230" t="s">
        <v>694</v>
      </c>
      <c r="C554" s="328"/>
      <c r="D554" s="328"/>
      <c r="E554" s="325"/>
    </row>
    <row r="555" spans="1:5" ht="13.5" thickBot="1">
      <c r="A555" s="615" t="s">
        <v>331</v>
      </c>
      <c r="B555" s="616" t="s">
        <v>6</v>
      </c>
      <c r="C555" s="886">
        <f>C541+C542+C543+C544+C546+C554</f>
        <v>80937</v>
      </c>
      <c r="D555" s="886">
        <f>D541+D542+D543+D544+D546+D554</f>
        <v>0</v>
      </c>
      <c r="E555" s="732">
        <f>E541+E542+E543+E544+E546+E554</f>
        <v>0</v>
      </c>
    </row>
    <row r="556" spans="1:5" ht="13.5" thickTop="1">
      <c r="A556" s="604"/>
      <c r="B556" s="379"/>
      <c r="C556" s="860"/>
      <c r="D556" s="860"/>
      <c r="E556" s="861"/>
    </row>
    <row r="557" spans="1:5" ht="12.75">
      <c r="A557" s="372" t="s">
        <v>332</v>
      </c>
      <c r="B557" s="381" t="s">
        <v>257</v>
      </c>
      <c r="C557" s="329"/>
      <c r="D557" s="154"/>
      <c r="E557" s="154"/>
    </row>
    <row r="558" spans="1:5" ht="12.75">
      <c r="A558" s="371" t="s">
        <v>333</v>
      </c>
      <c r="B558" s="228" t="s">
        <v>695</v>
      </c>
      <c r="C558" s="327">
        <f>'33_sz_ melléklet'!C182</f>
        <v>0</v>
      </c>
      <c r="D558" s="151"/>
      <c r="E558" s="151"/>
    </row>
    <row r="559" spans="1:5" ht="12.75">
      <c r="A559" s="371" t="s">
        <v>334</v>
      </c>
      <c r="B559" s="228" t="s">
        <v>696</v>
      </c>
      <c r="C559" s="327">
        <f>'32_sz_ melléklet'!C105</f>
        <v>0</v>
      </c>
      <c r="D559" s="262"/>
      <c r="E559" s="155"/>
    </row>
    <row r="560" spans="1:5" ht="12.75">
      <c r="A560" s="371" t="s">
        <v>336</v>
      </c>
      <c r="B560" s="228" t="s">
        <v>697</v>
      </c>
      <c r="C560" s="327">
        <f>C561+C562+C564+C565+C566+C567</f>
        <v>0</v>
      </c>
      <c r="D560" s="327">
        <f>D561+D562+D564+D565+D566+D567</f>
        <v>0</v>
      </c>
      <c r="E560" s="151">
        <f>E561+E562+E564+E565+E566+E567</f>
        <v>0</v>
      </c>
    </row>
    <row r="561" spans="1:5" ht="12.75">
      <c r="A561" s="371" t="s">
        <v>337</v>
      </c>
      <c r="B561" s="380" t="s">
        <v>698</v>
      </c>
      <c r="C561" s="327"/>
      <c r="D561" s="151"/>
      <c r="E561" s="151"/>
    </row>
    <row r="562" spans="1:5" ht="12.75">
      <c r="A562" s="371" t="s">
        <v>338</v>
      </c>
      <c r="B562" s="380" t="s">
        <v>699</v>
      </c>
      <c r="C562" s="327"/>
      <c r="D562" s="151"/>
      <c r="E562" s="151"/>
    </row>
    <row r="563" spans="1:5" ht="12.75">
      <c r="A563" s="371" t="s">
        <v>339</v>
      </c>
      <c r="B563" s="380" t="s">
        <v>700</v>
      </c>
      <c r="C563" s="327"/>
      <c r="D563" s="151"/>
      <c r="E563" s="151"/>
    </row>
    <row r="564" spans="1:5" ht="12.75">
      <c r="A564" s="371" t="s">
        <v>340</v>
      </c>
      <c r="B564" s="380" t="s">
        <v>701</v>
      </c>
      <c r="C564" s="327"/>
      <c r="D564" s="151"/>
      <c r="E564" s="151"/>
    </row>
    <row r="565" spans="1:5" ht="12.75">
      <c r="A565" s="371" t="s">
        <v>341</v>
      </c>
      <c r="B565" s="834" t="s">
        <v>702</v>
      </c>
      <c r="C565" s="327"/>
      <c r="D565" s="151"/>
      <c r="E565" s="151"/>
    </row>
    <row r="566" spans="1:5" ht="12.75">
      <c r="A566" s="371" t="s">
        <v>342</v>
      </c>
      <c r="B566" s="309" t="s">
        <v>703</v>
      </c>
      <c r="C566" s="327"/>
      <c r="D566" s="151"/>
      <c r="E566" s="151"/>
    </row>
    <row r="567" spans="1:5" ht="12.75">
      <c r="A567" s="371" t="s">
        <v>343</v>
      </c>
      <c r="B567" s="1091" t="s">
        <v>704</v>
      </c>
      <c r="C567" s="327"/>
      <c r="D567" s="151"/>
      <c r="E567" s="151"/>
    </row>
    <row r="568" spans="1:5" ht="12.75">
      <c r="A568" s="371" t="s">
        <v>344</v>
      </c>
      <c r="B568" s="228"/>
      <c r="C568" s="330"/>
      <c r="D568" s="330"/>
      <c r="E568" s="152"/>
    </row>
    <row r="569" spans="1:5" ht="13.5" thickBot="1">
      <c r="A569" s="371" t="s">
        <v>345</v>
      </c>
      <c r="B569" s="230"/>
      <c r="C569" s="325">
        <f>-C544</f>
        <v>0</v>
      </c>
      <c r="D569" s="325">
        <f>-D544</f>
        <v>0</v>
      </c>
      <c r="E569" s="325">
        <f>-E544</f>
        <v>0</v>
      </c>
    </row>
    <row r="570" spans="1:5" ht="13.5" thickBot="1">
      <c r="A570" s="615" t="s">
        <v>958</v>
      </c>
      <c r="B570" s="616" t="s">
        <v>7</v>
      </c>
      <c r="C570" s="630">
        <f>C558+C559+C560+C568+C569</f>
        <v>0</v>
      </c>
      <c r="D570" s="630">
        <f>D558+D559+D560+D568+D569</f>
        <v>0</v>
      </c>
      <c r="E570" s="630">
        <f>E558+E559+E560+E568+E569</f>
        <v>0</v>
      </c>
    </row>
    <row r="571" spans="1:5" ht="27" thickBot="1" thickTop="1">
      <c r="A571" s="615" t="s">
        <v>347</v>
      </c>
      <c r="B571" s="620" t="s">
        <v>503</v>
      </c>
      <c r="C571" s="267">
        <f>C570+C555</f>
        <v>80937</v>
      </c>
      <c r="D571" s="267">
        <f>D570+D555</f>
        <v>0</v>
      </c>
      <c r="E571" s="272">
        <f>E570+E555</f>
        <v>0</v>
      </c>
    </row>
    <row r="572" spans="1:5" ht="13.5" thickTop="1">
      <c r="A572" s="604"/>
      <c r="B572" s="848"/>
      <c r="C572" s="858"/>
      <c r="D572" s="858"/>
      <c r="E572" s="863"/>
    </row>
    <row r="573" spans="1:5" ht="12.75">
      <c r="A573" s="372" t="s">
        <v>348</v>
      </c>
      <c r="B573" s="485" t="s">
        <v>504</v>
      </c>
      <c r="C573" s="154"/>
      <c r="D573" s="154"/>
      <c r="E573" s="154"/>
    </row>
    <row r="574" spans="1:5" ht="12.75">
      <c r="A574" s="371" t="s">
        <v>349</v>
      </c>
      <c r="B574" s="229" t="s">
        <v>1334</v>
      </c>
      <c r="C574" s="327"/>
      <c r="D574" s="327"/>
      <c r="E574" s="151"/>
    </row>
    <row r="575" spans="1:5" ht="12.75">
      <c r="A575" s="371" t="s">
        <v>350</v>
      </c>
      <c r="B575" s="697" t="s">
        <v>724</v>
      </c>
      <c r="C575" s="329"/>
      <c r="D575" s="154"/>
      <c r="E575" s="146"/>
    </row>
    <row r="576" spans="1:5" ht="12.75">
      <c r="A576" s="371" t="s">
        <v>351</v>
      </c>
      <c r="B576" s="697" t="s">
        <v>723</v>
      </c>
      <c r="C576" s="262"/>
      <c r="D576" s="151"/>
      <c r="E576" s="151"/>
    </row>
    <row r="577" spans="1:5" ht="12.75">
      <c r="A577" s="371" t="s">
        <v>352</v>
      </c>
      <c r="B577" s="697" t="s">
        <v>725</v>
      </c>
      <c r="C577" s="327"/>
      <c r="D577" s="151"/>
      <c r="E577" s="151"/>
    </row>
    <row r="578" spans="1:5" ht="12.75">
      <c r="A578" s="371" t="s">
        <v>353</v>
      </c>
      <c r="B578" s="836" t="s">
        <v>727</v>
      </c>
      <c r="C578" s="327"/>
      <c r="D578" s="151"/>
      <c r="E578" s="151"/>
    </row>
    <row r="579" spans="1:5" ht="12.75">
      <c r="A579" s="371" t="s">
        <v>354</v>
      </c>
      <c r="B579" s="837" t="s">
        <v>730</v>
      </c>
      <c r="C579" s="252"/>
      <c r="D579" s="151"/>
      <c r="E579" s="151"/>
    </row>
    <row r="580" spans="1:5" ht="12.75">
      <c r="A580" s="371" t="s">
        <v>355</v>
      </c>
      <c r="B580" s="838" t="s">
        <v>729</v>
      </c>
      <c r="C580" s="252"/>
      <c r="D580" s="327"/>
      <c r="E580" s="151"/>
    </row>
    <row r="581" spans="1:5" ht="13.5" thickBot="1">
      <c r="A581" s="371" t="s">
        <v>356</v>
      </c>
      <c r="B581" s="382" t="s">
        <v>728</v>
      </c>
      <c r="C581" s="267"/>
      <c r="D581" s="267"/>
      <c r="E581" s="272"/>
    </row>
    <row r="582" spans="1:5" ht="13.5" thickBot="1">
      <c r="A582" s="395" t="s">
        <v>357</v>
      </c>
      <c r="B582" s="315" t="s">
        <v>731</v>
      </c>
      <c r="C582" s="888">
        <f>SUM(C574:C581)</f>
        <v>0</v>
      </c>
      <c r="D582" s="888">
        <f>SUM(D574:D581)</f>
        <v>0</v>
      </c>
      <c r="E582" s="692">
        <f>SUM(E574:E581)</f>
        <v>0</v>
      </c>
    </row>
    <row r="583" spans="1:5" ht="12.75">
      <c r="A583" s="604"/>
      <c r="B583" s="44"/>
      <c r="C583" s="891"/>
      <c r="D583" s="732"/>
      <c r="E583" s="732"/>
    </row>
    <row r="584" spans="1:5" ht="13.5" thickBot="1">
      <c r="A584" s="631" t="s">
        <v>358</v>
      </c>
      <c r="B584" s="846" t="s">
        <v>506</v>
      </c>
      <c r="C584" s="865">
        <f>C571+C582</f>
        <v>80937</v>
      </c>
      <c r="D584" s="865">
        <f>D571+D582</f>
        <v>0</v>
      </c>
      <c r="E584" s="334">
        <f>E571+E582</f>
        <v>0</v>
      </c>
    </row>
    <row r="585" spans="1:5" ht="13.5" thickTop="1">
      <c r="A585" s="393"/>
      <c r="B585" s="756"/>
      <c r="C585" s="30"/>
      <c r="D585" s="30"/>
      <c r="E585" s="30"/>
    </row>
    <row r="586" spans="1:5" ht="12.75">
      <c r="A586" s="393"/>
      <c r="B586" s="756"/>
      <c r="C586" s="30"/>
      <c r="D586" s="30"/>
      <c r="E586" s="30"/>
    </row>
    <row r="587" spans="1:5" ht="12.75">
      <c r="A587" s="393"/>
      <c r="B587" s="756"/>
      <c r="C587" s="30"/>
      <c r="D587" s="30"/>
      <c r="E587" s="30"/>
    </row>
    <row r="588" spans="1:5" ht="12.75">
      <c r="A588" s="393"/>
      <c r="B588" s="756"/>
      <c r="C588" s="30"/>
      <c r="D588" s="30"/>
      <c r="E588" s="30"/>
    </row>
    <row r="589" spans="1:5" ht="12.75">
      <c r="A589" s="393"/>
      <c r="B589" s="756"/>
      <c r="C589" s="30"/>
      <c r="D589" s="30"/>
      <c r="E589" s="30"/>
    </row>
    <row r="590" spans="1:5" ht="12.75">
      <c r="A590" s="393"/>
      <c r="B590" s="756"/>
      <c r="C590" s="30"/>
      <c r="D590" s="30"/>
      <c r="E590" s="30"/>
    </row>
    <row r="591" spans="1:5" ht="12.75">
      <c r="A591" s="393"/>
      <c r="B591" s="756"/>
      <c r="C591" s="30"/>
      <c r="D591" s="30"/>
      <c r="E591" s="30"/>
    </row>
    <row r="592" spans="1:5" ht="12.75">
      <c r="A592" s="1676">
        <v>11</v>
      </c>
      <c r="B592" s="1675"/>
      <c r="C592" s="1675"/>
      <c r="D592" s="1675"/>
      <c r="E592" s="1675"/>
    </row>
    <row r="593" spans="1:5" ht="12.75">
      <c r="A593" s="833"/>
      <c r="B593" s="13"/>
      <c r="C593" s="13"/>
      <c r="D593" s="13"/>
      <c r="E593" s="13"/>
    </row>
    <row r="594" spans="1:5" ht="12.75">
      <c r="A594" s="1654" t="s">
        <v>1407</v>
      </c>
      <c r="B594" s="1654"/>
      <c r="C594" s="1654"/>
      <c r="D594" s="1654"/>
      <c r="E594" s="1654"/>
    </row>
    <row r="595" spans="1:5" ht="12.75">
      <c r="A595" s="384"/>
      <c r="B595" s="384"/>
      <c r="C595" s="384"/>
      <c r="D595" s="384"/>
      <c r="E595" s="384"/>
    </row>
    <row r="596" spans="2:5" ht="15.75">
      <c r="B596" s="1674" t="s">
        <v>1063</v>
      </c>
      <c r="C596" s="1674"/>
      <c r="D596" s="1674"/>
      <c r="E596" s="1674"/>
    </row>
    <row r="597" spans="2:5" ht="13.5" thickBot="1">
      <c r="B597" s="1"/>
      <c r="C597" s="1"/>
      <c r="D597" s="1"/>
      <c r="E597" s="22" t="s">
        <v>8</v>
      </c>
    </row>
    <row r="598" spans="1:5" ht="27" thickBot="1">
      <c r="A598" s="399" t="s">
        <v>311</v>
      </c>
      <c r="B598" s="610" t="s">
        <v>13</v>
      </c>
      <c r="C598" s="391" t="s">
        <v>22</v>
      </c>
      <c r="D598" s="165" t="s">
        <v>516</v>
      </c>
      <c r="E598" s="38" t="s">
        <v>25</v>
      </c>
    </row>
    <row r="599" spans="1:5" ht="12.75">
      <c r="A599" s="611" t="s">
        <v>312</v>
      </c>
      <c r="B599" s="612" t="s">
        <v>313</v>
      </c>
      <c r="C599" s="621" t="s">
        <v>314</v>
      </c>
      <c r="D599" s="622" t="s">
        <v>315</v>
      </c>
      <c r="E599" s="639" t="s">
        <v>335</v>
      </c>
    </row>
    <row r="600" spans="1:5" ht="12.75">
      <c r="A600" s="372" t="s">
        <v>316</v>
      </c>
      <c r="B600" s="379" t="s">
        <v>256</v>
      </c>
      <c r="C600" s="327"/>
      <c r="D600" s="151"/>
      <c r="E600" s="151"/>
    </row>
    <row r="601" spans="1:5" ht="12.75">
      <c r="A601" s="371" t="s">
        <v>317</v>
      </c>
      <c r="B601" s="199" t="s">
        <v>681</v>
      </c>
      <c r="C601" s="327">
        <f>E482+D482+C482+E424+D424+C424+E365+D365+C365+E305+D305+C305+E246+D246+C246+E187+D187+C187+E128+D128+C128+E69+D69+C69+E9+D9+C9+C541+D541+E541</f>
        <v>215854</v>
      </c>
      <c r="D601" s="151"/>
      <c r="E601" s="151">
        <f>SUM(C601:D601)</f>
        <v>215854</v>
      </c>
    </row>
    <row r="602" spans="1:5" ht="12.75">
      <c r="A602" s="371" t="s">
        <v>318</v>
      </c>
      <c r="B602" s="228" t="s">
        <v>683</v>
      </c>
      <c r="C602" s="327">
        <f>E483+D483+C483+E425+D425+C425+E366+D366+C366+E306+D306+C306+E247+D247+C247+E188+D188+C188+E129+D129+C129+E70+D70+C70+E10+D10+C10+C542+D542+E542</f>
        <v>36729</v>
      </c>
      <c r="D602" s="151"/>
      <c r="E602" s="151">
        <f>SUM(C602:D602)</f>
        <v>36729</v>
      </c>
    </row>
    <row r="603" spans="1:5" ht="12.75">
      <c r="A603" s="371" t="s">
        <v>319</v>
      </c>
      <c r="B603" s="228" t="s">
        <v>682</v>
      </c>
      <c r="C603" s="327">
        <f>E484+D484+C484+E426+D426+C426+E367+D367+C367+E307+D307+C307+E248+D248+C248+E189+D189+C189+E130+D130+C130+E71+D71+C71+E11+D11+C11+C543+D543+E543</f>
        <v>588270.74</v>
      </c>
      <c r="D603" s="151"/>
      <c r="E603" s="151">
        <f>SUM(C603:D603)</f>
        <v>588270.74</v>
      </c>
    </row>
    <row r="604" spans="1:5" ht="12.75">
      <c r="A604" s="371" t="s">
        <v>320</v>
      </c>
      <c r="B604" s="228" t="s">
        <v>684</v>
      </c>
      <c r="C604" s="327"/>
      <c r="D604" s="151"/>
      <c r="E604" s="151">
        <f>SUM(C604:D604)</f>
        <v>0</v>
      </c>
    </row>
    <row r="605" spans="1:5" ht="12.75">
      <c r="A605" s="371" t="s">
        <v>321</v>
      </c>
      <c r="B605" s="228" t="s">
        <v>685</v>
      </c>
      <c r="C605" s="327">
        <f>E486+D486+C486+E428+D428+C428+E369+D369+C369+E309+D309+C309+E250+D250+C250+E191+D191+C191+E132+D132+C132+E73+D73+C73+E13+D13+C13+C545+D545+E545</f>
        <v>2463</v>
      </c>
      <c r="D605" s="151"/>
      <c r="E605" s="151">
        <f>SUM(C605:D605)</f>
        <v>2463</v>
      </c>
    </row>
    <row r="606" spans="1:5" ht="12.75">
      <c r="A606" s="371" t="s">
        <v>322</v>
      </c>
      <c r="B606" s="228" t="s">
        <v>686</v>
      </c>
      <c r="C606" s="327">
        <f>C607+C608+C609+C610+C611+C612+C613</f>
        <v>787121</v>
      </c>
      <c r="D606" s="327">
        <f>D607+D608+D609+D610+D611+D612+D613</f>
        <v>796777</v>
      </c>
      <c r="E606" s="151">
        <f>E607+E608+E609+E610+E611+E612+E613</f>
        <v>1583898</v>
      </c>
    </row>
    <row r="607" spans="1:5" ht="12.75">
      <c r="A607" s="371" t="s">
        <v>323</v>
      </c>
      <c r="B607" s="228" t="s">
        <v>690</v>
      </c>
      <c r="C607" s="327">
        <f>E488+D488+C488+E430+D430+C430+E371+D371+C371+E311+D311+C311+E252+D252+C252+E193+D193+C193+E134+D134+C134+E75+D75+C75+E15+D15+C15+C547+D547+E547</f>
        <v>255521</v>
      </c>
      <c r="D607" s="151"/>
      <c r="E607" s="151">
        <f aca="true" t="shared" si="0" ref="E607:E614">SUM(C607:D607)</f>
        <v>255521</v>
      </c>
    </row>
    <row r="608" spans="1:5" ht="12.75">
      <c r="A608" s="371" t="s">
        <v>324</v>
      </c>
      <c r="B608" s="228" t="s">
        <v>691</v>
      </c>
      <c r="C608" s="327">
        <f aca="true" t="shared" si="1" ref="C608:C614">E489+D489+C489+E431+D431+C431+E372+D372+C372+E312+D312+C312+E253+D253+C253+E194+D194+C194+E135+D135+C135+E76+D76+C76+E16+D16+C16+C548+D548+E548</f>
        <v>0</v>
      </c>
      <c r="D608" s="151"/>
      <c r="E608" s="151">
        <f t="shared" si="0"/>
        <v>0</v>
      </c>
    </row>
    <row r="609" spans="1:5" ht="12.75">
      <c r="A609" s="371" t="s">
        <v>325</v>
      </c>
      <c r="B609" s="228" t="s">
        <v>692</v>
      </c>
      <c r="C609" s="327">
        <f t="shared" si="1"/>
        <v>0</v>
      </c>
      <c r="D609" s="151"/>
      <c r="E609" s="151">
        <f t="shared" si="0"/>
        <v>0</v>
      </c>
    </row>
    <row r="610" spans="1:5" ht="12.75">
      <c r="A610" s="371" t="s">
        <v>326</v>
      </c>
      <c r="B610" s="380" t="s">
        <v>688</v>
      </c>
      <c r="C610" s="327">
        <f t="shared" si="1"/>
        <v>531457</v>
      </c>
      <c r="D610" s="151"/>
      <c r="E610" s="151">
        <f t="shared" si="0"/>
        <v>531457</v>
      </c>
    </row>
    <row r="611" spans="1:5" ht="12.75">
      <c r="A611" s="371" t="s">
        <v>327</v>
      </c>
      <c r="B611" s="834" t="s">
        <v>689</v>
      </c>
      <c r="C611" s="327">
        <f t="shared" si="1"/>
        <v>0</v>
      </c>
      <c r="D611" s="151"/>
      <c r="E611" s="151">
        <f t="shared" si="0"/>
        <v>0</v>
      </c>
    </row>
    <row r="612" spans="1:5" ht="12.75">
      <c r="A612" s="371" t="s">
        <v>328</v>
      </c>
      <c r="B612" s="835" t="s">
        <v>687</v>
      </c>
      <c r="C612" s="327">
        <f t="shared" si="1"/>
        <v>0</v>
      </c>
      <c r="D612" s="151">
        <f>'34 sz melléklet'!C19+'34 sz melléklet'!C33</f>
        <v>796777</v>
      </c>
      <c r="E612" s="151">
        <f t="shared" si="0"/>
        <v>796777</v>
      </c>
    </row>
    <row r="613" spans="1:5" ht="12.75">
      <c r="A613" s="371" t="s">
        <v>329</v>
      </c>
      <c r="B613" s="136" t="s">
        <v>957</v>
      </c>
      <c r="C613" s="327">
        <f t="shared" si="1"/>
        <v>143</v>
      </c>
      <c r="D613" s="151"/>
      <c r="E613" s="151">
        <f t="shared" si="0"/>
        <v>143</v>
      </c>
    </row>
    <row r="614" spans="1:5" ht="13.5" thickBot="1">
      <c r="A614" s="371" t="s">
        <v>330</v>
      </c>
      <c r="B614" s="230" t="s">
        <v>694</v>
      </c>
      <c r="C614" s="327">
        <f t="shared" si="1"/>
        <v>123501</v>
      </c>
      <c r="D614" s="151"/>
      <c r="E614" s="325">
        <f t="shared" si="0"/>
        <v>123501</v>
      </c>
    </row>
    <row r="615" spans="1:5" ht="22.5" customHeight="1" thickBot="1">
      <c r="A615" s="615" t="s">
        <v>331</v>
      </c>
      <c r="B615" s="616" t="s">
        <v>6</v>
      </c>
      <c r="C615" s="629">
        <f>C601+C602+C603+C604+C606+C614</f>
        <v>1751475.74</v>
      </c>
      <c r="D615" s="630">
        <f>D601+D602+D603+D604+D606+D614</f>
        <v>796777</v>
      </c>
      <c r="E615" s="975">
        <f>E601+E602+E603+E604+E606+E614</f>
        <v>2548252.74</v>
      </c>
    </row>
    <row r="616" spans="1:5" ht="13.5" thickTop="1">
      <c r="A616" s="604"/>
      <c r="B616" s="379"/>
      <c r="C616" s="892"/>
      <c r="D616" s="863"/>
      <c r="E616" s="976"/>
    </row>
    <row r="617" spans="1:5" ht="12.75">
      <c r="A617" s="372" t="s">
        <v>332</v>
      </c>
      <c r="B617" s="381" t="s">
        <v>257</v>
      </c>
      <c r="C617" s="329"/>
      <c r="D617" s="154"/>
      <c r="E617" s="977"/>
    </row>
    <row r="618" spans="1:5" ht="12.75">
      <c r="A618" s="371" t="s">
        <v>333</v>
      </c>
      <c r="B618" s="228" t="s">
        <v>695</v>
      </c>
      <c r="C618" s="327">
        <f>E499+D499+C499+E441+D441+C441+E382+D382+C382+E322+D322+C322+E263+D263+C263+E204+D204+C204+E145+D145+C145+E86+D86+C86+E26+D26+C26+C558+D558+E558</f>
        <v>1104241</v>
      </c>
      <c r="D618" s="151"/>
      <c r="E618" s="973">
        <f>SUM(C618:D618)</f>
        <v>1104241</v>
      </c>
    </row>
    <row r="619" spans="1:5" ht="12.75">
      <c r="A619" s="371" t="s">
        <v>334</v>
      </c>
      <c r="B619" s="228" t="s">
        <v>696</v>
      </c>
      <c r="C619" s="327">
        <f>E500+D500+C500+E442+D442+C442+E383+D383+C383+E323+D323+C323+E264+D264+C264+E205+D205+C205+E146+D146+C146+E87+D87+C87+E27+D27+C27+C559+D559+E559</f>
        <v>190656</v>
      </c>
      <c r="D619" s="151"/>
      <c r="E619" s="973">
        <f>SUM(C619:D619)</f>
        <v>190656</v>
      </c>
    </row>
    <row r="620" spans="1:5" ht="12.75">
      <c r="A620" s="371" t="s">
        <v>336</v>
      </c>
      <c r="B620" s="228" t="s">
        <v>697</v>
      </c>
      <c r="C620" s="327">
        <f>C621+C622+C623+C624+C625+C626+C627</f>
        <v>191205</v>
      </c>
      <c r="D620" s="151">
        <f>D621+D622+D623+D624+D625+D626+D627</f>
        <v>0</v>
      </c>
      <c r="E620" s="973">
        <f>E621+E622+E623+E624+E625+E626+E627</f>
        <v>191205</v>
      </c>
    </row>
    <row r="621" spans="1:5" ht="12.75">
      <c r="A621" s="371" t="s">
        <v>337</v>
      </c>
      <c r="B621" s="380" t="s">
        <v>698</v>
      </c>
      <c r="C621" s="327">
        <f aca="true" t="shared" si="2" ref="C621:C626">E502+D502+C502+E444+D444+C444+E385+D385+C385+E325+D325+C325+E266+D266+C266+E207+D207+C207+E148+D148+C148+E89+D89+C89+E29+D29+C29+C561+D561+E561</f>
        <v>0</v>
      </c>
      <c r="D621" s="151"/>
      <c r="E621" s="973">
        <f>SUM(C621:D621)</f>
        <v>0</v>
      </c>
    </row>
    <row r="622" spans="1:5" ht="12.75">
      <c r="A622" s="371" t="s">
        <v>338</v>
      </c>
      <c r="B622" s="380" t="s">
        <v>699</v>
      </c>
      <c r="C622" s="327">
        <f t="shared" si="2"/>
        <v>0</v>
      </c>
      <c r="D622" s="151"/>
      <c r="E622" s="973">
        <f aca="true" t="shared" si="3" ref="E622:E629">SUM(C622:D622)</f>
        <v>0</v>
      </c>
    </row>
    <row r="623" spans="1:5" ht="12.75">
      <c r="A623" s="371" t="s">
        <v>339</v>
      </c>
      <c r="B623" s="380" t="s">
        <v>700</v>
      </c>
      <c r="C623" s="327">
        <f t="shared" si="2"/>
        <v>0</v>
      </c>
      <c r="D623" s="151"/>
      <c r="E623" s="973">
        <f t="shared" si="3"/>
        <v>0</v>
      </c>
    </row>
    <row r="624" spans="1:5" ht="12.75">
      <c r="A624" s="371" t="s">
        <v>340</v>
      </c>
      <c r="B624" s="380" t="s">
        <v>701</v>
      </c>
      <c r="C624" s="327">
        <f t="shared" si="2"/>
        <v>154682</v>
      </c>
      <c r="D624" s="151"/>
      <c r="E624" s="973">
        <f t="shared" si="3"/>
        <v>154682</v>
      </c>
    </row>
    <row r="625" spans="1:5" ht="12.75">
      <c r="A625" s="371" t="s">
        <v>341</v>
      </c>
      <c r="B625" s="834" t="s">
        <v>702</v>
      </c>
      <c r="C625" s="327">
        <f t="shared" si="2"/>
        <v>32323</v>
      </c>
      <c r="D625" s="151"/>
      <c r="E625" s="973">
        <f t="shared" si="3"/>
        <v>32323</v>
      </c>
    </row>
    <row r="626" spans="1:5" ht="12.75">
      <c r="A626" s="371" t="s">
        <v>342</v>
      </c>
      <c r="B626" s="309" t="s">
        <v>703</v>
      </c>
      <c r="C626" s="327">
        <f t="shared" si="2"/>
        <v>4200</v>
      </c>
      <c r="D626" s="151"/>
      <c r="E626" s="973">
        <f t="shared" si="3"/>
        <v>4200</v>
      </c>
    </row>
    <row r="627" spans="1:5" ht="11.25" customHeight="1">
      <c r="A627" s="371" t="s">
        <v>343</v>
      </c>
      <c r="B627" s="1091" t="s">
        <v>704</v>
      </c>
      <c r="C627" s="327">
        <f>E508+D508+C508+E450+D450+C450+E391+D391+C391+E331+D331+C331+E272+D272+C272+E213+D213+C213+E154+D154+C154+E95+D95+C95+E35+D35+C35</f>
        <v>0</v>
      </c>
      <c r="D627" s="151"/>
      <c r="E627" s="973">
        <f t="shared" si="3"/>
        <v>0</v>
      </c>
    </row>
    <row r="628" spans="1:5" ht="12.75">
      <c r="A628" s="371" t="s">
        <v>344</v>
      </c>
      <c r="B628" s="228"/>
      <c r="C628" s="327">
        <f>E509+D509+C509+E451+D451+C451+E392+D392+C392+E332+D332+C332+E273+D273+C273+E214+D214+C214+E155+D155+C155+E96+D96+C96+E36+D36+C36</f>
        <v>0</v>
      </c>
      <c r="D628" s="151"/>
      <c r="E628" s="973">
        <f t="shared" si="3"/>
        <v>0</v>
      </c>
    </row>
    <row r="629" spans="1:5" ht="13.5" thickBot="1">
      <c r="A629" s="371" t="s">
        <v>345</v>
      </c>
      <c r="B629" s="230"/>
      <c r="C629" s="327">
        <f>E510+D510+C510+E452+D452+C452+E393+D393+C393+E333+D333+C333+E274+D274+C274+E215+D215+C215+E156+D156+C156+E97+D97+C97+E37+D37+C37</f>
        <v>0</v>
      </c>
      <c r="D629" s="484"/>
      <c r="E629" s="973">
        <f t="shared" si="3"/>
        <v>0</v>
      </c>
    </row>
    <row r="630" spans="1:6" ht="13.5" thickBot="1">
      <c r="A630" s="615" t="s">
        <v>958</v>
      </c>
      <c r="B630" s="616" t="s">
        <v>7</v>
      </c>
      <c r="C630" s="886">
        <f>C618+C619+C620+C628+C629</f>
        <v>1486102</v>
      </c>
      <c r="D630" s="886">
        <f>D618+D619+D620+D628+D629</f>
        <v>0</v>
      </c>
      <c r="E630" s="978">
        <f>E618+E619+E620+E628+E629</f>
        <v>1486102</v>
      </c>
      <c r="F630" s="79"/>
    </row>
    <row r="631" spans="1:5" ht="27" thickBot="1" thickTop="1">
      <c r="A631" s="615" t="s">
        <v>347</v>
      </c>
      <c r="B631" s="620" t="s">
        <v>503</v>
      </c>
      <c r="C631" s="870">
        <f>C615+C630</f>
        <v>3237577.74</v>
      </c>
      <c r="D631" s="870">
        <f>D615+D630</f>
        <v>796777</v>
      </c>
      <c r="E631" s="870">
        <f>E615+E630</f>
        <v>4034354.74</v>
      </c>
    </row>
    <row r="632" spans="1:5" ht="13.5" thickTop="1">
      <c r="A632" s="604"/>
      <c r="B632" s="848"/>
      <c r="C632" s="869"/>
      <c r="D632" s="869"/>
      <c r="E632" s="979"/>
    </row>
    <row r="633" spans="1:5" ht="12.75">
      <c r="A633" s="372" t="s">
        <v>348</v>
      </c>
      <c r="B633" s="485" t="s">
        <v>504</v>
      </c>
      <c r="C633" s="329"/>
      <c r="D633" s="154"/>
      <c r="E633" s="977"/>
    </row>
    <row r="634" spans="1:5" ht="12.75">
      <c r="A634" s="371" t="s">
        <v>349</v>
      </c>
      <c r="B634" s="229" t="s">
        <v>1334</v>
      </c>
      <c r="C634" s="327">
        <f aca="true" t="shared" si="4" ref="C634:C641">E515+D515+C515+E457+D457+C457+E398+D398+C398+E338+D338+C338+E279+D279+C279+E220+D220+C220+E161+D161+C161+E102+D102+C102+E42+D42+C42</f>
        <v>30526</v>
      </c>
      <c r="D634" s="327"/>
      <c r="E634" s="974">
        <f>SUM(C634:D634)</f>
        <v>30526</v>
      </c>
    </row>
    <row r="635" spans="1:5" ht="12.75">
      <c r="A635" s="371" t="s">
        <v>350</v>
      </c>
      <c r="B635" s="697" t="s">
        <v>724</v>
      </c>
      <c r="C635" s="327">
        <f t="shared" si="4"/>
        <v>12023365</v>
      </c>
      <c r="D635" s="154"/>
      <c r="E635" s="974">
        <f aca="true" t="shared" si="5" ref="E635:E641">SUM(C635:D635)</f>
        <v>12023365</v>
      </c>
    </row>
    <row r="636" spans="1:5" ht="12.75">
      <c r="A636" s="371" t="s">
        <v>351</v>
      </c>
      <c r="B636" s="697" t="s">
        <v>723</v>
      </c>
      <c r="C636" s="327">
        <f t="shared" si="4"/>
        <v>1219077</v>
      </c>
      <c r="D636" s="151"/>
      <c r="E636" s="974">
        <f t="shared" si="5"/>
        <v>1219077</v>
      </c>
    </row>
    <row r="637" spans="1:5" ht="12.75">
      <c r="A637" s="371" t="s">
        <v>352</v>
      </c>
      <c r="B637" s="697" t="s">
        <v>725</v>
      </c>
      <c r="C637" s="327">
        <f t="shared" si="4"/>
        <v>0</v>
      </c>
      <c r="D637" s="151"/>
      <c r="E637" s="974">
        <f t="shared" si="5"/>
        <v>0</v>
      </c>
    </row>
    <row r="638" spans="1:5" ht="12.75">
      <c r="A638" s="371" t="s">
        <v>353</v>
      </c>
      <c r="B638" s="836" t="s">
        <v>727</v>
      </c>
      <c r="C638" s="327">
        <f t="shared" si="4"/>
        <v>0</v>
      </c>
      <c r="D638" s="151"/>
      <c r="E638" s="974">
        <f t="shared" si="5"/>
        <v>0</v>
      </c>
    </row>
    <row r="639" spans="1:5" ht="12.75">
      <c r="A639" s="371" t="s">
        <v>354</v>
      </c>
      <c r="B639" s="837" t="s">
        <v>730</v>
      </c>
      <c r="C639" s="327">
        <f t="shared" si="4"/>
        <v>100000</v>
      </c>
      <c r="D639" s="151"/>
      <c r="E639" s="974">
        <f t="shared" si="5"/>
        <v>100000</v>
      </c>
    </row>
    <row r="640" spans="1:5" ht="12.75">
      <c r="A640" s="371" t="s">
        <v>355</v>
      </c>
      <c r="B640" s="838" t="s">
        <v>729</v>
      </c>
      <c r="C640" s="327">
        <f t="shared" si="4"/>
        <v>0</v>
      </c>
      <c r="D640" s="327"/>
      <c r="E640" s="974">
        <f t="shared" si="5"/>
        <v>0</v>
      </c>
    </row>
    <row r="641" spans="1:5" ht="13.5" thickBot="1">
      <c r="A641" s="371" t="s">
        <v>356</v>
      </c>
      <c r="B641" s="382" t="s">
        <v>728</v>
      </c>
      <c r="C641" s="327">
        <f t="shared" si="4"/>
        <v>0</v>
      </c>
      <c r="D641" s="267"/>
      <c r="E641" s="974">
        <f t="shared" si="5"/>
        <v>0</v>
      </c>
    </row>
    <row r="642" spans="1:5" ht="13.5" thickBot="1">
      <c r="A642" s="395" t="s">
        <v>357</v>
      </c>
      <c r="B642" s="315" t="s">
        <v>731</v>
      </c>
      <c r="C642" s="888">
        <f>SUM(C634:C641)</f>
        <v>13372968</v>
      </c>
      <c r="D642" s="888">
        <f>SUM(D634:D641)</f>
        <v>0</v>
      </c>
      <c r="E642" s="980">
        <f>SUM(E634:E641)</f>
        <v>13372968</v>
      </c>
    </row>
    <row r="643" spans="1:5" ht="12.75">
      <c r="A643" s="604"/>
      <c r="B643" s="44"/>
      <c r="C643" s="816"/>
      <c r="D643" s="816"/>
      <c r="E643" s="981"/>
    </row>
    <row r="644" spans="1:5" ht="13.5" thickBot="1">
      <c r="A644" s="631" t="s">
        <v>358</v>
      </c>
      <c r="B644" s="846" t="s">
        <v>506</v>
      </c>
      <c r="C644" s="865">
        <f>C642+C631</f>
        <v>16610545.74</v>
      </c>
      <c r="D644" s="865">
        <f>D642+D631</f>
        <v>796777</v>
      </c>
      <c r="E644" s="982">
        <f>E642+E631</f>
        <v>17407322.740000002</v>
      </c>
    </row>
    <row r="645" ht="13.5" thickTop="1"/>
  </sheetData>
  <sheetProtection/>
  <mergeCells count="32">
    <mergeCell ref="A1:E1"/>
    <mergeCell ref="B3:E3"/>
    <mergeCell ref="A60:E60"/>
    <mergeCell ref="A119:E119"/>
    <mergeCell ref="A179:E179"/>
    <mergeCell ref="B181:E181"/>
    <mergeCell ref="A120:E120"/>
    <mergeCell ref="A61:E61"/>
    <mergeCell ref="B63:E63"/>
    <mergeCell ref="A237:E237"/>
    <mergeCell ref="A532:E532"/>
    <mergeCell ref="A534:E534"/>
    <mergeCell ref="A473:E473"/>
    <mergeCell ref="A358:E358"/>
    <mergeCell ref="A415:E415"/>
    <mergeCell ref="B360:E360"/>
    <mergeCell ref="A594:E594"/>
    <mergeCell ref="B122:E122"/>
    <mergeCell ref="A178:E178"/>
    <mergeCell ref="A475:E475"/>
    <mergeCell ref="B477:E477"/>
    <mergeCell ref="A592:E592"/>
    <mergeCell ref="B596:E596"/>
    <mergeCell ref="A238:E238"/>
    <mergeCell ref="B240:E240"/>
    <mergeCell ref="A296:E296"/>
    <mergeCell ref="A298:E298"/>
    <mergeCell ref="B300:E300"/>
    <mergeCell ref="B536:E536"/>
    <mergeCell ref="A356:E356"/>
    <mergeCell ref="A417:E417"/>
    <mergeCell ref="B419:E41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54" t="s">
        <v>1460</v>
      </c>
      <c r="B1" s="1678"/>
      <c r="C1" s="384"/>
      <c r="D1" s="384"/>
      <c r="E1" s="384"/>
      <c r="F1" s="384"/>
      <c r="G1" s="384"/>
      <c r="H1" s="384"/>
    </row>
    <row r="3" spans="1:3" ht="15.75">
      <c r="A3" s="1818" t="s">
        <v>235</v>
      </c>
      <c r="B3" s="1818"/>
      <c r="C3" s="1818"/>
    </row>
    <row r="4" spans="1:3" ht="15.75">
      <c r="A4" s="1087"/>
      <c r="B4" s="1087"/>
      <c r="C4" s="1087"/>
    </row>
    <row r="5" spans="1:3" ht="69" customHeight="1">
      <c r="A5" s="1818" t="s">
        <v>676</v>
      </c>
      <c r="B5" s="1818"/>
      <c r="C5" s="1818"/>
    </row>
    <row r="6" spans="2:3" ht="15.75">
      <c r="B6" s="20"/>
      <c r="C6" s="20"/>
    </row>
    <row r="7" spans="2:3" ht="16.5" thickBot="1">
      <c r="B7" s="20"/>
      <c r="C7" s="1085" t="s">
        <v>672</v>
      </c>
    </row>
    <row r="8" spans="1:3" ht="30.75" customHeight="1" thickBot="1">
      <c r="A8" s="1088" t="s">
        <v>311</v>
      </c>
      <c r="B8" s="745" t="s">
        <v>670</v>
      </c>
      <c r="C8" s="1089" t="s">
        <v>671</v>
      </c>
    </row>
    <row r="9" spans="1:3" ht="13.5" thickBot="1">
      <c r="A9" s="202" t="s">
        <v>312</v>
      </c>
      <c r="B9" s="204" t="s">
        <v>313</v>
      </c>
      <c r="C9" s="401" t="s">
        <v>314</v>
      </c>
    </row>
    <row r="10" spans="1:3" ht="47.25" customHeight="1">
      <c r="A10" s="1067" t="s">
        <v>316</v>
      </c>
      <c r="B10" s="1086" t="s">
        <v>673</v>
      </c>
      <c r="C10" s="1542">
        <v>0</v>
      </c>
    </row>
    <row r="11" spans="1:3" ht="15.75">
      <c r="A11" s="1068" t="s">
        <v>317</v>
      </c>
      <c r="B11" s="744"/>
      <c r="C11" s="1543"/>
    </row>
    <row r="12" spans="1:3" ht="15.75">
      <c r="A12" s="1068" t="s">
        <v>318</v>
      </c>
      <c r="B12" s="744"/>
      <c r="C12" s="1543"/>
    </row>
    <row r="13" spans="1:3" ht="15.75">
      <c r="A13" s="1068" t="s">
        <v>319</v>
      </c>
      <c r="B13" s="744"/>
      <c r="C13" s="1543"/>
    </row>
    <row r="14" spans="1:3" ht="15.75">
      <c r="A14" s="1068" t="s">
        <v>320</v>
      </c>
      <c r="B14" s="744" t="s">
        <v>674</v>
      </c>
      <c r="C14" s="1543">
        <f>C15</f>
        <v>0</v>
      </c>
    </row>
    <row r="15" spans="1:3" ht="15.75">
      <c r="A15" s="1068" t="s">
        <v>321</v>
      </c>
      <c r="B15" s="744" t="s">
        <v>1191</v>
      </c>
      <c r="C15" s="1543"/>
    </row>
    <row r="16" spans="1:3" ht="15.75">
      <c r="A16" s="1068" t="s">
        <v>322</v>
      </c>
      <c r="B16" s="744"/>
      <c r="C16" s="1543"/>
    </row>
    <row r="17" spans="1:3" ht="15.75">
      <c r="A17" s="1068" t="s">
        <v>323</v>
      </c>
      <c r="B17" s="744"/>
      <c r="C17" s="1543"/>
    </row>
    <row r="18" spans="1:3" ht="15.75">
      <c r="A18" s="1068" t="s">
        <v>324</v>
      </c>
      <c r="B18" s="744"/>
      <c r="C18" s="1543"/>
    </row>
    <row r="19" spans="1:3" ht="16.5" thickBot="1">
      <c r="A19" s="1069" t="s">
        <v>325</v>
      </c>
      <c r="B19" s="1544" t="s">
        <v>675</v>
      </c>
      <c r="C19" s="1545">
        <f>C14+C10</f>
        <v>0</v>
      </c>
    </row>
    <row r="20" spans="2:3" ht="15.75">
      <c r="B20" s="20"/>
      <c r="C20" s="20"/>
    </row>
    <row r="21" spans="2:3" ht="15.75">
      <c r="B21" s="20"/>
      <c r="C21" s="20"/>
    </row>
    <row r="22" spans="2:3" ht="15.75">
      <c r="B22" s="20"/>
      <c r="C22" s="20"/>
    </row>
    <row r="23" spans="2:3" ht="15.75">
      <c r="B23" s="20"/>
      <c r="C23" s="20"/>
    </row>
    <row r="24" spans="2:3" ht="15.75">
      <c r="B24" s="20"/>
      <c r="C24" s="20"/>
    </row>
    <row r="25" spans="2:3" ht="15.75">
      <c r="B25" s="20"/>
      <c r="C25" s="20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84" t="s">
        <v>1461</v>
      </c>
      <c r="B1" s="166"/>
      <c r="C1" s="166"/>
      <c r="D1" s="166"/>
      <c r="E1" s="166"/>
      <c r="F1" s="166"/>
    </row>
    <row r="2" spans="1:2" ht="12.75">
      <c r="A2" s="1"/>
      <c r="B2" s="1"/>
    </row>
    <row r="3" spans="1:2" ht="12.75">
      <c r="A3" s="1"/>
      <c r="B3" s="1"/>
    </row>
    <row r="4" spans="1:2" ht="18.75">
      <c r="A4" s="1789" t="s">
        <v>227</v>
      </c>
      <c r="B4" s="1789"/>
    </row>
    <row r="5" spans="1:2" ht="12.75">
      <c r="A5" s="1"/>
      <c r="B5" s="1"/>
    </row>
    <row r="6" spans="1:2" ht="12.75">
      <c r="A6" s="1"/>
      <c r="B6" s="1"/>
    </row>
    <row r="7" spans="1:2" ht="16.5" thickBot="1">
      <c r="A7" s="1"/>
      <c r="B7" s="42" t="s">
        <v>228</v>
      </c>
    </row>
    <row r="8" spans="1:2" ht="19.5" thickBot="1">
      <c r="A8" s="1453" t="s">
        <v>3</v>
      </c>
      <c r="B8" s="1454" t="s">
        <v>1068</v>
      </c>
    </row>
    <row r="9" spans="1:2" ht="15.75">
      <c r="A9" s="565"/>
      <c r="B9" s="566"/>
    </row>
    <row r="10" spans="1:2" ht="15.75">
      <c r="A10" s="565" t="s">
        <v>229</v>
      </c>
      <c r="B10" s="566"/>
    </row>
    <row r="11" spans="1:2" ht="15.75">
      <c r="A11" s="1455" t="s">
        <v>531</v>
      </c>
      <c r="B11" s="566">
        <v>10000</v>
      </c>
    </row>
    <row r="12" spans="1:2" ht="15.75">
      <c r="A12" s="1455" t="s">
        <v>1143</v>
      </c>
      <c r="B12" s="566">
        <f>5000+3000</f>
        <v>8000</v>
      </c>
    </row>
    <row r="13" spans="1:2" ht="15.75">
      <c r="A13" s="751" t="s">
        <v>1141</v>
      </c>
      <c r="B13" s="1021">
        <v>20000</v>
      </c>
    </row>
    <row r="14" spans="1:2" ht="15.75">
      <c r="A14" s="1455" t="s">
        <v>532</v>
      </c>
      <c r="B14" s="566">
        <v>6400</v>
      </c>
    </row>
    <row r="15" spans="1:2" ht="15.75">
      <c r="A15" s="1455" t="s">
        <v>230</v>
      </c>
      <c r="B15" s="566">
        <v>4000</v>
      </c>
    </row>
    <row r="16" spans="1:2" ht="15.75">
      <c r="A16" s="1455" t="s">
        <v>1142</v>
      </c>
      <c r="B16" s="566">
        <v>3000</v>
      </c>
    </row>
    <row r="17" spans="1:2" ht="15.75">
      <c r="A17" s="1455" t="s">
        <v>1286</v>
      </c>
      <c r="B17" s="566">
        <v>2562</v>
      </c>
    </row>
    <row r="18" spans="1:2" ht="15.75">
      <c r="A18" s="1455" t="s">
        <v>231</v>
      </c>
      <c r="B18" s="566">
        <f>SUM(B11:B11:B17)*0.27</f>
        <v>14569.740000000002</v>
      </c>
    </row>
    <row r="19" spans="1:2" ht="16.5" thickBot="1">
      <c r="A19" s="1458" t="s">
        <v>232</v>
      </c>
      <c r="B19" s="1459">
        <v>237</v>
      </c>
    </row>
    <row r="20" spans="1:2" ht="16.5" thickBot="1">
      <c r="A20" s="1462" t="s">
        <v>533</v>
      </c>
      <c r="B20" s="1463">
        <f>SUM(B11:B19)</f>
        <v>68768.74</v>
      </c>
    </row>
    <row r="21" spans="1:2" ht="15.75">
      <c r="A21" s="1467"/>
      <c r="B21" s="1468"/>
    </row>
    <row r="22" spans="1:2" ht="15.75">
      <c r="A22" s="1460" t="s">
        <v>83</v>
      </c>
      <c r="B22" s="1461">
        <f>'33_sz_ melléklet'!C86</f>
        <v>5588</v>
      </c>
    </row>
    <row r="23" spans="1:2" ht="16.5" thickBot="1">
      <c r="A23" s="1464" t="s">
        <v>84</v>
      </c>
      <c r="B23" s="1459">
        <f>'32_sz_ melléklet'!C27</f>
        <v>91746</v>
      </c>
    </row>
    <row r="24" spans="1:2" ht="16.5" thickBot="1">
      <c r="A24" s="1462" t="s">
        <v>233</v>
      </c>
      <c r="B24" s="1463">
        <f>SUM(B22:B23)</f>
        <v>97334</v>
      </c>
    </row>
    <row r="25" spans="1:2" ht="16.5" thickBot="1">
      <c r="A25" s="1465"/>
      <c r="B25" s="1466"/>
    </row>
    <row r="26" spans="1:2" ht="16.5" thickBot="1">
      <c r="A26" s="1456" t="s">
        <v>234</v>
      </c>
      <c r="B26" s="1457">
        <f>B20+B24</f>
        <v>166102.74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384" t="s">
        <v>1462</v>
      </c>
      <c r="B2" s="166"/>
      <c r="C2" s="166"/>
      <c r="D2" s="166"/>
      <c r="E2" s="166"/>
      <c r="F2" s="166"/>
    </row>
    <row r="3" spans="1:5" ht="12.75">
      <c r="A3" s="1"/>
      <c r="B3" s="1"/>
      <c r="C3" s="1"/>
      <c r="D3" s="63"/>
      <c r="E3" s="63"/>
    </row>
    <row r="4" spans="1:5" ht="15.75">
      <c r="A4" s="1674" t="s">
        <v>235</v>
      </c>
      <c r="B4" s="1674"/>
      <c r="C4" s="1674"/>
      <c r="D4" s="1674"/>
      <c r="E4" s="1674"/>
    </row>
    <row r="5" spans="1:5" ht="12.75">
      <c r="A5" s="1819" t="s">
        <v>236</v>
      </c>
      <c r="B5" s="1819"/>
      <c r="C5" s="1819"/>
      <c r="D5" s="1819"/>
      <c r="E5" s="1819"/>
    </row>
    <row r="6" spans="1:5" ht="22.5" customHeight="1">
      <c r="A6" s="1819"/>
      <c r="B6" s="1819"/>
      <c r="C6" s="1819"/>
      <c r="D6" s="1819"/>
      <c r="E6" s="1819"/>
    </row>
    <row r="7" spans="1:5" ht="15.75">
      <c r="A7" s="20"/>
      <c r="B7" s="20"/>
      <c r="C7" s="20"/>
      <c r="D7" s="20"/>
      <c r="E7" s="20"/>
    </row>
    <row r="8" spans="1:5" ht="15.75">
      <c r="A8" s="105" t="s">
        <v>120</v>
      </c>
      <c r="B8" s="20"/>
      <c r="C8" s="20"/>
      <c r="D8" s="20"/>
      <c r="E8" s="20"/>
    </row>
    <row r="9" spans="1:5" ht="15.75">
      <c r="A9" s="20"/>
      <c r="B9" s="20"/>
      <c r="C9" s="20"/>
      <c r="D9" s="1820" t="s">
        <v>237</v>
      </c>
      <c r="E9" s="1820"/>
    </row>
    <row r="10" spans="1:5" ht="31.5">
      <c r="A10" s="106" t="s">
        <v>3</v>
      </c>
      <c r="B10" s="107" t="s">
        <v>238</v>
      </c>
      <c r="C10" s="107" t="s">
        <v>239</v>
      </c>
      <c r="D10" s="107" t="s">
        <v>240</v>
      </c>
      <c r="E10" s="107" t="s">
        <v>241</v>
      </c>
    </row>
    <row r="11" spans="1:5" ht="30">
      <c r="A11" s="90" t="s">
        <v>242</v>
      </c>
      <c r="B11" s="104">
        <f>'14 16_sz_ melléklet'!C72</f>
        <v>2000</v>
      </c>
      <c r="C11" s="104">
        <f>'14 16_sz_ melléklet'!C72</f>
        <v>2000</v>
      </c>
      <c r="D11" s="104">
        <v>0</v>
      </c>
      <c r="E11" s="108">
        <v>0</v>
      </c>
    </row>
    <row r="12" spans="1:5" ht="30">
      <c r="A12" s="90" t="s">
        <v>243</v>
      </c>
      <c r="B12" s="104">
        <f>'14 16_sz_ melléklet'!C68</f>
        <v>200</v>
      </c>
      <c r="C12" s="104">
        <f>'14 16_sz_ melléklet'!C68</f>
        <v>200</v>
      </c>
      <c r="D12" s="104"/>
      <c r="E12" s="108">
        <v>0</v>
      </c>
    </row>
    <row r="13" spans="1:5" ht="45">
      <c r="A13" s="90" t="s">
        <v>244</v>
      </c>
      <c r="B13" s="104"/>
      <c r="C13" s="104"/>
      <c r="D13" s="104"/>
      <c r="E13" s="108">
        <v>0</v>
      </c>
    </row>
    <row r="14" spans="1:5" ht="15.75">
      <c r="A14" s="109" t="s">
        <v>245</v>
      </c>
      <c r="B14" s="104"/>
      <c r="C14" s="104"/>
      <c r="D14" s="104"/>
      <c r="E14" s="108">
        <v>0</v>
      </c>
    </row>
    <row r="15" spans="1:5" ht="20.25" customHeight="1">
      <c r="A15" s="90" t="s">
        <v>246</v>
      </c>
      <c r="B15" s="104"/>
      <c r="C15" s="104"/>
      <c r="D15" s="104"/>
      <c r="E15" s="108">
        <v>0</v>
      </c>
    </row>
    <row r="16" spans="1:5" ht="15.75">
      <c r="A16" s="103" t="s">
        <v>226</v>
      </c>
      <c r="B16" s="104">
        <f>SUM(B11:B15)</f>
        <v>2200</v>
      </c>
      <c r="C16" s="104">
        <f>SUM(C11:C15)</f>
        <v>2200</v>
      </c>
      <c r="D16" s="104">
        <f>SUM(D11:D15)</f>
        <v>0</v>
      </c>
      <c r="E16" s="108">
        <v>0</v>
      </c>
    </row>
    <row r="17" spans="1:5" ht="15.75">
      <c r="A17" s="20"/>
      <c r="B17" s="20"/>
      <c r="C17" s="20"/>
      <c r="D17" s="20"/>
      <c r="E17" s="20"/>
    </row>
    <row r="18" spans="1:5" ht="15.75">
      <c r="A18" s="20"/>
      <c r="B18" s="20"/>
      <c r="C18" s="20"/>
      <c r="D18" s="20"/>
      <c r="E18" s="20"/>
    </row>
    <row r="19" spans="1:5" ht="15.75">
      <c r="A19" s="105" t="s">
        <v>121</v>
      </c>
      <c r="B19" s="20"/>
      <c r="C19" s="20"/>
      <c r="D19" s="20"/>
      <c r="E19" s="20"/>
    </row>
    <row r="20" spans="1:5" ht="15.75">
      <c r="A20" s="20"/>
      <c r="B20" s="20"/>
      <c r="C20" s="20"/>
      <c r="D20" s="1820" t="s">
        <v>237</v>
      </c>
      <c r="E20" s="1820"/>
    </row>
    <row r="21" spans="1:5" ht="31.5">
      <c r="A21" s="106" t="s">
        <v>3</v>
      </c>
      <c r="B21" s="107" t="s">
        <v>238</v>
      </c>
      <c r="C21" s="107" t="s">
        <v>239</v>
      </c>
      <c r="D21" s="107" t="s">
        <v>240</v>
      </c>
      <c r="E21" s="107" t="s">
        <v>241</v>
      </c>
    </row>
    <row r="22" spans="1:5" ht="30">
      <c r="A22" s="90" t="s">
        <v>247</v>
      </c>
      <c r="B22" s="104"/>
      <c r="C22" s="104">
        <v>0</v>
      </c>
      <c r="D22" s="104">
        <v>0</v>
      </c>
      <c r="E22" s="108">
        <v>0</v>
      </c>
    </row>
    <row r="23" spans="1:5" ht="15.75">
      <c r="A23" s="109" t="s">
        <v>248</v>
      </c>
      <c r="B23" s="104"/>
      <c r="C23" s="104"/>
      <c r="D23" s="104"/>
      <c r="E23" s="108">
        <v>0</v>
      </c>
    </row>
    <row r="24" spans="1:5" ht="49.5" customHeight="1">
      <c r="A24" s="90" t="s">
        <v>249</v>
      </c>
      <c r="B24" s="104"/>
      <c r="C24" s="104"/>
      <c r="D24" s="104"/>
      <c r="E24" s="108">
        <v>0</v>
      </c>
    </row>
    <row r="25" spans="1:5" ht="60">
      <c r="A25" s="90" t="s">
        <v>250</v>
      </c>
      <c r="B25" s="104">
        <v>2200</v>
      </c>
      <c r="C25" s="104">
        <v>2200</v>
      </c>
      <c r="D25" s="104"/>
      <c r="E25" s="108">
        <v>0</v>
      </c>
    </row>
    <row r="26" spans="1:5" ht="15.75">
      <c r="A26" s="109" t="s">
        <v>251</v>
      </c>
      <c r="B26" s="104"/>
      <c r="C26" s="104"/>
      <c r="D26" s="104"/>
      <c r="E26" s="108">
        <v>0</v>
      </c>
    </row>
    <row r="27" spans="1:5" ht="15.75">
      <c r="A27" s="110" t="s">
        <v>252</v>
      </c>
      <c r="B27" s="104"/>
      <c r="C27" s="104"/>
      <c r="D27" s="104"/>
      <c r="E27" s="108">
        <v>0</v>
      </c>
    </row>
    <row r="28" spans="1:5" ht="75">
      <c r="A28" s="110" t="s">
        <v>253</v>
      </c>
      <c r="B28" s="111"/>
      <c r="C28" s="104"/>
      <c r="D28" s="104"/>
      <c r="E28" s="108">
        <v>0</v>
      </c>
    </row>
    <row r="29" spans="1:5" ht="45">
      <c r="A29" s="90" t="s">
        <v>254</v>
      </c>
      <c r="B29" s="104"/>
      <c r="C29" s="104"/>
      <c r="D29" s="104"/>
      <c r="E29" s="108">
        <v>0</v>
      </c>
    </row>
    <row r="30" spans="1:5" ht="15.75">
      <c r="A30" s="103" t="s">
        <v>255</v>
      </c>
      <c r="B30" s="104">
        <f>SUM(B22:B29)</f>
        <v>2200</v>
      </c>
      <c r="C30" s="104">
        <f>SUM(C22:C29)</f>
        <v>2200</v>
      </c>
      <c r="D30" s="104">
        <f>SUM(D22:D29)</f>
        <v>0</v>
      </c>
      <c r="E30" s="108">
        <v>0</v>
      </c>
    </row>
    <row r="31" spans="1:5" ht="15.75">
      <c r="A31" s="20"/>
      <c r="B31" s="20"/>
      <c r="C31" s="20"/>
      <c r="D31" s="20"/>
      <c r="E31" s="20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5:B2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8.7109375" style="0" customWidth="1"/>
    <col min="2" max="2" width="15.57421875" style="0" customWidth="1"/>
  </cols>
  <sheetData>
    <row r="5" spans="1:2" ht="12.75">
      <c r="A5" s="1470" t="s">
        <v>3</v>
      </c>
      <c r="B5" s="1470" t="s">
        <v>1018</v>
      </c>
    </row>
    <row r="6" spans="1:2" ht="12.75">
      <c r="A6" s="1471" t="s">
        <v>1029</v>
      </c>
      <c r="B6" s="1470"/>
    </row>
    <row r="7" spans="1:2" ht="12.75">
      <c r="A7" s="1617" t="s">
        <v>1347</v>
      </c>
      <c r="B7" s="1472" t="s">
        <v>1348</v>
      </c>
    </row>
    <row r="8" spans="1:2" ht="12.75">
      <c r="A8" s="1617" t="s">
        <v>1349</v>
      </c>
      <c r="B8" s="1472" t="s">
        <v>1350</v>
      </c>
    </row>
    <row r="9" spans="1:2" ht="12.75">
      <c r="A9" s="1470" t="s">
        <v>1021</v>
      </c>
      <c r="B9" s="1472" t="s">
        <v>1024</v>
      </c>
    </row>
    <row r="10" spans="1:2" ht="12.75">
      <c r="A10" s="1470" t="s">
        <v>1019</v>
      </c>
      <c r="B10" s="1472" t="s">
        <v>1020</v>
      </c>
    </row>
    <row r="11" spans="1:2" ht="12.75">
      <c r="A11" s="1470" t="s">
        <v>1022</v>
      </c>
      <c r="B11" s="1472" t="s">
        <v>1023</v>
      </c>
    </row>
    <row r="12" spans="1:2" ht="12.75">
      <c r="A12" s="1470" t="s">
        <v>1025</v>
      </c>
      <c r="B12" s="1472" t="s">
        <v>1026</v>
      </c>
    </row>
    <row r="13" spans="1:2" ht="12.75">
      <c r="A13" s="1470" t="s">
        <v>1027</v>
      </c>
      <c r="B13" s="1472" t="s">
        <v>1028</v>
      </c>
    </row>
    <row r="14" spans="1:2" ht="12.75">
      <c r="A14" s="1470" t="s">
        <v>1030</v>
      </c>
      <c r="B14" s="1472" t="s">
        <v>1031</v>
      </c>
    </row>
    <row r="15" spans="1:2" ht="12.75">
      <c r="A15" s="1470" t="s">
        <v>83</v>
      </c>
      <c r="B15" s="1472" t="s">
        <v>1032</v>
      </c>
    </row>
    <row r="16" spans="1:2" ht="12.75">
      <c r="A16" s="1470" t="s">
        <v>1033</v>
      </c>
      <c r="B16" s="1472" t="s">
        <v>1034</v>
      </c>
    </row>
    <row r="17" spans="1:2" ht="12.75">
      <c r="A17" s="1470"/>
      <c r="B17" s="1472"/>
    </row>
    <row r="18" spans="1:2" ht="12.75">
      <c r="A18" s="1470"/>
      <c r="B18" s="1472"/>
    </row>
    <row r="19" spans="1:2" ht="12.75">
      <c r="A19" s="1471" t="s">
        <v>1035</v>
      </c>
      <c r="B19" s="1472"/>
    </row>
    <row r="20" spans="1:2" ht="12.75">
      <c r="A20" s="1470" t="s">
        <v>1036</v>
      </c>
      <c r="B20" s="1472" t="s">
        <v>1040</v>
      </c>
    </row>
    <row r="21" spans="1:2" ht="12.75">
      <c r="A21" s="1470" t="s">
        <v>415</v>
      </c>
      <c r="B21" s="1472" t="s">
        <v>1037</v>
      </c>
    </row>
    <row r="22" spans="1:2" ht="12.75">
      <c r="A22" s="1470" t="s">
        <v>1038</v>
      </c>
      <c r="B22" s="1472" t="s">
        <v>1039</v>
      </c>
    </row>
    <row r="23" spans="1:2" ht="12.75">
      <c r="A23" s="1470" t="s">
        <v>1041</v>
      </c>
      <c r="B23" s="1472" t="s">
        <v>1170</v>
      </c>
    </row>
    <row r="24" spans="1:2" ht="12.75">
      <c r="A24" s="1470" t="s">
        <v>1042</v>
      </c>
      <c r="B24" s="1472" t="s">
        <v>1043</v>
      </c>
    </row>
    <row r="25" spans="1:2" ht="12.75">
      <c r="A25" s="1470" t="s">
        <v>1044</v>
      </c>
      <c r="B25" s="1472" t="s">
        <v>1045</v>
      </c>
    </row>
    <row r="26" spans="1:2" ht="12.75">
      <c r="A26" s="1470" t="s">
        <v>1046</v>
      </c>
      <c r="B26" s="1472" t="s">
        <v>1047</v>
      </c>
    </row>
    <row r="27" spans="1:2" ht="12.75">
      <c r="A27" s="1470" t="s">
        <v>1048</v>
      </c>
      <c r="B27" s="1472" t="s">
        <v>1049</v>
      </c>
    </row>
    <row r="28" ht="12.75">
      <c r="B28" s="1469"/>
    </row>
  </sheetData>
  <sheetProtection/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G122" sqref="G122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54" t="s">
        <v>1408</v>
      </c>
      <c r="B1" s="1654"/>
      <c r="C1" s="1654"/>
      <c r="D1" s="1654"/>
      <c r="E1" s="1654"/>
      <c r="F1" s="166"/>
      <c r="G1" s="166"/>
    </row>
    <row r="2" spans="1:7" ht="12.75">
      <c r="A2" s="1677" t="s">
        <v>1062</v>
      </c>
      <c r="B2" s="1675"/>
      <c r="C2" s="1675"/>
      <c r="D2" s="1675"/>
      <c r="E2" s="1675"/>
      <c r="F2" s="37"/>
      <c r="G2" s="37"/>
    </row>
    <row r="3" spans="1:7" ht="12.75">
      <c r="A3" s="1677" t="s">
        <v>12</v>
      </c>
      <c r="B3" s="1678"/>
      <c r="C3" s="1678"/>
      <c r="D3" s="1678"/>
      <c r="E3" s="1678"/>
      <c r="F3" s="37"/>
      <c r="G3" s="37"/>
    </row>
    <row r="4" spans="1:7" ht="13.5" thickBot="1">
      <c r="A4" s="166"/>
      <c r="B4" s="488"/>
      <c r="C4" s="488"/>
      <c r="D4" s="488"/>
      <c r="E4" s="22" t="s">
        <v>8</v>
      </c>
      <c r="F4" s="22"/>
      <c r="G4" s="488"/>
    </row>
    <row r="5" spans="1:5" ht="36.75" customHeight="1" thickBot="1">
      <c r="A5" s="399" t="s">
        <v>311</v>
      </c>
      <c r="B5" s="610" t="s">
        <v>13</v>
      </c>
      <c r="C5" s="391" t="s">
        <v>501</v>
      </c>
      <c r="D5" s="163" t="s">
        <v>951</v>
      </c>
      <c r="E5" s="163" t="s">
        <v>365</v>
      </c>
    </row>
    <row r="6" spans="1:5" ht="12" customHeight="1">
      <c r="A6" s="611" t="s">
        <v>312</v>
      </c>
      <c r="B6" s="612" t="s">
        <v>313</v>
      </c>
      <c r="C6" s="621" t="s">
        <v>314</v>
      </c>
      <c r="D6" s="622" t="s">
        <v>315</v>
      </c>
      <c r="E6" s="639" t="s">
        <v>335</v>
      </c>
    </row>
    <row r="7" spans="1:5" ht="12.75">
      <c r="A7" s="372" t="s">
        <v>316</v>
      </c>
      <c r="B7" s="379" t="s">
        <v>256</v>
      </c>
      <c r="C7" s="327"/>
      <c r="D7" s="151"/>
      <c r="E7" s="151"/>
    </row>
    <row r="8" spans="1:5" ht="12.75">
      <c r="A8" s="371" t="s">
        <v>317</v>
      </c>
      <c r="B8" s="199" t="s">
        <v>681</v>
      </c>
      <c r="C8" s="812">
        <f>8957+1904</f>
        <v>10861</v>
      </c>
      <c r="D8" s="814">
        <f>45434+144783+1374-156+491+1094+5737+3121+462+1411-10376</f>
        <v>193375</v>
      </c>
      <c r="E8" s="814">
        <f>12655+1503</f>
        <v>14158</v>
      </c>
    </row>
    <row r="9" spans="1:5" ht="12.75">
      <c r="A9" s="371" t="s">
        <v>318</v>
      </c>
      <c r="B9" s="228" t="s">
        <v>683</v>
      </c>
      <c r="C9" s="812">
        <f>2507+526</f>
        <v>3033</v>
      </c>
      <c r="D9" s="814">
        <f>12776+43015+506-42+132+296+1549+835+125+381+11-1113</f>
        <v>58471</v>
      </c>
      <c r="E9" s="814">
        <f>3565+48</f>
        <v>3613</v>
      </c>
    </row>
    <row r="10" spans="1:5" ht="12.75">
      <c r="A10" s="371" t="s">
        <v>319</v>
      </c>
      <c r="B10" s="228" t="s">
        <v>682</v>
      </c>
      <c r="C10" s="327">
        <f>325-130</f>
        <v>195</v>
      </c>
      <c r="D10" s="814">
        <f>7860+31589-712-152</f>
        <v>38585</v>
      </c>
      <c r="E10" s="151">
        <f>328-108</f>
        <v>220</v>
      </c>
    </row>
    <row r="11" spans="1:5" ht="12.75">
      <c r="A11" s="371" t="s">
        <v>320</v>
      </c>
      <c r="B11" s="228" t="s">
        <v>684</v>
      </c>
      <c r="C11" s="327"/>
      <c r="D11" s="151"/>
      <c r="E11" s="151"/>
    </row>
    <row r="12" spans="1:5" ht="12.75">
      <c r="A12" s="371" t="s">
        <v>321</v>
      </c>
      <c r="B12" s="228" t="s">
        <v>685</v>
      </c>
      <c r="C12" s="327"/>
      <c r="D12" s="151"/>
      <c r="E12" s="151"/>
    </row>
    <row r="13" spans="1:5" ht="12.75">
      <c r="A13" s="371" t="s">
        <v>322</v>
      </c>
      <c r="B13" s="228" t="s">
        <v>686</v>
      </c>
      <c r="C13" s="327">
        <f>C14+C15+C16+C17+C18+C19+C20</f>
        <v>0</v>
      </c>
      <c r="D13" s="327">
        <f>D14+D15+D16+D17+D18+D19+D20</f>
        <v>0</v>
      </c>
      <c r="E13" s="151">
        <f>E14+E15+E16+E17+E18+E19+E20</f>
        <v>0</v>
      </c>
    </row>
    <row r="14" spans="1:5" ht="12.75">
      <c r="A14" s="371" t="s">
        <v>323</v>
      </c>
      <c r="B14" s="228" t="s">
        <v>690</v>
      </c>
      <c r="C14" s="327"/>
      <c r="D14" s="151"/>
      <c r="E14" s="151"/>
    </row>
    <row r="15" spans="1:5" s="17" customFormat="1" ht="12.75">
      <c r="A15" s="371" t="s">
        <v>324</v>
      </c>
      <c r="B15" s="228" t="s">
        <v>691</v>
      </c>
      <c r="C15" s="327"/>
      <c r="D15" s="151"/>
      <c r="E15" s="151"/>
    </row>
    <row r="16" spans="1:5" ht="12" customHeight="1">
      <c r="A16" s="371" t="s">
        <v>325</v>
      </c>
      <c r="B16" s="228" t="s">
        <v>692</v>
      </c>
      <c r="C16" s="327"/>
      <c r="D16" s="151"/>
      <c r="E16" s="151"/>
    </row>
    <row r="17" spans="1:5" ht="12.75">
      <c r="A17" s="371" t="s">
        <v>326</v>
      </c>
      <c r="B17" s="380" t="s">
        <v>688</v>
      </c>
      <c r="C17" s="262"/>
      <c r="D17" s="155"/>
      <c r="E17" s="151"/>
    </row>
    <row r="18" spans="1:5" ht="12.75">
      <c r="A18" s="371" t="s">
        <v>327</v>
      </c>
      <c r="B18" s="834" t="s">
        <v>689</v>
      </c>
      <c r="C18" s="330"/>
      <c r="D18" s="156"/>
      <c r="E18" s="151"/>
    </row>
    <row r="19" spans="1:5" ht="12.75">
      <c r="A19" s="371" t="s">
        <v>328</v>
      </c>
      <c r="B19" s="835" t="s">
        <v>687</v>
      </c>
      <c r="C19" s="330"/>
      <c r="D19" s="152"/>
      <c r="E19" s="151"/>
    </row>
    <row r="20" spans="1:5" ht="12.75">
      <c r="A20" s="371" t="s">
        <v>329</v>
      </c>
      <c r="B20" s="136" t="s">
        <v>957</v>
      </c>
      <c r="C20" s="330"/>
      <c r="D20" s="152"/>
      <c r="E20" s="151"/>
    </row>
    <row r="21" spans="1:5" ht="13.5" thickBot="1">
      <c r="A21" s="371" t="s">
        <v>330</v>
      </c>
      <c r="B21" s="230" t="s">
        <v>694</v>
      </c>
      <c r="C21" s="328"/>
      <c r="D21" s="156"/>
      <c r="E21" s="325"/>
    </row>
    <row r="22" spans="1:5" ht="15" customHeight="1" thickBot="1">
      <c r="A22" s="615" t="s">
        <v>331</v>
      </c>
      <c r="B22" s="616" t="s">
        <v>6</v>
      </c>
      <c r="C22" s="629">
        <f>C8+C9+C10+C11+C13+C21</f>
        <v>14089</v>
      </c>
      <c r="D22" s="629">
        <f>D8+D9+D10+D11+D13+D21</f>
        <v>290431</v>
      </c>
      <c r="E22" s="630">
        <f>E8+E9+E10+E11+E13+E21</f>
        <v>17991</v>
      </c>
    </row>
    <row r="23" spans="1:5" ht="13.5" thickTop="1">
      <c r="A23" s="604"/>
      <c r="B23" s="379"/>
      <c r="C23" s="867"/>
      <c r="D23" s="867"/>
      <c r="E23" s="868"/>
    </row>
    <row r="24" spans="1:5" s="17" customFormat="1" ht="12.75">
      <c r="A24" s="372" t="s">
        <v>332</v>
      </c>
      <c r="B24" s="381" t="s">
        <v>257</v>
      </c>
      <c r="C24" s="329"/>
      <c r="D24" s="154"/>
      <c r="E24" s="154"/>
    </row>
    <row r="25" spans="1:5" ht="12.75">
      <c r="A25" s="371" t="s">
        <v>333</v>
      </c>
      <c r="B25" s="228" t="s">
        <v>695</v>
      </c>
      <c r="C25" s="327"/>
      <c r="D25" s="151">
        <f>'33_sz_ melléklet'!C59</f>
        <v>32</v>
      </c>
      <c r="E25" s="151"/>
    </row>
    <row r="26" spans="1:5" ht="12.75">
      <c r="A26" s="371" t="s">
        <v>334</v>
      </c>
      <c r="B26" s="228" t="s">
        <v>696</v>
      </c>
      <c r="C26" s="262"/>
      <c r="D26" s="262"/>
      <c r="E26" s="155"/>
    </row>
    <row r="27" spans="1:5" ht="12.75">
      <c r="A27" s="371" t="s">
        <v>336</v>
      </c>
      <c r="B27" s="228" t="s">
        <v>697</v>
      </c>
      <c r="C27" s="327">
        <f>C28+C29+C30+C31+C32+C33+C34</f>
        <v>0</v>
      </c>
      <c r="D27" s="327">
        <f>D28+D29+D30+D31+D32+D33+D34</f>
        <v>2400</v>
      </c>
      <c r="E27" s="151">
        <f>E28+E29+E30+E31+E32+E33+E34</f>
        <v>0</v>
      </c>
    </row>
    <row r="28" spans="1:5" ht="12.75">
      <c r="A28" s="371" t="s">
        <v>337</v>
      </c>
      <c r="B28" s="380" t="s">
        <v>698</v>
      </c>
      <c r="C28" s="327"/>
      <c r="D28" s="151"/>
      <c r="E28" s="151"/>
    </row>
    <row r="29" spans="1:5" ht="12.75">
      <c r="A29" s="371" t="s">
        <v>338</v>
      </c>
      <c r="B29" s="380" t="s">
        <v>699</v>
      </c>
      <c r="C29" s="327"/>
      <c r="D29" s="151"/>
      <c r="E29" s="151"/>
    </row>
    <row r="30" spans="1:5" ht="12.75">
      <c r="A30" s="371" t="s">
        <v>339</v>
      </c>
      <c r="B30" s="380" t="s">
        <v>700</v>
      </c>
      <c r="C30" s="327"/>
      <c r="D30" s="151"/>
      <c r="E30" s="151"/>
    </row>
    <row r="31" spans="1:5" ht="12.75">
      <c r="A31" s="371" t="s">
        <v>340</v>
      </c>
      <c r="B31" s="380" t="s">
        <v>701</v>
      </c>
      <c r="C31" s="327"/>
      <c r="D31" s="151"/>
      <c r="E31" s="151"/>
    </row>
    <row r="32" spans="1:5" ht="12.75">
      <c r="A32" s="371" t="s">
        <v>341</v>
      </c>
      <c r="B32" s="834" t="s">
        <v>702</v>
      </c>
      <c r="C32" s="327"/>
      <c r="D32" s="151">
        <f>'11 12 sz_melléklet'!C42</f>
        <v>2400</v>
      </c>
      <c r="E32" s="151"/>
    </row>
    <row r="33" spans="1:5" ht="12.75">
      <c r="A33" s="371" t="s">
        <v>342</v>
      </c>
      <c r="B33" s="309" t="s">
        <v>703</v>
      </c>
      <c r="C33" s="327"/>
      <c r="D33" s="151"/>
      <c r="E33" s="151"/>
    </row>
    <row r="34" spans="1:5" ht="12.75">
      <c r="A34" s="371" t="s">
        <v>343</v>
      </c>
      <c r="B34" s="1091" t="s">
        <v>704</v>
      </c>
      <c r="C34" s="327"/>
      <c r="D34" s="151"/>
      <c r="E34" s="151"/>
    </row>
    <row r="35" spans="1:5" ht="12.75">
      <c r="A35" s="371" t="s">
        <v>344</v>
      </c>
      <c r="B35" s="228"/>
      <c r="C35" s="251"/>
      <c r="D35" s="155"/>
      <c r="E35" s="155"/>
    </row>
    <row r="36" spans="1:5" ht="13.5" thickBot="1">
      <c r="A36" s="371" t="s">
        <v>345</v>
      </c>
      <c r="B36" s="230"/>
      <c r="C36" s="261"/>
      <c r="D36" s="261"/>
      <c r="E36" s="159"/>
    </row>
    <row r="37" spans="1:5" ht="16.5" customHeight="1" thickBot="1">
      <c r="A37" s="615" t="s">
        <v>958</v>
      </c>
      <c r="B37" s="616" t="s">
        <v>7</v>
      </c>
      <c r="C37" s="862">
        <f>C25+C26+C27+C35+C36</f>
        <v>0</v>
      </c>
      <c r="D37" s="862">
        <f>D25+D26+D27+D35+D36</f>
        <v>2432</v>
      </c>
      <c r="E37" s="893">
        <f>E25+E26+E27+E35+E36</f>
        <v>0</v>
      </c>
    </row>
    <row r="38" spans="1:5" ht="27" thickBot="1" thickTop="1">
      <c r="A38" s="615" t="s">
        <v>347</v>
      </c>
      <c r="B38" s="620" t="s">
        <v>503</v>
      </c>
      <c r="C38" s="267">
        <f>C37+C22</f>
        <v>14089</v>
      </c>
      <c r="D38" s="267">
        <f>D37+D22</f>
        <v>292863</v>
      </c>
      <c r="E38" s="272">
        <f>E37+E22</f>
        <v>17991</v>
      </c>
    </row>
    <row r="39" spans="1:5" ht="15" customHeight="1" thickTop="1">
      <c r="A39" s="604"/>
      <c r="B39" s="848"/>
      <c r="C39" s="858"/>
      <c r="D39" s="858"/>
      <c r="E39" s="863"/>
    </row>
    <row r="40" spans="1:5" ht="12.75">
      <c r="A40" s="372" t="s">
        <v>348</v>
      </c>
      <c r="B40" s="485" t="s">
        <v>504</v>
      </c>
      <c r="C40" s="329"/>
      <c r="D40" s="154"/>
      <c r="E40" s="154"/>
    </row>
    <row r="41" spans="1:5" ht="16.5" customHeight="1">
      <c r="A41" s="371" t="s">
        <v>349</v>
      </c>
      <c r="B41" s="229" t="s">
        <v>726</v>
      </c>
      <c r="C41" s="329"/>
      <c r="D41" s="329"/>
      <c r="E41" s="154"/>
    </row>
    <row r="42" spans="1:5" ht="15" customHeight="1">
      <c r="A42" s="371" t="s">
        <v>350</v>
      </c>
      <c r="B42" s="697" t="s">
        <v>724</v>
      </c>
      <c r="C42" s="329"/>
      <c r="D42" s="154"/>
      <c r="E42" s="154"/>
    </row>
    <row r="43" spans="1:5" ht="15" customHeight="1">
      <c r="A43" s="371" t="s">
        <v>351</v>
      </c>
      <c r="B43" s="697" t="s">
        <v>723</v>
      </c>
      <c r="C43" s="262"/>
      <c r="D43" s="155"/>
      <c r="E43" s="155"/>
    </row>
    <row r="44" spans="1:5" ht="12.75">
      <c r="A44" s="371" t="s">
        <v>352</v>
      </c>
      <c r="B44" s="697" t="s">
        <v>725</v>
      </c>
      <c r="C44" s="327"/>
      <c r="D44" s="151"/>
      <c r="E44" s="155"/>
    </row>
    <row r="45" spans="1:5" ht="12.75">
      <c r="A45" s="371" t="s">
        <v>353</v>
      </c>
      <c r="B45" s="836" t="s">
        <v>727</v>
      </c>
      <c r="C45" s="327"/>
      <c r="D45" s="151"/>
      <c r="E45" s="155"/>
    </row>
    <row r="46" spans="1:5" ht="12.75">
      <c r="A46" s="371" t="s">
        <v>354</v>
      </c>
      <c r="B46" s="837" t="s">
        <v>730</v>
      </c>
      <c r="C46" s="252"/>
      <c r="D46" s="151"/>
      <c r="E46" s="155"/>
    </row>
    <row r="47" spans="1:5" ht="12.75">
      <c r="A47" s="371" t="s">
        <v>355</v>
      </c>
      <c r="B47" s="838" t="s">
        <v>729</v>
      </c>
      <c r="C47" s="252"/>
      <c r="D47" s="327"/>
      <c r="E47" s="151"/>
    </row>
    <row r="48" spans="1:5" ht="13.5" thickBot="1">
      <c r="A48" s="371" t="s">
        <v>356</v>
      </c>
      <c r="B48" s="382" t="s">
        <v>728</v>
      </c>
      <c r="C48" s="267"/>
      <c r="D48" s="267"/>
      <c r="E48" s="272"/>
    </row>
    <row r="49" spans="1:5" s="17" customFormat="1" ht="13.5" thickBot="1">
      <c r="A49" s="395" t="s">
        <v>357</v>
      </c>
      <c r="B49" s="315" t="s">
        <v>731</v>
      </c>
      <c r="C49" s="888">
        <f>SUM(C41:C48)</f>
        <v>0</v>
      </c>
      <c r="D49" s="888">
        <f>SUM(D41:D48)</f>
        <v>0</v>
      </c>
      <c r="E49" s="692">
        <f>SUM(E41:E48)</f>
        <v>0</v>
      </c>
    </row>
    <row r="50" spans="1:5" ht="13.5" customHeight="1">
      <c r="A50" s="604"/>
      <c r="B50" s="44"/>
      <c r="C50" s="854"/>
      <c r="D50" s="816"/>
      <c r="E50" s="816"/>
    </row>
    <row r="51" spans="1:5" ht="27" customHeight="1" thickBot="1">
      <c r="A51" s="631" t="s">
        <v>358</v>
      </c>
      <c r="B51" s="846" t="s">
        <v>506</v>
      </c>
      <c r="C51" s="865">
        <f>C38+C49</f>
        <v>14089</v>
      </c>
      <c r="D51" s="865">
        <f>D38+D49</f>
        <v>292863</v>
      </c>
      <c r="E51" s="865">
        <f>E38+E49</f>
        <v>17991</v>
      </c>
    </row>
    <row r="52" spans="1:5" ht="13.5" thickTop="1">
      <c r="A52" s="393"/>
      <c r="B52" s="827"/>
      <c r="C52" s="30"/>
      <c r="D52" s="30"/>
      <c r="E52" s="30"/>
    </row>
    <row r="53" spans="1:5" ht="12.75">
      <c r="A53" s="393"/>
      <c r="B53" s="827"/>
      <c r="C53" s="30"/>
      <c r="D53" s="30"/>
      <c r="E53" s="30"/>
    </row>
    <row r="54" spans="1:5" ht="12.75">
      <c r="A54" s="393"/>
      <c r="B54" s="827"/>
      <c r="C54" s="30"/>
      <c r="D54" s="30"/>
      <c r="E54" s="30"/>
    </row>
    <row r="55" spans="1:5" ht="12.75">
      <c r="A55" s="393"/>
      <c r="B55" s="827"/>
      <c r="C55" s="30"/>
      <c r="D55" s="30"/>
      <c r="E55" s="30"/>
    </row>
    <row r="56" spans="1:5" ht="12.75">
      <c r="A56" s="393"/>
      <c r="B56" s="827"/>
      <c r="C56" s="30"/>
      <c r="D56" s="30"/>
      <c r="E56" s="30"/>
    </row>
    <row r="57" spans="1:5" ht="12.75">
      <c r="A57" s="393"/>
      <c r="B57" s="827"/>
      <c r="C57" s="30"/>
      <c r="D57" s="30"/>
      <c r="E57" s="30"/>
    </row>
    <row r="58" spans="1:5" ht="12.75" customHeight="1">
      <c r="A58" s="393"/>
      <c r="B58" s="827"/>
      <c r="C58" s="828"/>
      <c r="D58" s="828"/>
      <c r="E58" s="828"/>
    </row>
    <row r="59" spans="1:5" ht="12.75" customHeight="1">
      <c r="A59" s="393"/>
      <c r="B59" s="827"/>
      <c r="C59" s="828"/>
      <c r="D59" s="828"/>
      <c r="E59" s="828"/>
    </row>
    <row r="60" spans="1:5" ht="12.75">
      <c r="A60" s="1679">
        <v>2</v>
      </c>
      <c r="B60" s="1679"/>
      <c r="C60" s="1679"/>
      <c r="D60" s="1679"/>
      <c r="E60" s="1679"/>
    </row>
    <row r="61" spans="1:5" ht="12.75">
      <c r="A61" s="1654" t="s">
        <v>1408</v>
      </c>
      <c r="B61" s="1654"/>
      <c r="C61" s="1654"/>
      <c r="D61" s="1654"/>
      <c r="E61" s="1654"/>
    </row>
    <row r="62" spans="1:5" ht="12.75">
      <c r="A62" s="384"/>
      <c r="B62" s="384"/>
      <c r="C62" s="384"/>
      <c r="D62" s="384"/>
      <c r="E62" s="384"/>
    </row>
    <row r="63" spans="1:5" ht="12.75">
      <c r="A63" s="1677" t="s">
        <v>1062</v>
      </c>
      <c r="B63" s="1677"/>
      <c r="C63" s="1677"/>
      <c r="D63" s="1677"/>
      <c r="E63" s="1677"/>
    </row>
    <row r="64" spans="1:5" ht="12.75">
      <c r="A64" s="1677" t="s">
        <v>12</v>
      </c>
      <c r="B64" s="1677"/>
      <c r="C64" s="1677"/>
      <c r="D64" s="1677"/>
      <c r="E64" s="1677"/>
    </row>
    <row r="65" spans="1:5" ht="27" customHeight="1" thickBot="1">
      <c r="A65" s="166"/>
      <c r="B65" s="488"/>
      <c r="C65" s="488"/>
      <c r="D65" s="488"/>
      <c r="E65" s="22" t="s">
        <v>8</v>
      </c>
    </row>
    <row r="66" spans="1:5" ht="27" thickBot="1">
      <c r="A66" s="399" t="s">
        <v>311</v>
      </c>
      <c r="B66" s="610" t="s">
        <v>13</v>
      </c>
      <c r="C66" s="641" t="s">
        <v>965</v>
      </c>
      <c r="D66" s="391" t="s">
        <v>1205</v>
      </c>
      <c r="E66" s="460"/>
    </row>
    <row r="67" spans="1:5" ht="12.75">
      <c r="A67" s="611" t="s">
        <v>312</v>
      </c>
      <c r="B67" s="612" t="s">
        <v>313</v>
      </c>
      <c r="C67" s="621" t="s">
        <v>314</v>
      </c>
      <c r="D67" s="637"/>
      <c r="E67" s="639"/>
    </row>
    <row r="68" spans="1:5" ht="15.75" customHeight="1">
      <c r="A68" s="372" t="s">
        <v>316</v>
      </c>
      <c r="B68" s="379" t="s">
        <v>256</v>
      </c>
      <c r="C68" s="327"/>
      <c r="D68" s="151"/>
      <c r="E68" s="151"/>
    </row>
    <row r="69" spans="1:5" ht="18" customHeight="1">
      <c r="A69" s="371" t="s">
        <v>317</v>
      </c>
      <c r="B69" s="199" t="s">
        <v>681</v>
      </c>
      <c r="C69" s="327">
        <f>4605+362</f>
        <v>4967</v>
      </c>
      <c r="D69" s="151">
        <f>3363</f>
        <v>3363</v>
      </c>
      <c r="E69" s="151"/>
    </row>
    <row r="70" spans="1:5" ht="12" customHeight="1">
      <c r="A70" s="371" t="s">
        <v>318</v>
      </c>
      <c r="B70" s="228" t="s">
        <v>683</v>
      </c>
      <c r="C70" s="327">
        <f>1321+83</f>
        <v>1404</v>
      </c>
      <c r="D70" s="814">
        <v>927</v>
      </c>
      <c r="E70" s="151"/>
    </row>
    <row r="71" spans="1:5" ht="11.25" customHeight="1">
      <c r="A71" s="371" t="s">
        <v>319</v>
      </c>
      <c r="B71" s="228" t="s">
        <v>682</v>
      </c>
      <c r="C71" s="327">
        <f>190+153</f>
        <v>343</v>
      </c>
      <c r="D71" s="151">
        <v>359</v>
      </c>
      <c r="E71" s="151"/>
    </row>
    <row r="72" spans="1:5" ht="12.75">
      <c r="A72" s="371" t="s">
        <v>320</v>
      </c>
      <c r="B72" s="228" t="s">
        <v>684</v>
      </c>
      <c r="C72" s="327"/>
      <c r="D72" s="151"/>
      <c r="E72" s="151"/>
    </row>
    <row r="73" spans="1:5" ht="12.75">
      <c r="A73" s="371" t="s">
        <v>321</v>
      </c>
      <c r="B73" s="228" t="s">
        <v>685</v>
      </c>
      <c r="C73" s="327"/>
      <c r="D73" s="151"/>
      <c r="E73" s="151"/>
    </row>
    <row r="74" spans="1:5" ht="12.75">
      <c r="A74" s="371" t="s">
        <v>322</v>
      </c>
      <c r="B74" s="228" t="s">
        <v>686</v>
      </c>
      <c r="C74" s="327">
        <f>C75+C76+C77+C78+C79+C80+C81</f>
        <v>0</v>
      </c>
      <c r="D74" s="327">
        <f>D75+D76+D77+D78+D79+D80+D81</f>
        <v>64</v>
      </c>
      <c r="E74" s="151">
        <f>E75+E76+E77+E78+E79+E80+E81</f>
        <v>0</v>
      </c>
    </row>
    <row r="75" spans="1:5" ht="12.75">
      <c r="A75" s="371" t="s">
        <v>323</v>
      </c>
      <c r="B75" s="228" t="s">
        <v>690</v>
      </c>
      <c r="C75" s="327"/>
      <c r="D75" s="151">
        <f aca="true" t="shared" si="0" ref="D75:D80">C75+E14+D14+C14</f>
        <v>0</v>
      </c>
      <c r="E75" s="151"/>
    </row>
    <row r="76" spans="1:5" ht="12.75">
      <c r="A76" s="371" t="s">
        <v>324</v>
      </c>
      <c r="B76" s="228" t="s">
        <v>691</v>
      </c>
      <c r="C76" s="327"/>
      <c r="D76" s="151">
        <f t="shared" si="0"/>
        <v>0</v>
      </c>
      <c r="E76" s="151"/>
    </row>
    <row r="77" spans="1:5" ht="12.75">
      <c r="A77" s="371" t="s">
        <v>325</v>
      </c>
      <c r="B77" s="228" t="s">
        <v>692</v>
      </c>
      <c r="C77" s="327"/>
      <c r="D77" s="151">
        <f t="shared" si="0"/>
        <v>0</v>
      </c>
      <c r="E77" s="151"/>
    </row>
    <row r="78" spans="1:5" ht="14.25" customHeight="1">
      <c r="A78" s="371" t="s">
        <v>326</v>
      </c>
      <c r="B78" s="380" t="s">
        <v>688</v>
      </c>
      <c r="C78" s="262"/>
      <c r="D78" s="151">
        <f>'6 7_sz_melléklet'!F53</f>
        <v>64</v>
      </c>
      <c r="E78" s="151"/>
    </row>
    <row r="79" spans="1:5" ht="14.25" customHeight="1">
      <c r="A79" s="371" t="s">
        <v>327</v>
      </c>
      <c r="B79" s="834" t="s">
        <v>689</v>
      </c>
      <c r="C79" s="330"/>
      <c r="D79" s="151">
        <f t="shared" si="0"/>
        <v>0</v>
      </c>
      <c r="E79" s="151"/>
    </row>
    <row r="80" spans="1:5" ht="14.25" customHeight="1">
      <c r="A80" s="371" t="s">
        <v>328</v>
      </c>
      <c r="B80" s="835" t="s">
        <v>687</v>
      </c>
      <c r="C80" s="330"/>
      <c r="D80" s="151">
        <f t="shared" si="0"/>
        <v>0</v>
      </c>
      <c r="E80" s="151"/>
    </row>
    <row r="81" spans="1:5" ht="14.25" customHeight="1">
      <c r="A81" s="371" t="s">
        <v>329</v>
      </c>
      <c r="B81" s="136" t="s">
        <v>957</v>
      </c>
      <c r="C81" s="330"/>
      <c r="D81" s="151"/>
      <c r="E81" s="151"/>
    </row>
    <row r="82" spans="1:5" ht="12" customHeight="1" thickBot="1">
      <c r="A82" s="371" t="s">
        <v>330</v>
      </c>
      <c r="B82" s="230" t="s">
        <v>694</v>
      </c>
      <c r="C82" s="328"/>
      <c r="D82" s="151">
        <f>C82+E21+D21+C21</f>
        <v>0</v>
      </c>
      <c r="E82" s="325">
        <f>' 8 10 sz. melléklet'!D27</f>
        <v>0</v>
      </c>
    </row>
    <row r="83" spans="1:5" ht="13.5" thickBot="1">
      <c r="A83" s="615" t="s">
        <v>331</v>
      </c>
      <c r="B83" s="616" t="s">
        <v>6</v>
      </c>
      <c r="C83" s="629">
        <f>C69+C70+C71+C72+C82+C74</f>
        <v>6714</v>
      </c>
      <c r="D83" s="629">
        <f>D69+D70+D71+D72+D82+D74</f>
        <v>4713</v>
      </c>
      <c r="E83" s="630">
        <f>E69+E70+E71+E72+E74+E82</f>
        <v>0</v>
      </c>
    </row>
    <row r="84" spans="1:5" ht="13.5" thickTop="1">
      <c r="A84" s="604"/>
      <c r="B84" s="379"/>
      <c r="C84" s="867"/>
      <c r="D84" s="867"/>
      <c r="E84" s="868"/>
    </row>
    <row r="85" spans="1:5" ht="12.75">
      <c r="A85" s="372" t="s">
        <v>332</v>
      </c>
      <c r="B85" s="381" t="s">
        <v>257</v>
      </c>
      <c r="C85" s="329"/>
      <c r="D85" s="154"/>
      <c r="E85" s="154"/>
    </row>
    <row r="86" spans="1:5" ht="12.75">
      <c r="A86" s="371" t="s">
        <v>333</v>
      </c>
      <c r="B86" s="228" t="s">
        <v>695</v>
      </c>
      <c r="C86" s="327"/>
      <c r="D86" s="151"/>
      <c r="E86" s="151"/>
    </row>
    <row r="87" spans="1:5" ht="12.75">
      <c r="A87" s="371" t="s">
        <v>334</v>
      </c>
      <c r="B87" s="228" t="s">
        <v>696</v>
      </c>
      <c r="C87" s="262"/>
      <c r="D87" s="151"/>
      <c r="E87" s="155"/>
    </row>
    <row r="88" spans="1:5" ht="12.75">
      <c r="A88" s="371" t="s">
        <v>336</v>
      </c>
      <c r="B88" s="228" t="s">
        <v>697</v>
      </c>
      <c r="C88" s="327">
        <f>C89+C90+C91+C92+C93+C94+C95</f>
        <v>0</v>
      </c>
      <c r="D88" s="327">
        <f>D89+D90+D91+D92+D93+D94+D95</f>
        <v>0</v>
      </c>
      <c r="E88" s="151">
        <f>E89+E90+E91+E92+E93+E94+E95</f>
        <v>0</v>
      </c>
    </row>
    <row r="89" spans="1:5" ht="12.75">
      <c r="A89" s="371" t="s">
        <v>337</v>
      </c>
      <c r="B89" s="380" t="s">
        <v>698</v>
      </c>
      <c r="C89" s="327"/>
      <c r="D89" s="151"/>
      <c r="E89" s="151"/>
    </row>
    <row r="90" spans="1:5" ht="12.75">
      <c r="A90" s="371" t="s">
        <v>338</v>
      </c>
      <c r="B90" s="380" t="s">
        <v>699</v>
      </c>
      <c r="C90" s="327"/>
      <c r="D90" s="151"/>
      <c r="E90" s="151"/>
    </row>
    <row r="91" spans="1:5" ht="12.75">
      <c r="A91" s="371" t="s">
        <v>339</v>
      </c>
      <c r="B91" s="380" t="s">
        <v>700</v>
      </c>
      <c r="C91" s="327"/>
      <c r="D91" s="151"/>
      <c r="E91" s="151"/>
    </row>
    <row r="92" spans="1:5" ht="12.75">
      <c r="A92" s="371" t="s">
        <v>340</v>
      </c>
      <c r="B92" s="380" t="s">
        <v>701</v>
      </c>
      <c r="C92" s="327"/>
      <c r="D92" s="151"/>
      <c r="E92" s="151"/>
    </row>
    <row r="93" spans="1:5" ht="12.75">
      <c r="A93" s="371" t="s">
        <v>341</v>
      </c>
      <c r="B93" s="834" t="s">
        <v>702</v>
      </c>
      <c r="C93" s="327"/>
      <c r="D93" s="151"/>
      <c r="E93" s="151"/>
    </row>
    <row r="94" spans="1:5" ht="12.75">
      <c r="A94" s="371" t="s">
        <v>342</v>
      </c>
      <c r="B94" s="309" t="s">
        <v>703</v>
      </c>
      <c r="C94" s="327"/>
      <c r="D94" s="151"/>
      <c r="E94" s="151"/>
    </row>
    <row r="95" spans="1:5" s="17" customFormat="1" ht="12.75">
      <c r="A95" s="371" t="s">
        <v>343</v>
      </c>
      <c r="B95" s="1091" t="s">
        <v>704</v>
      </c>
      <c r="C95" s="252"/>
      <c r="D95" s="151"/>
      <c r="E95" s="151"/>
    </row>
    <row r="96" spans="1:5" ht="12.75">
      <c r="A96" s="371" t="s">
        <v>344</v>
      </c>
      <c r="B96" s="228"/>
      <c r="C96" s="251"/>
      <c r="D96" s="151"/>
      <c r="E96" s="155"/>
    </row>
    <row r="97" spans="1:5" ht="13.5" thickBot="1">
      <c r="A97" s="371" t="s">
        <v>345</v>
      </c>
      <c r="B97" s="230"/>
      <c r="C97" s="696"/>
      <c r="D97" s="151"/>
      <c r="E97" s="156"/>
    </row>
    <row r="98" spans="1:5" ht="13.5" thickBot="1">
      <c r="A98" s="615" t="s">
        <v>958</v>
      </c>
      <c r="B98" s="616" t="s">
        <v>7</v>
      </c>
      <c r="C98" s="862">
        <f>C86+C87+C88+C96+C97</f>
        <v>0</v>
      </c>
      <c r="D98" s="862">
        <f>D86+D87+D88+D96+D97</f>
        <v>0</v>
      </c>
      <c r="E98" s="893">
        <f>E86+E87+E88+E96+E97</f>
        <v>0</v>
      </c>
    </row>
    <row r="99" spans="1:5" ht="28.5" customHeight="1" thickBot="1" thickTop="1">
      <c r="A99" s="615" t="s">
        <v>347</v>
      </c>
      <c r="B99" s="620" t="s">
        <v>503</v>
      </c>
      <c r="C99" s="267">
        <f>C98+C83</f>
        <v>6714</v>
      </c>
      <c r="D99" s="267">
        <f>D98+D83</f>
        <v>4713</v>
      </c>
      <c r="E99" s="272">
        <f>E98+E83</f>
        <v>0</v>
      </c>
    </row>
    <row r="100" spans="1:5" ht="13.5" thickTop="1">
      <c r="A100" s="604"/>
      <c r="B100" s="848"/>
      <c r="C100" s="858"/>
      <c r="D100" s="858"/>
      <c r="E100" s="863"/>
    </row>
    <row r="101" spans="1:5" ht="12.75">
      <c r="A101" s="372" t="s">
        <v>348</v>
      </c>
      <c r="B101" s="485" t="s">
        <v>504</v>
      </c>
      <c r="C101" s="329"/>
      <c r="D101" s="154"/>
      <c r="E101" s="154"/>
    </row>
    <row r="102" spans="1:5" ht="12.75">
      <c r="A102" s="371" t="s">
        <v>349</v>
      </c>
      <c r="B102" s="229" t="s">
        <v>726</v>
      </c>
      <c r="C102" s="327"/>
      <c r="D102" s="151"/>
      <c r="E102" s="151"/>
    </row>
    <row r="103" spans="1:5" s="17" customFormat="1" ht="12.75">
      <c r="A103" s="371" t="s">
        <v>350</v>
      </c>
      <c r="B103" s="697" t="s">
        <v>724</v>
      </c>
      <c r="C103" s="329"/>
      <c r="D103" s="151"/>
      <c r="E103" s="154"/>
    </row>
    <row r="104" spans="1:5" ht="11.25" customHeight="1">
      <c r="A104" s="371" t="s">
        <v>351</v>
      </c>
      <c r="B104" s="697" t="s">
        <v>723</v>
      </c>
      <c r="C104" s="262"/>
      <c r="D104" s="151"/>
      <c r="E104" s="151"/>
    </row>
    <row r="105" spans="1:5" ht="12.75">
      <c r="A105" s="371" t="s">
        <v>352</v>
      </c>
      <c r="B105" s="697" t="s">
        <v>725</v>
      </c>
      <c r="C105" s="327"/>
      <c r="D105" s="151"/>
      <c r="E105" s="151"/>
    </row>
    <row r="106" spans="1:5" ht="12.75">
      <c r="A106" s="371" t="s">
        <v>353</v>
      </c>
      <c r="B106" s="836" t="s">
        <v>727</v>
      </c>
      <c r="C106" s="327"/>
      <c r="D106" s="151"/>
      <c r="E106" s="151"/>
    </row>
    <row r="107" spans="1:5" ht="12.75">
      <c r="A107" s="371" t="s">
        <v>354</v>
      </c>
      <c r="B107" s="837" t="s">
        <v>730</v>
      </c>
      <c r="C107" s="252"/>
      <c r="D107" s="151"/>
      <c r="E107" s="151"/>
    </row>
    <row r="108" spans="1:5" s="17" customFormat="1" ht="12.75">
      <c r="A108" s="371" t="s">
        <v>355</v>
      </c>
      <c r="B108" s="838" t="s">
        <v>729</v>
      </c>
      <c r="C108" s="252"/>
      <c r="D108" s="151"/>
      <c r="E108" s="151"/>
    </row>
    <row r="109" spans="1:5" ht="13.5" thickBot="1">
      <c r="A109" s="371" t="s">
        <v>356</v>
      </c>
      <c r="B109" s="382" t="s">
        <v>728</v>
      </c>
      <c r="C109" s="267"/>
      <c r="D109" s="151"/>
      <c r="E109" s="272"/>
    </row>
    <row r="110" spans="1:5" ht="13.5" customHeight="1" thickBot="1">
      <c r="A110" s="395" t="s">
        <v>357</v>
      </c>
      <c r="B110" s="315" t="s">
        <v>731</v>
      </c>
      <c r="C110" s="888">
        <f>SUM(C102:C109)</f>
        <v>0</v>
      </c>
      <c r="D110" s="888">
        <f>SUM(D102:D109)</f>
        <v>0</v>
      </c>
      <c r="E110" s="692">
        <f>SUM(E102:E109)</f>
        <v>0</v>
      </c>
    </row>
    <row r="111" spans="1:5" ht="12.75">
      <c r="A111" s="604"/>
      <c r="B111" s="44"/>
      <c r="C111" s="891"/>
      <c r="D111" s="732"/>
      <c r="E111" s="732"/>
    </row>
    <row r="112" spans="1:5" ht="24.75" customHeight="1" thickBot="1">
      <c r="A112" s="631" t="s">
        <v>358</v>
      </c>
      <c r="B112" s="846" t="s">
        <v>506</v>
      </c>
      <c r="C112" s="865">
        <f>C99+C110</f>
        <v>6714</v>
      </c>
      <c r="D112" s="865">
        <f>D99+D110</f>
        <v>4713</v>
      </c>
      <c r="E112" s="865"/>
    </row>
    <row r="113" spans="1:5" ht="24.75" customHeight="1" thickTop="1">
      <c r="A113" s="393"/>
      <c r="B113" s="827"/>
      <c r="C113" s="30"/>
      <c r="D113" s="30"/>
      <c r="E113" s="30"/>
    </row>
    <row r="114" spans="1:5" ht="24.75" customHeight="1">
      <c r="A114" s="393"/>
      <c r="B114" s="827"/>
      <c r="C114" s="30"/>
      <c r="D114" s="30"/>
      <c r="E114" s="30"/>
    </row>
    <row r="115" spans="1:5" s="17" customFormat="1" ht="12.75">
      <c r="A115" s="393"/>
      <c r="B115" s="827"/>
      <c r="C115" s="828"/>
      <c r="D115" s="828"/>
      <c r="E115" s="828"/>
    </row>
    <row r="116" spans="1:5" ht="13.5" customHeight="1">
      <c r="A116" s="1675">
        <v>3</v>
      </c>
      <c r="B116" s="1675"/>
      <c r="C116" s="1675"/>
      <c r="D116" s="1675"/>
      <c r="E116" s="1675"/>
    </row>
    <row r="117" spans="1:5" ht="15" customHeight="1">
      <c r="A117" s="1654" t="s">
        <v>1408</v>
      </c>
      <c r="B117" s="1654"/>
      <c r="C117" s="1654"/>
      <c r="D117" s="1654"/>
      <c r="E117" s="1654"/>
    </row>
    <row r="118" spans="1:5" ht="15" customHeight="1">
      <c r="A118" s="384"/>
      <c r="B118" s="384"/>
      <c r="C118" s="384"/>
      <c r="D118" s="384"/>
      <c r="E118" s="384"/>
    </row>
    <row r="119" spans="1:5" ht="15" customHeight="1">
      <c r="A119" s="1677" t="s">
        <v>1062</v>
      </c>
      <c r="B119" s="1677"/>
      <c r="C119" s="1677"/>
      <c r="D119" s="1677"/>
      <c r="E119" s="1677"/>
    </row>
    <row r="120" spans="1:5" s="17" customFormat="1" ht="12.75">
      <c r="A120" s="1677" t="s">
        <v>12</v>
      </c>
      <c r="B120" s="1677"/>
      <c r="C120" s="1677"/>
      <c r="D120" s="1677"/>
      <c r="E120" s="1677"/>
    </row>
    <row r="121" spans="1:5" ht="17.25" customHeight="1" thickBot="1">
      <c r="A121" s="166"/>
      <c r="B121" s="488"/>
      <c r="C121" s="488"/>
      <c r="D121" s="488"/>
      <c r="E121" s="22" t="s">
        <v>8</v>
      </c>
    </row>
    <row r="122" spans="1:5" ht="39" thickBot="1">
      <c r="A122" s="399" t="s">
        <v>311</v>
      </c>
      <c r="B122" s="610" t="s">
        <v>13</v>
      </c>
      <c r="C122" s="460" t="s">
        <v>1206</v>
      </c>
      <c r="D122" s="460" t="s">
        <v>1154</v>
      </c>
      <c r="E122" s="460" t="s">
        <v>508</v>
      </c>
    </row>
    <row r="123" spans="1:5" ht="12.75">
      <c r="A123" s="611" t="s">
        <v>312</v>
      </c>
      <c r="B123" s="612" t="s">
        <v>313</v>
      </c>
      <c r="C123" s="621" t="s">
        <v>314</v>
      </c>
      <c r="D123" s="637" t="s">
        <v>315</v>
      </c>
      <c r="E123" s="639" t="s">
        <v>335</v>
      </c>
    </row>
    <row r="124" spans="1:5" s="17" customFormat="1" ht="12.75">
      <c r="A124" s="372" t="s">
        <v>316</v>
      </c>
      <c r="B124" s="379" t="s">
        <v>256</v>
      </c>
      <c r="C124" s="327"/>
      <c r="D124" s="151"/>
      <c r="E124" s="151"/>
    </row>
    <row r="125" spans="1:5" ht="12.75">
      <c r="A125" s="371" t="s">
        <v>317</v>
      </c>
      <c r="B125" s="199" t="s">
        <v>681</v>
      </c>
      <c r="C125" s="327">
        <f>E69+D69+C69+E8+D8+C8</f>
        <v>226724</v>
      </c>
      <c r="D125" s="151">
        <f>30216+3378</f>
        <v>33594</v>
      </c>
      <c r="E125" s="151">
        <f>SUM(C125:D125)</f>
        <v>260318</v>
      </c>
    </row>
    <row r="126" spans="1:5" ht="14.25" customHeight="1">
      <c r="A126" s="371" t="s">
        <v>318</v>
      </c>
      <c r="B126" s="228" t="s">
        <v>683</v>
      </c>
      <c r="C126" s="327">
        <f>E70+D70+C70+E9+D9+C9</f>
        <v>67448</v>
      </c>
      <c r="D126" s="151">
        <f>8472+845</f>
        <v>9317</v>
      </c>
      <c r="E126" s="151">
        <f aca="true" t="shared" si="1" ref="E126:E138">SUM(C126:D126)</f>
        <v>76765</v>
      </c>
    </row>
    <row r="127" spans="1:5" s="17" customFormat="1" ht="12.75">
      <c r="A127" s="371" t="s">
        <v>319</v>
      </c>
      <c r="B127" s="228" t="s">
        <v>682</v>
      </c>
      <c r="C127" s="327">
        <f>E71+D71+C71+E10+D10+C10</f>
        <v>39702</v>
      </c>
      <c r="D127" s="151">
        <f>53+205</f>
        <v>258</v>
      </c>
      <c r="E127" s="151">
        <f t="shared" si="1"/>
        <v>39960</v>
      </c>
    </row>
    <row r="128" spans="1:5" ht="12" customHeight="1">
      <c r="A128" s="371" t="s">
        <v>320</v>
      </c>
      <c r="B128" s="228" t="s">
        <v>684</v>
      </c>
      <c r="C128" s="327">
        <f>D72+E72</f>
        <v>0</v>
      </c>
      <c r="D128" s="151"/>
      <c r="E128" s="151">
        <f t="shared" si="1"/>
        <v>0</v>
      </c>
    </row>
    <row r="129" spans="1:5" ht="12.75">
      <c r="A129" s="371" t="s">
        <v>321</v>
      </c>
      <c r="B129" s="228" t="s">
        <v>685</v>
      </c>
      <c r="C129" s="327">
        <f>D73+E73</f>
        <v>0</v>
      </c>
      <c r="D129" s="151"/>
      <c r="E129" s="151">
        <f t="shared" si="1"/>
        <v>0</v>
      </c>
    </row>
    <row r="130" spans="1:5" ht="12.75">
      <c r="A130" s="371" t="s">
        <v>322</v>
      </c>
      <c r="B130" s="228" t="s">
        <v>686</v>
      </c>
      <c r="C130" s="327">
        <f>C131+C132+C133+C134+C135+C136+C137</f>
        <v>64</v>
      </c>
      <c r="D130" s="151"/>
      <c r="E130" s="151">
        <f t="shared" si="1"/>
        <v>64</v>
      </c>
    </row>
    <row r="131" spans="1:5" ht="12.75">
      <c r="A131" s="371" t="s">
        <v>323</v>
      </c>
      <c r="B131" s="228" t="s">
        <v>690</v>
      </c>
      <c r="C131" s="327">
        <f>E75+D75+C75+E14+D14+C14</f>
        <v>0</v>
      </c>
      <c r="D131" s="151"/>
      <c r="E131" s="151">
        <f t="shared" si="1"/>
        <v>0</v>
      </c>
    </row>
    <row r="132" spans="1:5" ht="12.75">
      <c r="A132" s="371" t="s">
        <v>324</v>
      </c>
      <c r="B132" s="228" t="s">
        <v>691</v>
      </c>
      <c r="C132" s="327">
        <f aca="true" t="shared" si="2" ref="C132:C137">E76+D76+C76+E15+D15+C15</f>
        <v>0</v>
      </c>
      <c r="D132" s="151"/>
      <c r="E132" s="151">
        <f t="shared" si="1"/>
        <v>0</v>
      </c>
    </row>
    <row r="133" spans="1:5" ht="15" customHeight="1">
      <c r="A133" s="371" t="s">
        <v>325</v>
      </c>
      <c r="B133" s="228" t="s">
        <v>692</v>
      </c>
      <c r="C133" s="327">
        <f t="shared" si="2"/>
        <v>0</v>
      </c>
      <c r="D133" s="151"/>
      <c r="E133" s="151">
        <f t="shared" si="1"/>
        <v>0</v>
      </c>
    </row>
    <row r="134" spans="1:5" ht="12.75">
      <c r="A134" s="371" t="s">
        <v>326</v>
      </c>
      <c r="B134" s="380" t="s">
        <v>688</v>
      </c>
      <c r="C134" s="327">
        <f t="shared" si="2"/>
        <v>64</v>
      </c>
      <c r="D134" s="155"/>
      <c r="E134" s="151">
        <f t="shared" si="1"/>
        <v>64</v>
      </c>
    </row>
    <row r="135" spans="1:5" ht="14.25" customHeight="1">
      <c r="A135" s="371" t="s">
        <v>327</v>
      </c>
      <c r="B135" s="834" t="s">
        <v>689</v>
      </c>
      <c r="C135" s="327">
        <f t="shared" si="2"/>
        <v>0</v>
      </c>
      <c r="D135" s="152"/>
      <c r="E135" s="151">
        <f t="shared" si="1"/>
        <v>0</v>
      </c>
    </row>
    <row r="136" spans="1:5" ht="12.75" customHeight="1">
      <c r="A136" s="371" t="s">
        <v>328</v>
      </c>
      <c r="B136" s="835" t="s">
        <v>687</v>
      </c>
      <c r="C136" s="327">
        <f t="shared" si="2"/>
        <v>0</v>
      </c>
      <c r="D136" s="152"/>
      <c r="E136" s="151">
        <f t="shared" si="1"/>
        <v>0</v>
      </c>
    </row>
    <row r="137" spans="1:5" ht="12.75" customHeight="1">
      <c r="A137" s="371" t="s">
        <v>329</v>
      </c>
      <c r="B137" s="136" t="s">
        <v>957</v>
      </c>
      <c r="C137" s="327">
        <f t="shared" si="2"/>
        <v>0</v>
      </c>
      <c r="D137" s="152"/>
      <c r="E137" s="151">
        <f t="shared" si="1"/>
        <v>0</v>
      </c>
    </row>
    <row r="138" spans="1:5" ht="13.5" thickBot="1">
      <c r="A138" s="371" t="s">
        <v>330</v>
      </c>
      <c r="B138" s="230" t="s">
        <v>694</v>
      </c>
      <c r="C138" s="327">
        <f>E82+D82+C82+E21+D21+C21</f>
        <v>0</v>
      </c>
      <c r="D138" s="325"/>
      <c r="E138" s="151">
        <f t="shared" si="1"/>
        <v>0</v>
      </c>
    </row>
    <row r="139" spans="1:5" ht="13.5" thickBot="1">
      <c r="A139" s="615" t="s">
        <v>331</v>
      </c>
      <c r="B139" s="616" t="s">
        <v>6</v>
      </c>
      <c r="C139" s="886">
        <f>C125+C126+C127+C128+C130+C138</f>
        <v>333938</v>
      </c>
      <c r="D139" s="886">
        <f>D125+D126+D127+D128+D138</f>
        <v>43169</v>
      </c>
      <c r="E139" s="732">
        <f>E125+E126+E127+E128+E138+E130</f>
        <v>377107</v>
      </c>
    </row>
    <row r="140" spans="1:5" ht="12" customHeight="1" thickTop="1">
      <c r="A140" s="604"/>
      <c r="B140" s="379"/>
      <c r="C140" s="860"/>
      <c r="D140" s="860"/>
      <c r="E140" s="861"/>
    </row>
    <row r="141" spans="1:5" ht="13.5" customHeight="1">
      <c r="A141" s="372" t="s">
        <v>332</v>
      </c>
      <c r="B141" s="381" t="s">
        <v>257</v>
      </c>
      <c r="C141" s="329"/>
      <c r="D141" s="154"/>
      <c r="E141" s="154"/>
    </row>
    <row r="142" spans="1:5" ht="12" customHeight="1">
      <c r="A142" s="371" t="s">
        <v>333</v>
      </c>
      <c r="B142" s="228" t="s">
        <v>695</v>
      </c>
      <c r="C142" s="327">
        <f>E86+D86+C86+E25+D25+C25</f>
        <v>32</v>
      </c>
      <c r="D142" s="151"/>
      <c r="E142" s="151">
        <f>SUM(C142:D142)</f>
        <v>32</v>
      </c>
    </row>
    <row r="143" spans="1:5" ht="12.75">
      <c r="A143" s="371" t="s">
        <v>334</v>
      </c>
      <c r="B143" s="228" t="s">
        <v>696</v>
      </c>
      <c r="C143" s="327">
        <f>E87+D87+C87+E26+D26+C26</f>
        <v>0</v>
      </c>
      <c r="D143" s="262"/>
      <c r="E143" s="151">
        <f aca="true" t="shared" si="3" ref="E143:E151">SUM(C143:D143)</f>
        <v>0</v>
      </c>
    </row>
    <row r="144" spans="1:5" ht="12.75">
      <c r="A144" s="371" t="s">
        <v>336</v>
      </c>
      <c r="B144" s="228" t="s">
        <v>697</v>
      </c>
      <c r="C144" s="327">
        <f>C145+C146+C147+C148+C149+C150</f>
        <v>2400</v>
      </c>
      <c r="D144" s="151"/>
      <c r="E144" s="151">
        <f t="shared" si="3"/>
        <v>2400</v>
      </c>
    </row>
    <row r="145" spans="1:5" ht="12.75">
      <c r="A145" s="371" t="s">
        <v>337</v>
      </c>
      <c r="B145" s="380" t="s">
        <v>698</v>
      </c>
      <c r="C145" s="327">
        <f>E89+D89+C89+E28+D28+C28</f>
        <v>0</v>
      </c>
      <c r="D145" s="151"/>
      <c r="E145" s="151">
        <f t="shared" si="3"/>
        <v>0</v>
      </c>
    </row>
    <row r="146" spans="1:5" ht="12.75">
      <c r="A146" s="371" t="s">
        <v>338</v>
      </c>
      <c r="B146" s="380" t="s">
        <v>699</v>
      </c>
      <c r="C146" s="327">
        <f aca="true" t="shared" si="4" ref="C146:C151">E90+D90+C90+E29+D29+C29</f>
        <v>0</v>
      </c>
      <c r="D146" s="151"/>
      <c r="E146" s="151">
        <f t="shared" si="3"/>
        <v>0</v>
      </c>
    </row>
    <row r="147" spans="1:5" ht="12" customHeight="1">
      <c r="A147" s="371" t="s">
        <v>339</v>
      </c>
      <c r="B147" s="380" t="s">
        <v>700</v>
      </c>
      <c r="C147" s="327">
        <f t="shared" si="4"/>
        <v>0</v>
      </c>
      <c r="D147" s="151"/>
      <c r="E147" s="151">
        <f t="shared" si="3"/>
        <v>0</v>
      </c>
    </row>
    <row r="148" spans="1:5" ht="12" customHeight="1">
      <c r="A148" s="371" t="s">
        <v>340</v>
      </c>
      <c r="B148" s="380" t="s">
        <v>701</v>
      </c>
      <c r="C148" s="327">
        <f t="shared" si="4"/>
        <v>0</v>
      </c>
      <c r="D148" s="151"/>
      <c r="E148" s="151">
        <f t="shared" si="3"/>
        <v>0</v>
      </c>
    </row>
    <row r="149" spans="1:5" ht="12.75">
      <c r="A149" s="371" t="s">
        <v>341</v>
      </c>
      <c r="B149" s="834" t="s">
        <v>702</v>
      </c>
      <c r="C149" s="327">
        <f t="shared" si="4"/>
        <v>2400</v>
      </c>
      <c r="D149" s="151"/>
      <c r="E149" s="151">
        <f t="shared" si="3"/>
        <v>2400</v>
      </c>
    </row>
    <row r="150" spans="1:5" ht="12.75">
      <c r="A150" s="371" t="s">
        <v>342</v>
      </c>
      <c r="B150" s="309" t="s">
        <v>703</v>
      </c>
      <c r="C150" s="327">
        <f t="shared" si="4"/>
        <v>0</v>
      </c>
      <c r="D150" s="151"/>
      <c r="E150" s="151">
        <f t="shared" si="3"/>
        <v>0</v>
      </c>
    </row>
    <row r="151" spans="1:5" ht="12.75">
      <c r="A151" s="371" t="s">
        <v>343</v>
      </c>
      <c r="B151" s="1091" t="s">
        <v>704</v>
      </c>
      <c r="C151" s="327">
        <f t="shared" si="4"/>
        <v>0</v>
      </c>
      <c r="D151" s="262"/>
      <c r="E151" s="151">
        <f t="shared" si="3"/>
        <v>0</v>
      </c>
    </row>
    <row r="152" spans="1:5" ht="12.75">
      <c r="A152" s="371" t="s">
        <v>344</v>
      </c>
      <c r="B152" s="228"/>
      <c r="C152" s="327"/>
      <c r="D152" s="327"/>
      <c r="E152" s="151"/>
    </row>
    <row r="153" spans="1:5" ht="13.5" thickBot="1">
      <c r="A153" s="371" t="s">
        <v>345</v>
      </c>
      <c r="B153" s="230"/>
      <c r="C153" s="327"/>
      <c r="D153" s="261"/>
      <c r="E153" s="151"/>
    </row>
    <row r="154" spans="1:5" ht="13.5" thickBot="1">
      <c r="A154" s="615" t="s">
        <v>958</v>
      </c>
      <c r="B154" s="616" t="s">
        <v>7</v>
      </c>
      <c r="C154" s="886">
        <f>C142+C143+C144+C152+C153</f>
        <v>2432</v>
      </c>
      <c r="D154" s="886">
        <f>D142+D143+D144+D152+D153</f>
        <v>0</v>
      </c>
      <c r="E154" s="732">
        <f>E142+E143+E144+E152+E153</f>
        <v>2432</v>
      </c>
    </row>
    <row r="155" spans="1:5" ht="27" thickBot="1" thickTop="1">
      <c r="A155" s="615" t="s">
        <v>347</v>
      </c>
      <c r="B155" s="620" t="s">
        <v>503</v>
      </c>
      <c r="C155" s="870">
        <f>C154+C139</f>
        <v>336370</v>
      </c>
      <c r="D155" s="870">
        <f>D154+D139</f>
        <v>43169</v>
      </c>
      <c r="E155" s="870">
        <f>E154+E139</f>
        <v>379539</v>
      </c>
    </row>
    <row r="156" spans="1:5" ht="13.5" thickTop="1">
      <c r="A156" s="604"/>
      <c r="B156" s="848"/>
      <c r="C156" s="869"/>
      <c r="D156" s="869"/>
      <c r="E156" s="869"/>
    </row>
    <row r="157" spans="1:5" ht="12.75">
      <c r="A157" s="372" t="s">
        <v>348</v>
      </c>
      <c r="B157" s="485" t="s">
        <v>504</v>
      </c>
      <c r="C157" s="329"/>
      <c r="D157" s="154"/>
      <c r="E157" s="154"/>
    </row>
    <row r="158" spans="1:5" ht="12.75">
      <c r="A158" s="371" t="s">
        <v>349</v>
      </c>
      <c r="B158" s="229" t="s">
        <v>726</v>
      </c>
      <c r="C158" s="327">
        <f aca="true" t="shared" si="5" ref="C158:C165">E102+D102+C102+E41+D41+C41</f>
        <v>0</v>
      </c>
      <c r="D158" s="151"/>
      <c r="E158" s="151"/>
    </row>
    <row r="159" spans="1:5" s="17" customFormat="1" ht="12.75">
      <c r="A159" s="371" t="s">
        <v>350</v>
      </c>
      <c r="B159" s="697" t="s">
        <v>724</v>
      </c>
      <c r="C159" s="327">
        <f t="shared" si="5"/>
        <v>0</v>
      </c>
      <c r="D159" s="327"/>
      <c r="E159" s="151"/>
    </row>
    <row r="160" spans="1:5" ht="12.75">
      <c r="A160" s="371" t="s">
        <v>351</v>
      </c>
      <c r="B160" s="697" t="s">
        <v>723</v>
      </c>
      <c r="C160" s="327">
        <f t="shared" si="5"/>
        <v>0</v>
      </c>
      <c r="D160" s="331"/>
      <c r="E160" s="157"/>
    </row>
    <row r="161" spans="1:5" ht="12.75">
      <c r="A161" s="371" t="s">
        <v>352</v>
      </c>
      <c r="B161" s="697" t="s">
        <v>725</v>
      </c>
      <c r="C161" s="327">
        <f t="shared" si="5"/>
        <v>0</v>
      </c>
      <c r="D161" s="154"/>
      <c r="E161" s="154"/>
    </row>
    <row r="162" spans="1:5" ht="12.75">
      <c r="A162" s="371" t="s">
        <v>353</v>
      </c>
      <c r="B162" s="836" t="s">
        <v>727</v>
      </c>
      <c r="C162" s="327">
        <f t="shared" si="5"/>
        <v>0</v>
      </c>
      <c r="D162" s="151"/>
      <c r="E162" s="151"/>
    </row>
    <row r="163" spans="1:5" ht="12" customHeight="1">
      <c r="A163" s="371" t="s">
        <v>354</v>
      </c>
      <c r="B163" s="837" t="s">
        <v>730</v>
      </c>
      <c r="C163" s="327">
        <f t="shared" si="5"/>
        <v>0</v>
      </c>
      <c r="D163" s="151"/>
      <c r="E163" s="151"/>
    </row>
    <row r="164" spans="1:5" ht="12.75">
      <c r="A164" s="371" t="s">
        <v>355</v>
      </c>
      <c r="B164" s="838" t="s">
        <v>729</v>
      </c>
      <c r="C164" s="327">
        <f t="shared" si="5"/>
        <v>0</v>
      </c>
      <c r="D164" s="329"/>
      <c r="E164" s="154"/>
    </row>
    <row r="165" spans="1:5" ht="13.5" thickBot="1">
      <c r="A165" s="371" t="s">
        <v>356</v>
      </c>
      <c r="B165" s="382" t="s">
        <v>728</v>
      </c>
      <c r="C165" s="327">
        <f t="shared" si="5"/>
        <v>0</v>
      </c>
      <c r="D165" s="272"/>
      <c r="E165" s="272"/>
    </row>
    <row r="166" spans="1:5" ht="13.5" thickBot="1">
      <c r="A166" s="395" t="s">
        <v>357</v>
      </c>
      <c r="B166" s="315" t="s">
        <v>731</v>
      </c>
      <c r="C166" s="266">
        <f>SUM(C158:C165)</f>
        <v>0</v>
      </c>
      <c r="D166" s="158"/>
      <c r="E166" s="153"/>
    </row>
    <row r="167" spans="1:5" ht="10.5" customHeight="1">
      <c r="A167" s="604"/>
      <c r="B167" s="44"/>
      <c r="C167" s="816"/>
      <c r="D167" s="816"/>
      <c r="E167" s="816"/>
    </row>
    <row r="168" spans="1:5" ht="13.5" thickBot="1">
      <c r="A168" s="631" t="s">
        <v>358</v>
      </c>
      <c r="B168" s="846" t="s">
        <v>506</v>
      </c>
      <c r="C168" s="864">
        <f>C166+C155</f>
        <v>336370</v>
      </c>
      <c r="D168" s="864">
        <f>D166+D155</f>
        <v>43169</v>
      </c>
      <c r="E168" s="865">
        <f>E166+E155</f>
        <v>379539</v>
      </c>
    </row>
    <row r="169" ht="13.5" thickTop="1"/>
    <row r="170" s="17" customFormat="1" ht="12.75"/>
    <row r="173" ht="24.75" customHeight="1"/>
    <row r="174" spans="1:5" ht="12.75">
      <c r="A174" s="17"/>
      <c r="B174" s="17"/>
      <c r="C174" s="17"/>
      <c r="D174" s="17"/>
      <c r="E174" s="17"/>
    </row>
    <row r="176" spans="1:5" s="17" customFormat="1" ht="12.75">
      <c r="A176"/>
      <c r="B176"/>
      <c r="C176"/>
      <c r="D176"/>
      <c r="E176"/>
    </row>
    <row r="177" ht="12.75" customHeight="1"/>
    <row r="179" ht="18" customHeight="1"/>
    <row r="180" spans="1:5" s="17" customFormat="1" ht="12.75">
      <c r="A180"/>
      <c r="B180"/>
      <c r="C180"/>
      <c r="D180"/>
      <c r="E180"/>
    </row>
    <row r="181" ht="12" customHeight="1"/>
    <row r="187" spans="1:5" s="17" customFormat="1" ht="12.75">
      <c r="A187"/>
      <c r="B187"/>
      <c r="C187"/>
      <c r="D187"/>
      <c r="E187"/>
    </row>
    <row r="188" ht="16.5" customHeight="1"/>
    <row r="191" spans="1:5" s="17" customFormat="1" ht="12.75">
      <c r="A191"/>
      <c r="B191"/>
      <c r="C191"/>
      <c r="D191"/>
      <c r="E191"/>
    </row>
    <row r="193" spans="1:5" s="17" customFormat="1" ht="20.25" customHeight="1">
      <c r="A193"/>
      <c r="B193"/>
      <c r="C193"/>
      <c r="D193"/>
      <c r="E193"/>
    </row>
    <row r="194" spans="1:5" s="17" customFormat="1" ht="12.75">
      <c r="A194"/>
      <c r="B194"/>
      <c r="C194"/>
      <c r="D194"/>
      <c r="E194"/>
    </row>
    <row r="196" spans="1:5" ht="12.75">
      <c r="A196" s="17"/>
      <c r="B196" s="17"/>
      <c r="C196" s="17"/>
      <c r="D196" s="17"/>
      <c r="E196" s="17"/>
    </row>
    <row r="198" ht="6.75" customHeight="1"/>
    <row r="199" ht="18" customHeight="1"/>
    <row r="200" ht="10.5" customHeight="1"/>
    <row r="205" ht="51" customHeight="1"/>
    <row r="206" ht="10.5" customHeight="1"/>
    <row r="207" ht="15.75" customHeight="1"/>
    <row r="208" ht="12" customHeight="1"/>
    <row r="216" spans="1:5" s="17" customFormat="1" ht="12.75">
      <c r="A216"/>
      <c r="B216"/>
      <c r="C216"/>
      <c r="D216"/>
      <c r="E216"/>
    </row>
    <row r="217" ht="15" customHeight="1"/>
    <row r="219" ht="4.5" customHeight="1"/>
    <row r="221" ht="11.25" customHeight="1"/>
    <row r="223" ht="14.25" customHeight="1"/>
    <row r="225" spans="1:5" ht="11.25" customHeight="1">
      <c r="A225" s="17"/>
      <c r="B225" s="17"/>
      <c r="C225" s="17"/>
      <c r="D225" s="17"/>
      <c r="E225" s="17"/>
    </row>
    <row r="230" ht="3.75" customHeight="1"/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5" ht="24.75" customHeight="1"/>
    <row r="236" ht="6" customHeight="1"/>
    <row r="238" spans="1:2" ht="10.5" customHeight="1">
      <c r="A238" s="17"/>
      <c r="B238" s="17"/>
    </row>
    <row r="239" spans="1:2" ht="12.75" customHeight="1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3" ht="4.5" customHeight="1"/>
    <row r="245" spans="1:5" s="17" customFormat="1" ht="6.75" customHeight="1">
      <c r="A245"/>
      <c r="B245"/>
      <c r="C245"/>
      <c r="D245"/>
      <c r="E245"/>
    </row>
    <row r="250" ht="7.5" customHeight="1"/>
    <row r="252" spans="1:5" s="17" customFormat="1" ht="12.75">
      <c r="A252"/>
      <c r="B252"/>
      <c r="C252"/>
      <c r="D252"/>
      <c r="E252"/>
    </row>
    <row r="253" spans="1:5" s="17" customFormat="1" ht="12.75">
      <c r="A253"/>
      <c r="B253"/>
      <c r="C253"/>
      <c r="D253"/>
      <c r="E253"/>
    </row>
    <row r="255" ht="9" customHeight="1"/>
    <row r="256" ht="19.5" customHeight="1"/>
    <row r="257" ht="19.5" customHeight="1"/>
    <row r="258" ht="12" customHeight="1"/>
    <row r="259" spans="3:5" ht="12.75">
      <c r="C259" s="17"/>
      <c r="D259" s="17"/>
      <c r="E259" s="17"/>
    </row>
    <row r="262" ht="42" customHeight="1"/>
    <row r="263" ht="9.75" customHeight="1"/>
    <row r="267" spans="3:5" ht="12" customHeight="1">
      <c r="C267" s="17"/>
      <c r="D267" s="17"/>
      <c r="E267" s="17"/>
    </row>
    <row r="272" spans="3:5" ht="12.75">
      <c r="C272" s="17"/>
      <c r="D272" s="17"/>
      <c r="E272" s="17"/>
    </row>
    <row r="276" ht="8.25" customHeight="1"/>
    <row r="277" spans="3:5" ht="12.75">
      <c r="C277" s="17"/>
      <c r="D277" s="17"/>
      <c r="E277" s="17"/>
    </row>
    <row r="279" spans="1:5" s="17" customFormat="1" ht="12.75">
      <c r="A279"/>
      <c r="B279"/>
      <c r="C279"/>
      <c r="D279"/>
      <c r="E279"/>
    </row>
    <row r="280" ht="12" customHeight="1"/>
    <row r="281" spans="3:5" ht="12.75">
      <c r="C281" s="17"/>
      <c r="D281" s="17"/>
      <c r="E281" s="17"/>
    </row>
    <row r="285" spans="3:5" ht="12.75">
      <c r="C285" s="17"/>
      <c r="D285" s="17"/>
      <c r="E285" s="17"/>
    </row>
    <row r="286" ht="12.75" customHeight="1"/>
    <row r="287" spans="1:2" s="17" customFormat="1" ht="6" customHeight="1">
      <c r="A287"/>
      <c r="B287"/>
    </row>
    <row r="288" ht="26.25" customHeight="1"/>
    <row r="289" ht="10.5" customHeight="1"/>
    <row r="292" spans="1:2" s="17" customFormat="1" ht="12.75">
      <c r="A292"/>
      <c r="B292"/>
    </row>
    <row r="293" ht="6" customHeight="1"/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1:2" s="17" customFormat="1" ht="12.75">
      <c r="A297"/>
      <c r="B297"/>
    </row>
    <row r="298" spans="3:5" ht="12.75" customHeight="1">
      <c r="C298" s="17"/>
      <c r="D298" s="17"/>
      <c r="E298" s="17"/>
    </row>
    <row r="299" spans="3:5" ht="12.75">
      <c r="C299" s="17"/>
      <c r="D299" s="17"/>
      <c r="E299" s="17"/>
    </row>
    <row r="300" spans="3:5" ht="8.25" customHeight="1">
      <c r="C300" s="17"/>
      <c r="D300" s="17"/>
      <c r="E300" s="17"/>
    </row>
    <row r="301" spans="1:2" s="17" customFormat="1" ht="12.75">
      <c r="A301"/>
      <c r="B301"/>
    </row>
    <row r="302" spans="3:5" ht="8.25" customHeight="1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1:2" s="17" customFormat="1" ht="12.75">
      <c r="A305"/>
      <c r="B305"/>
    </row>
    <row r="306" spans="3:5" ht="12.75">
      <c r="C306" s="17"/>
      <c r="D306" s="17"/>
      <c r="E306" s="17"/>
    </row>
    <row r="307" spans="1:2" s="17" customFormat="1" ht="4.5" customHeight="1">
      <c r="A307"/>
      <c r="B30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1:2" s="17" customFormat="1" ht="6" customHeight="1">
      <c r="A312"/>
      <c r="B312"/>
    </row>
    <row r="313" spans="3:5" ht="18" customHeight="1">
      <c r="C313" s="17"/>
      <c r="D313" s="17"/>
      <c r="E313" s="17"/>
    </row>
    <row r="314" spans="3:5" ht="14.25" customHeight="1">
      <c r="C314" s="17"/>
      <c r="D314" s="17"/>
      <c r="E314" s="17"/>
    </row>
    <row r="315" spans="1:2" s="17" customFormat="1" ht="12.75">
      <c r="A315"/>
      <c r="B315"/>
    </row>
    <row r="316" spans="1:2" s="17" customFormat="1" ht="12.75">
      <c r="A316"/>
      <c r="B316"/>
    </row>
    <row r="317" spans="1:2" s="17" customFormat="1" ht="12.75">
      <c r="A317"/>
      <c r="B317"/>
    </row>
    <row r="318" spans="1:2" s="17" customFormat="1" ht="12.75">
      <c r="A318"/>
      <c r="B318"/>
    </row>
    <row r="319" spans="1:2" s="17" customFormat="1" ht="39" customHeight="1">
      <c r="A319"/>
      <c r="B319"/>
    </row>
    <row r="320" spans="1:2" s="17" customFormat="1" ht="12.75">
      <c r="A320"/>
      <c r="B320"/>
    </row>
    <row r="321" spans="1:2" s="17" customFormat="1" ht="12.75">
      <c r="A321"/>
      <c r="B321"/>
    </row>
    <row r="322" spans="1:2" s="17" customFormat="1" ht="12.75">
      <c r="A322"/>
      <c r="B322"/>
    </row>
    <row r="323" spans="1:2" s="17" customFormat="1" ht="12.75">
      <c r="A323"/>
      <c r="B323"/>
    </row>
    <row r="324" spans="1:2" s="17" customFormat="1" ht="12.75">
      <c r="A324"/>
      <c r="B324"/>
    </row>
    <row r="325" spans="1:2" s="17" customFormat="1" ht="12.75">
      <c r="A325"/>
      <c r="B325"/>
    </row>
    <row r="326" spans="1:2" s="17" customFormat="1" ht="12.75">
      <c r="A326"/>
      <c r="B326"/>
    </row>
    <row r="327" spans="1:2" s="17" customFormat="1" ht="12.75">
      <c r="A327"/>
      <c r="B327"/>
    </row>
    <row r="328" spans="1:2" s="17" customFormat="1" ht="12.75">
      <c r="A328"/>
      <c r="B328"/>
    </row>
    <row r="329" spans="1:2" s="17" customFormat="1" ht="12.75">
      <c r="A329"/>
      <c r="B329"/>
    </row>
    <row r="330" spans="1:2" s="17" customFormat="1" ht="12.75">
      <c r="A330"/>
      <c r="B330"/>
    </row>
    <row r="331" spans="1:2" s="17" customFormat="1" ht="12.75">
      <c r="A331"/>
      <c r="B331"/>
    </row>
    <row r="332" spans="1:2" s="17" customFormat="1" ht="15.75" customHeight="1">
      <c r="A332"/>
      <c r="B332"/>
    </row>
    <row r="333" spans="1:2" s="17" customFormat="1" ht="6" customHeight="1">
      <c r="A333"/>
      <c r="B333"/>
    </row>
    <row r="334" spans="1:2" s="17" customFormat="1" ht="12.75">
      <c r="A334"/>
      <c r="B334"/>
    </row>
    <row r="335" spans="1:2" s="17" customFormat="1" ht="12.75">
      <c r="A335"/>
      <c r="B335"/>
    </row>
    <row r="336" spans="1:2" s="17" customFormat="1" ht="12.75">
      <c r="A336"/>
      <c r="B336"/>
    </row>
    <row r="337" spans="1:2" s="17" customFormat="1" ht="12.75">
      <c r="A337"/>
      <c r="B337"/>
    </row>
    <row r="338" spans="1:2" s="17" customFormat="1" ht="12.75">
      <c r="A338"/>
      <c r="B338"/>
    </row>
    <row r="339" spans="1:2" s="17" customFormat="1" ht="12.75">
      <c r="A339"/>
      <c r="B339"/>
    </row>
    <row r="340" spans="1:2" s="17" customFormat="1" ht="12.75">
      <c r="A340"/>
      <c r="B340"/>
    </row>
    <row r="341" spans="1:2" s="17" customFormat="1" ht="12.75">
      <c r="A341"/>
      <c r="B341"/>
    </row>
    <row r="342" spans="1:5" s="17" customFormat="1" ht="12.75">
      <c r="A342"/>
      <c r="B342"/>
      <c r="C342"/>
      <c r="D342"/>
      <c r="E342"/>
    </row>
    <row r="343" spans="1:5" s="17" customFormat="1" ht="13.5" customHeight="1">
      <c r="A343"/>
      <c r="B343"/>
      <c r="C343"/>
      <c r="D343"/>
      <c r="E343"/>
    </row>
    <row r="344" spans="1:5" s="17" customFormat="1" ht="7.5" customHeight="1">
      <c r="A344"/>
      <c r="B344"/>
      <c r="C344"/>
      <c r="D344"/>
      <c r="E344"/>
    </row>
    <row r="345" spans="1:5" s="17" customFormat="1" ht="12.75">
      <c r="A345"/>
      <c r="B345"/>
      <c r="C345"/>
      <c r="D345"/>
      <c r="E345"/>
    </row>
    <row r="346" spans="1:5" s="17" customFormat="1" ht="12.75">
      <c r="A346"/>
      <c r="B346"/>
      <c r="C346"/>
      <c r="D346"/>
      <c r="E346"/>
    </row>
    <row r="347" spans="1:5" s="17" customFormat="1" ht="12.75">
      <c r="A347"/>
      <c r="B347"/>
      <c r="C347"/>
      <c r="D347"/>
      <c r="E347"/>
    </row>
    <row r="348" spans="1:5" s="17" customFormat="1" ht="12.75">
      <c r="A348"/>
      <c r="B348"/>
      <c r="C348"/>
      <c r="D348"/>
      <c r="E348"/>
    </row>
    <row r="349" spans="1:5" s="17" customFormat="1" ht="27.75" customHeight="1">
      <c r="A349"/>
      <c r="B349"/>
      <c r="C349"/>
      <c r="D349"/>
      <c r="E349"/>
    </row>
    <row r="350" spans="1:5" s="17" customFormat="1" ht="5.25" customHeight="1">
      <c r="A350"/>
      <c r="B350"/>
      <c r="C350"/>
      <c r="D350"/>
      <c r="E350"/>
    </row>
    <row r="351" spans="1:5" s="17" customFormat="1" ht="12.75">
      <c r="A351"/>
      <c r="B351"/>
      <c r="C351"/>
      <c r="D351"/>
      <c r="E351"/>
    </row>
    <row r="352" spans="1:5" s="17" customFormat="1" ht="12.75">
      <c r="A352"/>
      <c r="B352"/>
      <c r="C352"/>
      <c r="D352"/>
      <c r="E352"/>
    </row>
    <row r="353" spans="1:5" s="17" customFormat="1" ht="12.75">
      <c r="A353"/>
      <c r="B353"/>
      <c r="C353"/>
      <c r="D353"/>
      <c r="E353"/>
    </row>
    <row r="354" spans="1:5" s="17" customFormat="1" ht="12.75">
      <c r="A354"/>
      <c r="B354"/>
      <c r="C354"/>
      <c r="D354"/>
      <c r="E354"/>
    </row>
    <row r="355" spans="1:5" s="17" customFormat="1" ht="12.75">
      <c r="A355"/>
      <c r="B355"/>
      <c r="C355"/>
      <c r="D355"/>
      <c r="E355"/>
    </row>
    <row r="356" spans="1:5" s="17" customFormat="1" ht="17.25" customHeight="1">
      <c r="A356"/>
      <c r="B356"/>
      <c r="C356"/>
      <c r="D356"/>
      <c r="E356"/>
    </row>
    <row r="357" spans="1:5" s="17" customFormat="1" ht="6" customHeight="1">
      <c r="A357"/>
      <c r="B357"/>
      <c r="C357"/>
      <c r="D357"/>
      <c r="E357"/>
    </row>
    <row r="358" spans="1:5" s="17" customFormat="1" ht="25.5" customHeight="1">
      <c r="A358"/>
      <c r="B358"/>
      <c r="C358"/>
      <c r="D358"/>
      <c r="E358"/>
    </row>
    <row r="359" spans="1:5" s="17" customFormat="1" ht="4.5" customHeight="1">
      <c r="A359"/>
      <c r="B359"/>
      <c r="C359"/>
      <c r="D359"/>
      <c r="E359"/>
    </row>
    <row r="360" spans="1:5" s="17" customFormat="1" ht="12.75">
      <c r="A360"/>
      <c r="B360"/>
      <c r="C360"/>
      <c r="D360"/>
      <c r="E360"/>
    </row>
    <row r="361" spans="1:5" s="17" customFormat="1" ht="12.75">
      <c r="A361"/>
      <c r="B361"/>
      <c r="C361"/>
      <c r="D361"/>
      <c r="E361"/>
    </row>
    <row r="362" spans="1:7" s="17" customFormat="1" ht="12.75">
      <c r="A362"/>
      <c r="B362"/>
      <c r="C362"/>
      <c r="D362"/>
      <c r="E362"/>
      <c r="F362"/>
      <c r="G362"/>
    </row>
    <row r="363" spans="1:7" s="17" customFormat="1" ht="18" customHeight="1">
      <c r="A363"/>
      <c r="B363"/>
      <c r="C363"/>
      <c r="D363"/>
      <c r="E363"/>
      <c r="F363"/>
      <c r="G363"/>
    </row>
    <row r="364" spans="1:7" s="17" customFormat="1" ht="4.5" customHeight="1">
      <c r="A364"/>
      <c r="B364"/>
      <c r="C364"/>
      <c r="D364"/>
      <c r="E364"/>
      <c r="F364"/>
      <c r="G364"/>
    </row>
    <row r="365" spans="1:7" s="17" customFormat="1" ht="12.75">
      <c r="A365"/>
      <c r="B365"/>
      <c r="C365"/>
      <c r="D365"/>
      <c r="E365"/>
      <c r="F365"/>
      <c r="G365"/>
    </row>
    <row r="366" spans="1:7" s="17" customFormat="1" ht="12.75">
      <c r="A366"/>
      <c r="B366"/>
      <c r="C366"/>
      <c r="D366"/>
      <c r="E366"/>
      <c r="F366"/>
      <c r="G366"/>
    </row>
    <row r="367" spans="1:7" s="17" customFormat="1" ht="12.75">
      <c r="A367"/>
      <c r="B367" s="1"/>
      <c r="C367" s="1"/>
      <c r="D367" s="1"/>
      <c r="E367" s="1"/>
      <c r="F367"/>
      <c r="G367"/>
    </row>
    <row r="368" spans="1:7" s="17" customFormat="1" ht="12.75" customHeight="1">
      <c r="A368"/>
      <c r="B368" s="1"/>
      <c r="C368" s="1"/>
      <c r="D368" s="1"/>
      <c r="E368" s="1"/>
      <c r="F368"/>
      <c r="G368"/>
    </row>
    <row r="369" spans="1:7" s="17" customFormat="1" ht="7.5" customHeight="1">
      <c r="A369"/>
      <c r="B369" s="1"/>
      <c r="C369" s="1"/>
      <c r="D369" s="1"/>
      <c r="E369" s="1"/>
      <c r="F369"/>
      <c r="G369"/>
    </row>
    <row r="370" spans="1:7" s="17" customFormat="1" ht="14.25" customHeight="1">
      <c r="A370"/>
      <c r="B370" s="1"/>
      <c r="C370" s="1"/>
      <c r="D370" s="1"/>
      <c r="E370" s="1"/>
      <c r="F370"/>
      <c r="G370"/>
    </row>
    <row r="371" spans="1:7" s="17" customFormat="1" ht="12.75">
      <c r="A371"/>
      <c r="B371" s="1"/>
      <c r="C371" s="1"/>
      <c r="D371" s="1"/>
      <c r="E371" s="1"/>
      <c r="F371"/>
      <c r="G371"/>
    </row>
    <row r="372" spans="2:5" ht="12.75">
      <c r="B372" s="1"/>
      <c r="C372" s="1"/>
      <c r="D372" s="1"/>
      <c r="E372" s="1"/>
    </row>
    <row r="376" ht="24.75" customHeight="1"/>
    <row r="387" spans="6:7" ht="12.75">
      <c r="F387" s="1"/>
      <c r="G387" s="1"/>
    </row>
    <row r="388" spans="6:7" ht="12.75">
      <c r="F388" s="1"/>
      <c r="G388" s="1"/>
    </row>
    <row r="389" spans="6:7" ht="12.75" customHeight="1">
      <c r="F389" s="1"/>
      <c r="G389" s="1"/>
    </row>
    <row r="390" spans="6:7" ht="6" customHeight="1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400" ht="14.25" customHeight="1"/>
    <row r="401" ht="5.25" customHeight="1"/>
    <row r="406" ht="24" customHeight="1"/>
    <row r="407" ht="5.25" customHeight="1"/>
    <row r="413" ht="12" customHeight="1"/>
    <row r="414" ht="4.5" customHeight="1"/>
    <row r="415" ht="30" customHeight="1"/>
    <row r="416" ht="8.25" customHeight="1"/>
    <row r="420" ht="15" customHeight="1"/>
    <row r="421" ht="7.5" customHeight="1"/>
    <row r="425" ht="12" customHeight="1"/>
    <row r="426" ht="8.25" customHeight="1"/>
  </sheetData>
  <sheetProtection/>
  <mergeCells count="11">
    <mergeCell ref="A120:E120"/>
    <mergeCell ref="A119:E119"/>
    <mergeCell ref="A117:E117"/>
    <mergeCell ref="A116:E116"/>
    <mergeCell ref="A63:E63"/>
    <mergeCell ref="A64:E64"/>
    <mergeCell ref="A1:E1"/>
    <mergeCell ref="A2:E2"/>
    <mergeCell ref="A3:E3"/>
    <mergeCell ref="A61:E61"/>
    <mergeCell ref="A60:E6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654" t="s">
        <v>1409</v>
      </c>
      <c r="B1" s="1654"/>
      <c r="C1" s="1654"/>
      <c r="D1" s="1654"/>
      <c r="E1" s="1654"/>
      <c r="F1" s="1654"/>
    </row>
    <row r="2" spans="2:6" ht="12.75">
      <c r="B2" s="22"/>
      <c r="C2" s="22"/>
      <c r="D2" s="22"/>
      <c r="E2" s="22"/>
      <c r="F2" s="22"/>
    </row>
    <row r="3" spans="1:6" ht="15" customHeight="1">
      <c r="A3" s="1674" t="s">
        <v>732</v>
      </c>
      <c r="B3" s="1675"/>
      <c r="C3" s="1675"/>
      <c r="D3" s="1675"/>
      <c r="E3" s="1675"/>
      <c r="F3" s="1675"/>
    </row>
    <row r="4" spans="2:6" ht="13.5" thickBot="1">
      <c r="B4" s="1680" t="s">
        <v>4</v>
      </c>
      <c r="C4" s="1680"/>
      <c r="D4" s="1680"/>
      <c r="E4" s="1680"/>
      <c r="F4" s="1680"/>
    </row>
    <row r="5" spans="1:6" ht="27" customHeight="1" thickBot="1">
      <c r="A5" s="399" t="s">
        <v>311</v>
      </c>
      <c r="B5" s="177" t="s">
        <v>23</v>
      </c>
      <c r="C5" s="411" t="s">
        <v>24</v>
      </c>
      <c r="D5" s="412" t="s">
        <v>952</v>
      </c>
      <c r="E5" s="391" t="s">
        <v>39</v>
      </c>
      <c r="F5" s="389" t="s">
        <v>406</v>
      </c>
    </row>
    <row r="6" spans="1:6" ht="14.25" customHeight="1" thickBot="1">
      <c r="A6" s="385" t="s">
        <v>312</v>
      </c>
      <c r="B6" s="404" t="s">
        <v>313</v>
      </c>
      <c r="C6" s="405" t="s">
        <v>314</v>
      </c>
      <c r="D6" s="406" t="s">
        <v>315</v>
      </c>
      <c r="E6" s="654" t="s">
        <v>335</v>
      </c>
      <c r="F6" s="653" t="s">
        <v>360</v>
      </c>
    </row>
    <row r="7" spans="1:66" s="40" customFormat="1" ht="13.5" thickBot="1">
      <c r="A7" s="429" t="s">
        <v>316</v>
      </c>
      <c r="B7" s="172" t="s">
        <v>1320</v>
      </c>
      <c r="C7" s="430"/>
      <c r="D7" s="652"/>
      <c r="E7" s="1502">
        <f>7235+'17 18 sz_melléklet'!C41+'17 18 sz_melléklet'!C42+'17 18 sz_melléklet'!C44+'17 18 sz_melléklet'!C45+'17 18 sz_melléklet'!C49+'17 18 sz_melléklet'!C50+'19 21_sz_ melléklet'!C82+18240+4153+8872+'17 18 sz_melléklet'!C56+5054+7646+2534+1546+2512+2622+8607+2741</f>
        <v>242039</v>
      </c>
      <c r="F7" s="593">
        <f aca="true" t="shared" si="0" ref="F7:F14">SUM(C7:E7)</f>
        <v>242039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12.75">
      <c r="A8" s="415" t="s">
        <v>317</v>
      </c>
      <c r="B8" s="172" t="s">
        <v>1210</v>
      </c>
      <c r="C8" s="169"/>
      <c r="D8" s="170"/>
      <c r="E8" s="655">
        <v>1200</v>
      </c>
      <c r="F8" s="593">
        <f t="shared" si="0"/>
        <v>1200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>
      <c r="A9" s="415" t="s">
        <v>318</v>
      </c>
      <c r="B9" s="172" t="s">
        <v>495</v>
      </c>
      <c r="C9" s="5"/>
      <c r="D9" s="171"/>
      <c r="E9" s="655">
        <v>216</v>
      </c>
      <c r="F9" s="593">
        <f t="shared" si="0"/>
        <v>216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2.75">
      <c r="A10" s="415" t="s">
        <v>319</v>
      </c>
      <c r="B10" s="172" t="s">
        <v>1321</v>
      </c>
      <c r="C10" s="5"/>
      <c r="D10" s="171"/>
      <c r="E10" s="655">
        <v>800</v>
      </c>
      <c r="F10" s="593">
        <f t="shared" si="0"/>
        <v>800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ht="12.75">
      <c r="A11" s="415" t="s">
        <v>320</v>
      </c>
      <c r="B11" s="172" t="s">
        <v>1322</v>
      </c>
      <c r="C11" s="5"/>
      <c r="D11" s="171"/>
      <c r="E11" s="655">
        <v>89</v>
      </c>
      <c r="F11" s="593">
        <f t="shared" si="0"/>
        <v>89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ht="12.75">
      <c r="A12" s="415" t="s">
        <v>321</v>
      </c>
      <c r="B12" s="172" t="s">
        <v>1323</v>
      </c>
      <c r="C12" s="5"/>
      <c r="D12" s="171"/>
      <c r="E12" s="655">
        <v>11177</v>
      </c>
      <c r="F12" s="593">
        <f t="shared" si="0"/>
        <v>11177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ht="13.5" thickBot="1">
      <c r="A13" s="415" t="s">
        <v>322</v>
      </c>
      <c r="B13" s="651" t="s">
        <v>1336</v>
      </c>
      <c r="C13" s="5">
        <v>13938</v>
      </c>
      <c r="D13" s="171"/>
      <c r="E13" s="655"/>
      <c r="F13" s="593">
        <f t="shared" si="0"/>
        <v>13938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" s="17" customFormat="1" ht="13.5" thickBot="1">
      <c r="A14" s="415" t="s">
        <v>323</v>
      </c>
      <c r="B14" s="315" t="s">
        <v>26</v>
      </c>
      <c r="C14" s="409">
        <f>SUM(C7:C13)</f>
        <v>13938</v>
      </c>
      <c r="D14" s="410">
        <f>SUM(D7:D13)</f>
        <v>0</v>
      </c>
      <c r="E14" s="318">
        <f>SUM(E7:E13)</f>
        <v>255521</v>
      </c>
      <c r="F14" s="318">
        <f t="shared" si="0"/>
        <v>269459</v>
      </c>
    </row>
    <row r="15" spans="1:6" s="17" customFormat="1" ht="12.75">
      <c r="A15" s="393"/>
      <c r="B15" s="44"/>
      <c r="C15" s="414"/>
      <c r="D15" s="414"/>
      <c r="E15" s="414"/>
      <c r="F15" s="414"/>
    </row>
    <row r="16" spans="1:6" s="17" customFormat="1" ht="15.75">
      <c r="A16" s="1674" t="s">
        <v>953</v>
      </c>
      <c r="B16" s="1675"/>
      <c r="C16" s="1675"/>
      <c r="D16" s="1675"/>
      <c r="E16" s="1675"/>
      <c r="F16" s="1675"/>
    </row>
    <row r="17" spans="1:6" s="17" customFormat="1" ht="13.5" thickBot="1">
      <c r="A17"/>
      <c r="B17" s="1680" t="s">
        <v>4</v>
      </c>
      <c r="C17" s="1680"/>
      <c r="D17" s="1680"/>
      <c r="E17" s="1680"/>
      <c r="F17" s="1680"/>
    </row>
    <row r="18" spans="1:6" s="17" customFormat="1" ht="34.5" thickBot="1">
      <c r="A18" s="399" t="s">
        <v>311</v>
      </c>
      <c r="B18" s="177" t="s">
        <v>23</v>
      </c>
      <c r="C18" s="411" t="s">
        <v>24</v>
      </c>
      <c r="D18" s="412" t="s">
        <v>952</v>
      </c>
      <c r="E18" s="391" t="s">
        <v>39</v>
      </c>
      <c r="F18" s="389" t="s">
        <v>406</v>
      </c>
    </row>
    <row r="19" spans="1:6" s="17" customFormat="1" ht="12.75">
      <c r="A19" s="871" t="s">
        <v>312</v>
      </c>
      <c r="B19" s="1146" t="s">
        <v>313</v>
      </c>
      <c r="C19" s="654" t="s">
        <v>314</v>
      </c>
      <c r="D19" s="653" t="s">
        <v>315</v>
      </c>
      <c r="E19" s="653" t="s">
        <v>335</v>
      </c>
      <c r="F19" s="653" t="s">
        <v>360</v>
      </c>
    </row>
    <row r="20" spans="1:6" s="17" customFormat="1" ht="12.75">
      <c r="A20" s="766" t="s">
        <v>316</v>
      </c>
      <c r="B20" s="602" t="s">
        <v>954</v>
      </c>
      <c r="C20" s="655"/>
      <c r="D20" s="875"/>
      <c r="E20" s="875">
        <v>143</v>
      </c>
      <c r="F20" s="875">
        <f>SUM(C20:E20)</f>
        <v>143</v>
      </c>
    </row>
    <row r="21" spans="1:6" s="17" customFormat="1" ht="13.5" thickBot="1">
      <c r="A21" s="766" t="s">
        <v>317</v>
      </c>
      <c r="B21" s="161" t="s">
        <v>1316</v>
      </c>
      <c r="C21" s="655"/>
      <c r="D21" s="875"/>
      <c r="E21" s="875">
        <v>0</v>
      </c>
      <c r="F21" s="875">
        <f>SUM(C21:E21)</f>
        <v>0</v>
      </c>
    </row>
    <row r="22" spans="1:6" s="17" customFormat="1" ht="13.5" thickBot="1">
      <c r="A22" s="408" t="s">
        <v>319</v>
      </c>
      <c r="B22" s="140" t="s">
        <v>955</v>
      </c>
      <c r="C22" s="318">
        <f>SUM(C20:C21)</f>
        <v>0</v>
      </c>
      <c r="D22" s="878">
        <f>SUM(D20:D21)</f>
        <v>0</v>
      </c>
      <c r="E22" s="878">
        <f>SUM(E20:E21)</f>
        <v>143</v>
      </c>
      <c r="F22" s="878">
        <f>SUM(F20:F21)</f>
        <v>143</v>
      </c>
    </row>
    <row r="23" spans="1:6" s="17" customFormat="1" ht="12.75">
      <c r="A23" s="393"/>
      <c r="B23" s="44"/>
      <c r="C23" s="414"/>
      <c r="D23" s="414"/>
      <c r="E23" s="414"/>
      <c r="F23" s="414"/>
    </row>
    <row r="24" spans="1:6" ht="12.75">
      <c r="A24" s="1654" t="s">
        <v>1410</v>
      </c>
      <c r="B24" s="1654"/>
      <c r="C24" s="1654"/>
      <c r="D24" s="1654"/>
      <c r="E24" s="1654"/>
      <c r="F24" s="1654"/>
    </row>
    <row r="25" spans="2:6" ht="12.75">
      <c r="B25" s="22"/>
      <c r="C25" s="22"/>
      <c r="D25" s="22"/>
      <c r="E25" s="22"/>
      <c r="F25" s="22"/>
    </row>
    <row r="26" spans="2:6" ht="15.75">
      <c r="B26" s="1674" t="s">
        <v>733</v>
      </c>
      <c r="C26" s="1674"/>
      <c r="D26" s="1674"/>
      <c r="E26" s="1674"/>
      <c r="F26" s="1674"/>
    </row>
    <row r="27" spans="2:6" ht="12.75">
      <c r="B27" s="1"/>
      <c r="C27" s="1"/>
      <c r="D27" s="1"/>
      <c r="E27" s="1"/>
      <c r="F27" s="1"/>
    </row>
    <row r="28" spans="2:6" ht="13.5" thickBot="1">
      <c r="B28" s="1680" t="s">
        <v>4</v>
      </c>
      <c r="C28" s="1680"/>
      <c r="D28" s="1680"/>
      <c r="E28" s="1680"/>
      <c r="F28" s="1680"/>
    </row>
    <row r="29" spans="1:6" ht="25.5" customHeight="1" thickBot="1">
      <c r="A29" s="399" t="s">
        <v>311</v>
      </c>
      <c r="B29" s="715" t="s">
        <v>23</v>
      </c>
      <c r="C29" s="1572" t="s">
        <v>24</v>
      </c>
      <c r="D29" s="1387" t="s">
        <v>1211</v>
      </c>
      <c r="E29" s="1387" t="s">
        <v>39</v>
      </c>
      <c r="F29" s="389" t="s">
        <v>406</v>
      </c>
    </row>
    <row r="30" spans="1:6" ht="13.5" customHeight="1">
      <c r="A30" s="871" t="s">
        <v>312</v>
      </c>
      <c r="B30" s="1146" t="s">
        <v>313</v>
      </c>
      <c r="C30" s="1146" t="s">
        <v>314</v>
      </c>
      <c r="D30" s="654" t="s">
        <v>315</v>
      </c>
      <c r="E30" s="653" t="s">
        <v>335</v>
      </c>
      <c r="F30" s="656" t="s">
        <v>360</v>
      </c>
    </row>
    <row r="31" spans="1:6" ht="25.5">
      <c r="A31" s="766" t="s">
        <v>316</v>
      </c>
      <c r="B31" s="1580" t="s">
        <v>27</v>
      </c>
      <c r="C31" s="1583"/>
      <c r="D31" s="270"/>
      <c r="E31" s="258">
        <f>11000+800+5000+200+300-233+25+1545</f>
        <v>18637</v>
      </c>
      <c r="F31" s="258">
        <f>SUM(C31:E31)</f>
        <v>18637</v>
      </c>
    </row>
    <row r="32" spans="1:6" ht="15" customHeight="1">
      <c r="A32" s="766" t="s">
        <v>317</v>
      </c>
      <c r="B32" s="1580" t="s">
        <v>28</v>
      </c>
      <c r="C32" s="1583"/>
      <c r="D32" s="270"/>
      <c r="E32" s="258">
        <f>25000+690-2740-440-25</f>
        <v>22485</v>
      </c>
      <c r="F32" s="258">
        <f aca="true" t="shared" si="1" ref="F32:F53">SUM(C32:E32)</f>
        <v>22485</v>
      </c>
    </row>
    <row r="33" spans="1:6" ht="12.75">
      <c r="A33" s="766" t="s">
        <v>318</v>
      </c>
      <c r="B33" s="1580" t="s">
        <v>29</v>
      </c>
      <c r="C33" s="1583"/>
      <c r="D33" s="270"/>
      <c r="E33" s="258">
        <f>4197+440</f>
        <v>4637</v>
      </c>
      <c r="F33" s="258">
        <f t="shared" si="1"/>
        <v>4637</v>
      </c>
    </row>
    <row r="34" spans="1:6" ht="12.75" customHeight="1">
      <c r="A34" s="766" t="s">
        <v>319</v>
      </c>
      <c r="B34" s="1580" t="s">
        <v>486</v>
      </c>
      <c r="C34" s="1583"/>
      <c r="D34" s="270"/>
      <c r="E34" s="258">
        <v>29481</v>
      </c>
      <c r="F34" s="258">
        <f t="shared" si="1"/>
        <v>29481</v>
      </c>
    </row>
    <row r="35" spans="1:6" ht="12.75" customHeight="1">
      <c r="A35" s="766" t="s">
        <v>320</v>
      </c>
      <c r="B35" s="1580" t="s">
        <v>487</v>
      </c>
      <c r="C35" s="1583"/>
      <c r="D35" s="270"/>
      <c r="E35" s="258">
        <f>31307+1841-1245-1545</f>
        <v>30358</v>
      </c>
      <c r="F35" s="258">
        <f t="shared" si="1"/>
        <v>30358</v>
      </c>
    </row>
    <row r="36" spans="1:6" ht="12" customHeight="1">
      <c r="A36" s="766" t="s">
        <v>321</v>
      </c>
      <c r="B36" s="1580" t="s">
        <v>488</v>
      </c>
      <c r="C36" s="1583"/>
      <c r="D36" s="270"/>
      <c r="E36" s="258">
        <v>38115</v>
      </c>
      <c r="F36" s="258">
        <f t="shared" si="1"/>
        <v>38115</v>
      </c>
    </row>
    <row r="37" spans="1:6" ht="12" customHeight="1">
      <c r="A37" s="766" t="s">
        <v>322</v>
      </c>
      <c r="B37" s="1580" t="s">
        <v>1137</v>
      </c>
      <c r="C37" s="1583"/>
      <c r="D37" s="270"/>
      <c r="E37" s="258">
        <v>11031</v>
      </c>
      <c r="F37" s="258">
        <f t="shared" si="1"/>
        <v>11031</v>
      </c>
    </row>
    <row r="38" spans="1:6" ht="12.75">
      <c r="A38" s="766" t="s">
        <v>323</v>
      </c>
      <c r="B38" s="1580" t="s">
        <v>362</v>
      </c>
      <c r="C38" s="1583"/>
      <c r="D38" s="270"/>
      <c r="E38" s="258">
        <v>25000</v>
      </c>
      <c r="F38" s="258">
        <f t="shared" si="1"/>
        <v>25000</v>
      </c>
    </row>
    <row r="39" spans="1:6" ht="12.75">
      <c r="A39" s="766" t="s">
        <v>324</v>
      </c>
      <c r="B39" s="1580" t="s">
        <v>30</v>
      </c>
      <c r="C39" s="1583"/>
      <c r="D39" s="270"/>
      <c r="E39" s="258">
        <v>3700</v>
      </c>
      <c r="F39" s="258">
        <f t="shared" si="1"/>
        <v>3700</v>
      </c>
    </row>
    <row r="40" spans="1:6" ht="11.25" customHeight="1">
      <c r="A40" s="766" t="s">
        <v>325</v>
      </c>
      <c r="B40" s="1580" t="s">
        <v>31</v>
      </c>
      <c r="C40" s="1583"/>
      <c r="D40" s="270"/>
      <c r="E40" s="258">
        <v>9000</v>
      </c>
      <c r="F40" s="258">
        <f t="shared" si="1"/>
        <v>9000</v>
      </c>
    </row>
    <row r="41" spans="1:6" ht="13.5" customHeight="1">
      <c r="A41" s="766" t="s">
        <v>326</v>
      </c>
      <c r="B41" s="1580" t="s">
        <v>32</v>
      </c>
      <c r="C41" s="1583"/>
      <c r="D41" s="270"/>
      <c r="E41" s="258">
        <v>4000</v>
      </c>
      <c r="F41" s="258">
        <f t="shared" si="1"/>
        <v>4000</v>
      </c>
    </row>
    <row r="42" spans="1:6" ht="12.75">
      <c r="A42" s="766" t="s">
        <v>327</v>
      </c>
      <c r="B42" s="1581" t="s">
        <v>33</v>
      </c>
      <c r="C42" s="259"/>
      <c r="D42" s="182"/>
      <c r="E42" s="260">
        <v>60000</v>
      </c>
      <c r="F42" s="258">
        <f t="shared" si="1"/>
        <v>60000</v>
      </c>
    </row>
    <row r="43" spans="1:6" ht="12.75">
      <c r="A43" s="766" t="s">
        <v>328</v>
      </c>
      <c r="B43" s="1581" t="s">
        <v>1159</v>
      </c>
      <c r="C43" s="259"/>
      <c r="D43" s="182"/>
      <c r="E43" s="260">
        <f>160000</f>
        <v>160000</v>
      </c>
      <c r="F43" s="258">
        <f t="shared" si="1"/>
        <v>160000</v>
      </c>
    </row>
    <row r="44" spans="1:6" ht="12.75">
      <c r="A44" s="766" t="s">
        <v>329</v>
      </c>
      <c r="B44" s="1581" t="s">
        <v>34</v>
      </c>
      <c r="C44" s="259"/>
      <c r="D44" s="182"/>
      <c r="E44" s="260">
        <v>62000</v>
      </c>
      <c r="F44" s="258">
        <f t="shared" si="1"/>
        <v>62000</v>
      </c>
    </row>
    <row r="45" spans="1:6" ht="12" customHeight="1">
      <c r="A45" s="766" t="s">
        <v>331</v>
      </c>
      <c r="B45" s="1581" t="s">
        <v>363</v>
      </c>
      <c r="C45" s="259"/>
      <c r="D45" s="182"/>
      <c r="E45" s="260">
        <v>1229</v>
      </c>
      <c r="F45" s="258">
        <f t="shared" si="1"/>
        <v>1229</v>
      </c>
    </row>
    <row r="46" spans="1:6" ht="13.5" customHeight="1">
      <c r="A46" s="766" t="s">
        <v>332</v>
      </c>
      <c r="B46" s="1581" t="s">
        <v>364</v>
      </c>
      <c r="C46" s="259"/>
      <c r="D46" s="182"/>
      <c r="E46" s="260">
        <v>2300</v>
      </c>
      <c r="F46" s="258">
        <f t="shared" si="1"/>
        <v>2300</v>
      </c>
    </row>
    <row r="47" spans="1:6" ht="12.75">
      <c r="A47" s="766" t="s">
        <v>333</v>
      </c>
      <c r="B47" s="1581" t="s">
        <v>35</v>
      </c>
      <c r="C47" s="259"/>
      <c r="D47" s="182"/>
      <c r="E47" s="260">
        <v>0</v>
      </c>
      <c r="F47" s="258">
        <f t="shared" si="1"/>
        <v>0</v>
      </c>
    </row>
    <row r="48" spans="1:6" ht="12.75">
      <c r="A48" s="766" t="s">
        <v>334</v>
      </c>
      <c r="B48" s="1582" t="s">
        <v>36</v>
      </c>
      <c r="C48" s="1584"/>
      <c r="D48" s="183"/>
      <c r="E48" s="434">
        <v>1000</v>
      </c>
      <c r="F48" s="434">
        <f t="shared" si="1"/>
        <v>1000</v>
      </c>
    </row>
    <row r="49" spans="1:6" ht="11.25" customHeight="1">
      <c r="A49" s="766" t="s">
        <v>336</v>
      </c>
      <c r="B49" s="602" t="s">
        <v>956</v>
      </c>
      <c r="C49" s="327"/>
      <c r="D49" s="151"/>
      <c r="E49" s="145">
        <v>1200</v>
      </c>
      <c r="F49" s="145">
        <f t="shared" si="1"/>
        <v>1200</v>
      </c>
    </row>
    <row r="50" spans="1:6" ht="12" customHeight="1">
      <c r="A50" s="766" t="s">
        <v>337</v>
      </c>
      <c r="B50" s="602" t="s">
        <v>993</v>
      </c>
      <c r="C50" s="327"/>
      <c r="D50" s="151"/>
      <c r="E50" s="145">
        <f>3000+1662</f>
        <v>4662</v>
      </c>
      <c r="F50" s="145">
        <f t="shared" si="1"/>
        <v>4662</v>
      </c>
    </row>
    <row r="51" spans="1:6" ht="12" customHeight="1">
      <c r="A51" s="766" t="s">
        <v>338</v>
      </c>
      <c r="B51" s="602" t="s">
        <v>948</v>
      </c>
      <c r="C51" s="327"/>
      <c r="D51" s="151"/>
      <c r="E51" s="1147">
        <v>100</v>
      </c>
      <c r="F51" s="145">
        <f t="shared" si="1"/>
        <v>100</v>
      </c>
    </row>
    <row r="52" spans="1:6" ht="12" customHeight="1">
      <c r="A52" s="766" t="s">
        <v>339</v>
      </c>
      <c r="B52" s="602" t="s">
        <v>1212</v>
      </c>
      <c r="C52" s="327"/>
      <c r="D52" s="151"/>
      <c r="E52" s="1147">
        <v>42522</v>
      </c>
      <c r="F52" s="145">
        <f t="shared" si="1"/>
        <v>42522</v>
      </c>
    </row>
    <row r="53" spans="1:6" ht="12" customHeight="1" thickBot="1">
      <c r="A53" s="767" t="s">
        <v>340</v>
      </c>
      <c r="B53" s="1213" t="s">
        <v>1306</v>
      </c>
      <c r="C53" s="327"/>
      <c r="D53" s="151">
        <v>64</v>
      </c>
      <c r="E53" s="1147"/>
      <c r="F53" s="145">
        <f t="shared" si="1"/>
        <v>64</v>
      </c>
    </row>
    <row r="54" spans="1:6" ht="19.5" customHeight="1" thickBot="1">
      <c r="A54" s="395" t="s">
        <v>341</v>
      </c>
      <c r="B54" s="177" t="s">
        <v>26</v>
      </c>
      <c r="C54" s="1579">
        <f>SUM(C31:C53)</f>
        <v>0</v>
      </c>
      <c r="D54" s="1579">
        <f>SUM(D31:D53)</f>
        <v>64</v>
      </c>
      <c r="E54" s="1579">
        <f>SUM(E31:E53)</f>
        <v>531457</v>
      </c>
      <c r="F54" s="1579">
        <f>SUM(F31:F53)</f>
        <v>531521</v>
      </c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1:6" ht="12.75">
      <c r="A63" s="17"/>
      <c r="B63" s="1"/>
      <c r="C63" s="1"/>
      <c r="D63" s="1"/>
      <c r="E63" s="1"/>
      <c r="F63" s="1"/>
    </row>
    <row r="64" spans="1:6" s="17" customFormat="1" ht="12.75">
      <c r="A64"/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8">
    <mergeCell ref="A3:F3"/>
    <mergeCell ref="A1:F1"/>
    <mergeCell ref="A24:F24"/>
    <mergeCell ref="B4:F4"/>
    <mergeCell ref="B26:F26"/>
    <mergeCell ref="B28:F28"/>
    <mergeCell ref="A16:F16"/>
    <mergeCell ref="B17:F1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54" t="s">
        <v>1411</v>
      </c>
      <c r="B1" s="1654"/>
      <c r="C1" s="1654"/>
      <c r="D1" s="1654"/>
      <c r="E1" s="1654"/>
      <c r="F1" s="1654"/>
    </row>
    <row r="2" spans="2:6" ht="15.75">
      <c r="B2" s="1674" t="s">
        <v>734</v>
      </c>
      <c r="C2" s="1674"/>
      <c r="D2" s="1674"/>
      <c r="E2" s="1674"/>
      <c r="F2" s="1674"/>
    </row>
    <row r="3" spans="2:6" ht="13.5" thickBot="1">
      <c r="B3" s="1680" t="s">
        <v>4</v>
      </c>
      <c r="C3" s="1680"/>
      <c r="D3" s="1680"/>
      <c r="E3" s="1680"/>
      <c r="F3" s="1680"/>
    </row>
    <row r="4" spans="1:6" ht="39" thickBot="1">
      <c r="A4" s="390" t="s">
        <v>311</v>
      </c>
      <c r="B4" s="140" t="s">
        <v>3</v>
      </c>
      <c r="C4" s="431" t="s">
        <v>24</v>
      </c>
      <c r="D4" s="412" t="s">
        <v>465</v>
      </c>
      <c r="E4" s="391" t="s">
        <v>39</v>
      </c>
      <c r="F4" s="389" t="s">
        <v>406</v>
      </c>
    </row>
    <row r="5" spans="1:6" ht="12.75">
      <c r="A5" s="403" t="s">
        <v>312</v>
      </c>
      <c r="B5" s="663" t="s">
        <v>313</v>
      </c>
      <c r="C5" s="654" t="s">
        <v>314</v>
      </c>
      <c r="D5" s="376" t="s">
        <v>315</v>
      </c>
      <c r="E5" s="657" t="s">
        <v>335</v>
      </c>
      <c r="F5" s="656" t="s">
        <v>360</v>
      </c>
    </row>
    <row r="6" spans="1:6" ht="12.75">
      <c r="A6" s="415" t="s">
        <v>316</v>
      </c>
      <c r="B6" s="161" t="s">
        <v>982</v>
      </c>
      <c r="C6" s="136" t="s">
        <v>502</v>
      </c>
      <c r="D6" s="136" t="s">
        <v>502</v>
      </c>
      <c r="E6" s="151">
        <v>1500</v>
      </c>
      <c r="F6" s="145">
        <f>SUM(C6:E6)</f>
        <v>1500</v>
      </c>
    </row>
    <row r="7" spans="1:6" ht="12.75">
      <c r="A7" s="415" t="s">
        <v>317</v>
      </c>
      <c r="B7" s="161" t="s">
        <v>983</v>
      </c>
      <c r="C7" s="136" t="s">
        <v>502</v>
      </c>
      <c r="D7" s="136" t="s">
        <v>502</v>
      </c>
      <c r="E7" s="151">
        <v>2000</v>
      </c>
      <c r="F7" s="145">
        <f aca="true" t="shared" si="0" ref="F7:F26">SUM(C7:E7)</f>
        <v>2000</v>
      </c>
    </row>
    <row r="8" spans="1:6" ht="12.75">
      <c r="A8" s="415" t="s">
        <v>318</v>
      </c>
      <c r="B8" s="161" t="s">
        <v>1005</v>
      </c>
      <c r="C8" s="136" t="s">
        <v>502</v>
      </c>
      <c r="D8" s="136" t="s">
        <v>502</v>
      </c>
      <c r="E8" s="151">
        <f>2000+1383</f>
        <v>3383</v>
      </c>
      <c r="F8" s="145">
        <f t="shared" si="0"/>
        <v>3383</v>
      </c>
    </row>
    <row r="9" spans="1:6" ht="12.75">
      <c r="A9" s="415"/>
      <c r="B9" s="161" t="s">
        <v>1124</v>
      </c>
      <c r="C9" s="136" t="s">
        <v>502</v>
      </c>
      <c r="D9" s="136" t="s">
        <v>502</v>
      </c>
      <c r="E9" s="151">
        <f>500-168</f>
        <v>332</v>
      </c>
      <c r="F9" s="145">
        <f t="shared" si="0"/>
        <v>332</v>
      </c>
    </row>
    <row r="10" spans="1:6" ht="12.75">
      <c r="A10" s="415"/>
      <c r="B10" s="161" t="s">
        <v>1125</v>
      </c>
      <c r="C10" s="136" t="s">
        <v>502</v>
      </c>
      <c r="D10" s="136" t="s">
        <v>502</v>
      </c>
      <c r="E10" s="151">
        <f>3200-2956</f>
        <v>244</v>
      </c>
      <c r="F10" s="145">
        <f t="shared" si="0"/>
        <v>244</v>
      </c>
    </row>
    <row r="11" spans="1:6" ht="12.75">
      <c r="A11" s="415"/>
      <c r="B11" s="161" t="s">
        <v>1126</v>
      </c>
      <c r="C11" s="136" t="s">
        <v>502</v>
      </c>
      <c r="D11" s="136" t="s">
        <v>502</v>
      </c>
      <c r="E11" s="151">
        <f>14000+200</f>
        <v>14200</v>
      </c>
      <c r="F11" s="145">
        <f t="shared" si="0"/>
        <v>14200</v>
      </c>
    </row>
    <row r="12" spans="1:6" ht="12.75">
      <c r="A12" s="415" t="s">
        <v>319</v>
      </c>
      <c r="B12" s="161" t="s">
        <v>735</v>
      </c>
      <c r="C12" s="136" t="s">
        <v>502</v>
      </c>
      <c r="D12" s="136" t="s">
        <v>502</v>
      </c>
      <c r="E12" s="151">
        <f>226+143+5</f>
        <v>374</v>
      </c>
      <c r="F12" s="145">
        <f t="shared" si="0"/>
        <v>374</v>
      </c>
    </row>
    <row r="13" spans="1:6" ht="12.75">
      <c r="A13" s="415" t="s">
        <v>320</v>
      </c>
      <c r="B13" s="161" t="s">
        <v>736</v>
      </c>
      <c r="C13" s="136" t="s">
        <v>502</v>
      </c>
      <c r="D13" s="136" t="s">
        <v>502</v>
      </c>
      <c r="E13" s="151">
        <f>48+20</f>
        <v>68</v>
      </c>
      <c r="F13" s="145">
        <f t="shared" si="0"/>
        <v>68</v>
      </c>
    </row>
    <row r="14" spans="1:6" ht="12.75">
      <c r="A14" s="415" t="s">
        <v>321</v>
      </c>
      <c r="B14" s="161" t="s">
        <v>984</v>
      </c>
      <c r="C14" s="136" t="s">
        <v>502</v>
      </c>
      <c r="D14" s="136" t="s">
        <v>502</v>
      </c>
      <c r="E14" s="151"/>
      <c r="F14" s="145">
        <f t="shared" si="0"/>
        <v>0</v>
      </c>
    </row>
    <row r="15" spans="1:6" ht="12.75">
      <c r="A15" s="415" t="s">
        <v>322</v>
      </c>
      <c r="B15" s="161" t="s">
        <v>261</v>
      </c>
      <c r="C15" s="136" t="s">
        <v>502</v>
      </c>
      <c r="D15" s="446" t="s">
        <v>297</v>
      </c>
      <c r="E15" s="151">
        <v>7934</v>
      </c>
      <c r="F15" s="145">
        <f t="shared" si="0"/>
        <v>7934</v>
      </c>
    </row>
    <row r="16" spans="1:6" ht="12.75">
      <c r="A16" s="415" t="s">
        <v>323</v>
      </c>
      <c r="B16" s="161" t="s">
        <v>737</v>
      </c>
      <c r="C16" s="136" t="s">
        <v>502</v>
      </c>
      <c r="D16" s="446" t="s">
        <v>297</v>
      </c>
      <c r="E16" s="151">
        <v>7000</v>
      </c>
      <c r="F16" s="145">
        <f t="shared" si="0"/>
        <v>7000</v>
      </c>
    </row>
    <row r="17" spans="1:6" ht="12.75">
      <c r="A17" s="415" t="s">
        <v>324</v>
      </c>
      <c r="B17" s="161" t="s">
        <v>738</v>
      </c>
      <c r="C17" s="136" t="s">
        <v>502</v>
      </c>
      <c r="D17" s="446" t="s">
        <v>297</v>
      </c>
      <c r="E17" s="151">
        <v>250</v>
      </c>
      <c r="F17" s="145">
        <f t="shared" si="0"/>
        <v>250</v>
      </c>
    </row>
    <row r="18" spans="1:6" ht="12.75">
      <c r="A18" s="415" t="s">
        <v>325</v>
      </c>
      <c r="B18" s="161" t="s">
        <v>739</v>
      </c>
      <c r="C18" s="136" t="s">
        <v>502</v>
      </c>
      <c r="D18" s="136" t="s">
        <v>502</v>
      </c>
      <c r="E18" s="151">
        <f>23000+913</f>
        <v>23913</v>
      </c>
      <c r="F18" s="145">
        <f t="shared" si="0"/>
        <v>23913</v>
      </c>
    </row>
    <row r="19" spans="1:6" ht="12.75">
      <c r="A19" s="415" t="s">
        <v>326</v>
      </c>
      <c r="B19" s="161" t="s">
        <v>740</v>
      </c>
      <c r="C19" s="136" t="s">
        <v>502</v>
      </c>
      <c r="D19" s="136" t="s">
        <v>502</v>
      </c>
      <c r="E19" s="151">
        <v>30000</v>
      </c>
      <c r="F19" s="145">
        <f t="shared" si="0"/>
        <v>30000</v>
      </c>
    </row>
    <row r="20" spans="1:6" ht="12.75">
      <c r="A20" s="415" t="s">
        <v>327</v>
      </c>
      <c r="B20" s="161" t="s">
        <v>741</v>
      </c>
      <c r="C20" s="136" t="s">
        <v>502</v>
      </c>
      <c r="D20" s="446" t="s">
        <v>502</v>
      </c>
      <c r="E20" s="814">
        <v>15000</v>
      </c>
      <c r="F20" s="145">
        <f t="shared" si="0"/>
        <v>15000</v>
      </c>
    </row>
    <row r="21" spans="1:6" ht="12.75">
      <c r="A21" s="415" t="s">
        <v>328</v>
      </c>
      <c r="B21" s="161" t="s">
        <v>742</v>
      </c>
      <c r="C21" s="136" t="s">
        <v>502</v>
      </c>
      <c r="D21" s="446" t="s">
        <v>502</v>
      </c>
      <c r="E21" s="151">
        <v>1000</v>
      </c>
      <c r="F21" s="145">
        <f t="shared" si="0"/>
        <v>1000</v>
      </c>
    </row>
    <row r="22" spans="1:6" ht="12.75">
      <c r="A22" s="415" t="s">
        <v>329</v>
      </c>
      <c r="B22" s="667" t="s">
        <v>743</v>
      </c>
      <c r="C22" s="136" t="s">
        <v>502</v>
      </c>
      <c r="D22" s="446" t="s">
        <v>502</v>
      </c>
      <c r="E22" s="151">
        <v>14925</v>
      </c>
      <c r="F22" s="145">
        <f t="shared" si="0"/>
        <v>14925</v>
      </c>
    </row>
    <row r="23" spans="1:6" ht="12.75">
      <c r="A23" s="415" t="s">
        <v>330</v>
      </c>
      <c r="B23" s="161" t="s">
        <v>1317</v>
      </c>
      <c r="C23" s="136" t="s">
        <v>502</v>
      </c>
      <c r="D23" s="446" t="s">
        <v>502</v>
      </c>
      <c r="E23" s="814">
        <v>1378</v>
      </c>
      <c r="F23" s="145">
        <f t="shared" si="0"/>
        <v>1378</v>
      </c>
    </row>
    <row r="24" spans="1:6" ht="12.75">
      <c r="A24" s="415" t="s">
        <v>331</v>
      </c>
      <c r="B24" s="161"/>
      <c r="C24" s="136" t="s">
        <v>502</v>
      </c>
      <c r="D24" s="446" t="s">
        <v>502</v>
      </c>
      <c r="E24" s="151"/>
      <c r="F24" s="145">
        <f t="shared" si="0"/>
        <v>0</v>
      </c>
    </row>
    <row r="25" spans="1:6" ht="12.75">
      <c r="A25" s="415" t="s">
        <v>332</v>
      </c>
      <c r="B25" s="161"/>
      <c r="C25" s="136" t="s">
        <v>502</v>
      </c>
      <c r="D25" s="446" t="s">
        <v>502</v>
      </c>
      <c r="E25" s="151"/>
      <c r="F25" s="145">
        <f t="shared" si="0"/>
        <v>0</v>
      </c>
    </row>
    <row r="26" spans="1:6" ht="13.5" thickBot="1">
      <c r="A26" s="415" t="s">
        <v>333</v>
      </c>
      <c r="B26" s="161"/>
      <c r="C26" s="136" t="s">
        <v>502</v>
      </c>
      <c r="D26" s="446" t="s">
        <v>502</v>
      </c>
      <c r="E26" s="814"/>
      <c r="F26" s="145">
        <f t="shared" si="0"/>
        <v>0</v>
      </c>
    </row>
    <row r="27" spans="1:6" ht="13.5" thickBot="1">
      <c r="A27" s="395" t="s">
        <v>338</v>
      </c>
      <c r="B27" s="666" t="s">
        <v>262</v>
      </c>
      <c r="C27" s="318">
        <f>SUM(C6:C26)</f>
        <v>0</v>
      </c>
      <c r="D27" s="410">
        <f>SUM(D6:D26)</f>
        <v>0</v>
      </c>
      <c r="E27" s="318">
        <f>SUM(E6:E26)</f>
        <v>123501</v>
      </c>
      <c r="F27" s="318">
        <f>SUM(F6:F26)</f>
        <v>123501</v>
      </c>
    </row>
    <row r="28" spans="2:6" ht="11.25" customHeight="1">
      <c r="B28" s="174"/>
      <c r="C28" s="21"/>
      <c r="D28" s="21"/>
      <c r="E28" s="21"/>
      <c r="F28" s="21"/>
    </row>
    <row r="29" spans="2:6" ht="11.25" customHeight="1">
      <c r="B29" s="174"/>
      <c r="C29" s="21"/>
      <c r="D29" s="21"/>
      <c r="E29" s="21"/>
      <c r="F29" s="21"/>
    </row>
    <row r="30" spans="1:6" ht="12.75">
      <c r="A30" s="1654" t="s">
        <v>1412</v>
      </c>
      <c r="B30" s="1654"/>
      <c r="C30" s="1654"/>
      <c r="D30" s="1654"/>
      <c r="E30" s="1654"/>
      <c r="F30" s="1654"/>
    </row>
    <row r="31" spans="2:6" ht="15.75">
      <c r="B31" s="1674" t="s">
        <v>744</v>
      </c>
      <c r="C31" s="1674"/>
      <c r="D31" s="1674"/>
      <c r="E31" s="1674"/>
      <c r="F31" s="1674"/>
    </row>
    <row r="32" spans="2:6" ht="13.5" thickBot="1">
      <c r="B32" s="1680" t="s">
        <v>4</v>
      </c>
      <c r="C32" s="1680"/>
      <c r="D32" s="1680"/>
      <c r="E32" s="1680"/>
      <c r="F32" s="1680"/>
    </row>
    <row r="33" spans="1:6" ht="39" thickBot="1">
      <c r="A33" s="390" t="s">
        <v>311</v>
      </c>
      <c r="B33" s="140" t="s">
        <v>23</v>
      </c>
      <c r="C33" s="431" t="s">
        <v>24</v>
      </c>
      <c r="D33" s="412" t="s">
        <v>465</v>
      </c>
      <c r="E33" s="391" t="s">
        <v>39</v>
      </c>
      <c r="F33" s="389" t="s">
        <v>406</v>
      </c>
    </row>
    <row r="34" spans="1:6" ht="12.75">
      <c r="A34" s="403" t="s">
        <v>312</v>
      </c>
      <c r="B34" s="663" t="s">
        <v>313</v>
      </c>
      <c r="C34" s="654" t="s">
        <v>314</v>
      </c>
      <c r="D34" s="376" t="s">
        <v>315</v>
      </c>
      <c r="E34" s="657" t="s">
        <v>335</v>
      </c>
      <c r="F34" s="656" t="s">
        <v>360</v>
      </c>
    </row>
    <row r="35" spans="1:6" ht="12.75">
      <c r="A35" s="415" t="s">
        <v>316</v>
      </c>
      <c r="B35" s="161"/>
      <c r="C35" s="151"/>
      <c r="D35" s="117"/>
      <c r="E35" s="151"/>
      <c r="F35" s="145"/>
    </row>
    <row r="36" spans="1:6" ht="12.75">
      <c r="A36" s="415" t="s">
        <v>317</v>
      </c>
      <c r="B36" s="161"/>
      <c r="C36" s="136"/>
      <c r="D36" s="167"/>
      <c r="E36" s="136"/>
      <c r="F36" s="145"/>
    </row>
    <row r="37" spans="1:6" ht="13.5" thickBot="1">
      <c r="A37" s="415" t="s">
        <v>319</v>
      </c>
      <c r="B37" s="161"/>
      <c r="C37" s="136"/>
      <c r="D37" s="167"/>
      <c r="E37" s="136"/>
      <c r="F37" s="145"/>
    </row>
    <row r="38" spans="1:6" ht="13.5" thickBot="1">
      <c r="A38" s="395" t="s">
        <v>320</v>
      </c>
      <c r="B38" s="140" t="s">
        <v>263</v>
      </c>
      <c r="C38" s="662">
        <f>SUM(C35:C37)</f>
        <v>0</v>
      </c>
      <c r="D38" s="664">
        <f>SUM(D35:D37)</f>
        <v>0</v>
      </c>
      <c r="E38" s="662">
        <f>SUM(E35:E37)</f>
        <v>0</v>
      </c>
      <c r="F38" s="661">
        <v>0</v>
      </c>
    </row>
    <row r="39" spans="1:6" ht="12.75">
      <c r="A39" s="393"/>
      <c r="B39" s="44"/>
      <c r="C39" s="36"/>
      <c r="D39" s="44"/>
      <c r="E39" s="44"/>
      <c r="F39" s="44"/>
    </row>
    <row r="40" spans="1:6" ht="12.75">
      <c r="A40" s="393"/>
      <c r="B40" s="44"/>
      <c r="C40" s="36"/>
      <c r="D40" s="44"/>
      <c r="E40" s="44"/>
      <c r="F40" s="44"/>
    </row>
    <row r="41" spans="1:6" ht="12.75">
      <c r="A41" s="1654" t="s">
        <v>1413</v>
      </c>
      <c r="B41" s="1654"/>
      <c r="C41" s="1654"/>
      <c r="D41" s="1654"/>
      <c r="E41" s="1654"/>
      <c r="F41" s="1654"/>
    </row>
    <row r="42" spans="2:6" ht="15.75">
      <c r="B42" s="1674" t="s">
        <v>745</v>
      </c>
      <c r="C42" s="1674"/>
      <c r="D42" s="1674"/>
      <c r="E42" s="1674"/>
      <c r="F42" s="1674"/>
    </row>
    <row r="43" spans="2:6" ht="13.5" thickBot="1">
      <c r="B43" s="1680" t="s">
        <v>4</v>
      </c>
      <c r="C43" s="1680"/>
      <c r="D43" s="1680"/>
      <c r="E43" s="1680"/>
      <c r="F43" s="1680"/>
    </row>
    <row r="44" spans="1:6" ht="39" thickBot="1">
      <c r="A44" s="390" t="s">
        <v>311</v>
      </c>
      <c r="B44" s="177" t="s">
        <v>23</v>
      </c>
      <c r="C44" s="411" t="s">
        <v>24</v>
      </c>
      <c r="D44" s="412" t="s">
        <v>465</v>
      </c>
      <c r="E44" s="391" t="s">
        <v>39</v>
      </c>
      <c r="F44" s="368" t="s">
        <v>406</v>
      </c>
    </row>
    <row r="45" spans="1:6" ht="13.5" thickBot="1">
      <c r="A45" s="403" t="s">
        <v>312</v>
      </c>
      <c r="B45" s="378" t="s">
        <v>313</v>
      </c>
      <c r="C45" s="375" t="s">
        <v>314</v>
      </c>
      <c r="D45" s="376" t="s">
        <v>315</v>
      </c>
      <c r="E45" s="657" t="s">
        <v>335</v>
      </c>
      <c r="F45" s="377" t="s">
        <v>360</v>
      </c>
    </row>
    <row r="46" spans="1:6" ht="12.75">
      <c r="A46" s="415" t="s">
        <v>316</v>
      </c>
      <c r="B46" s="363" t="s">
        <v>991</v>
      </c>
      <c r="C46" s="176"/>
      <c r="D46" s="665"/>
      <c r="E46" s="640"/>
      <c r="F46" s="640">
        <f aca="true" t="shared" si="1" ref="F46:F51">SUM(C46:E46)</f>
        <v>0</v>
      </c>
    </row>
    <row r="47" spans="1:6" ht="12.75">
      <c r="A47" s="415" t="s">
        <v>317</v>
      </c>
      <c r="B47" s="122" t="s">
        <v>310</v>
      </c>
      <c r="C47" s="361"/>
      <c r="D47" s="659"/>
      <c r="E47" s="154">
        <v>19552</v>
      </c>
      <c r="F47" s="151">
        <f t="shared" si="1"/>
        <v>19552</v>
      </c>
    </row>
    <row r="48" spans="1:6" ht="12.75">
      <c r="A48" s="415" t="s">
        <v>318</v>
      </c>
      <c r="B48" s="275" t="s">
        <v>435</v>
      </c>
      <c r="C48" s="128"/>
      <c r="D48" s="658"/>
      <c r="E48" s="814">
        <v>16930</v>
      </c>
      <c r="F48" s="151">
        <f t="shared" si="1"/>
        <v>16930</v>
      </c>
    </row>
    <row r="49" spans="1:6" ht="12.75">
      <c r="A49" s="415" t="s">
        <v>319</v>
      </c>
      <c r="B49" s="1517" t="s">
        <v>746</v>
      </c>
      <c r="C49" s="128"/>
      <c r="D49" s="658"/>
      <c r="E49" s="814">
        <v>1000</v>
      </c>
      <c r="F49" s="151">
        <f t="shared" si="1"/>
        <v>1000</v>
      </c>
    </row>
    <row r="50" spans="1:6" ht="12.75">
      <c r="A50" s="415" t="s">
        <v>320</v>
      </c>
      <c r="B50" s="1517" t="s">
        <v>1318</v>
      </c>
      <c r="C50" s="128"/>
      <c r="D50" s="658"/>
      <c r="E50" s="814">
        <v>57200</v>
      </c>
      <c r="F50" s="145">
        <f t="shared" si="1"/>
        <v>57200</v>
      </c>
    </row>
    <row r="51" spans="1:6" ht="13.5" thickBot="1">
      <c r="A51" s="415" t="s">
        <v>321</v>
      </c>
      <c r="B51" s="1516" t="s">
        <v>1185</v>
      </c>
      <c r="C51" s="362"/>
      <c r="D51" s="660"/>
      <c r="E51" s="1057">
        <v>60000</v>
      </c>
      <c r="F51" s="150">
        <f t="shared" si="1"/>
        <v>60000</v>
      </c>
    </row>
    <row r="52" spans="1:6" ht="13.5" thickBot="1">
      <c r="A52" s="415" t="s">
        <v>322</v>
      </c>
      <c r="B52" s="133" t="s">
        <v>264</v>
      </c>
      <c r="C52" s="312">
        <f>SUM(C46:C51)</f>
        <v>0</v>
      </c>
      <c r="D52" s="312">
        <f>SUM(D46:D51)</f>
        <v>0</v>
      </c>
      <c r="E52" s="158">
        <f>SUM(E46:E51)</f>
        <v>154682</v>
      </c>
      <c r="F52" s="255">
        <f>SUM(F46:F51)</f>
        <v>154682</v>
      </c>
    </row>
  </sheetData>
  <sheetProtection/>
  <mergeCells count="9">
    <mergeCell ref="A1:F1"/>
    <mergeCell ref="A30:F30"/>
    <mergeCell ref="A41:F41"/>
    <mergeCell ref="B42:F42"/>
    <mergeCell ref="B43:F43"/>
    <mergeCell ref="B2:F2"/>
    <mergeCell ref="B3:F3"/>
    <mergeCell ref="B31:F31"/>
    <mergeCell ref="B32:F32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84" t="s">
        <v>1414</v>
      </c>
      <c r="B1" s="384"/>
      <c r="C1" s="384"/>
      <c r="D1" s="384"/>
      <c r="E1" s="384"/>
    </row>
    <row r="2" spans="2:3" ht="12.75">
      <c r="B2" s="1"/>
      <c r="C2" s="1"/>
    </row>
    <row r="3" spans="2:3" ht="15.75">
      <c r="B3" s="1674" t="s">
        <v>748</v>
      </c>
      <c r="C3" s="1674"/>
    </row>
    <row r="4" spans="2:3" ht="13.5" thickBot="1">
      <c r="B4" s="1"/>
      <c r="C4" s="1" t="s">
        <v>37</v>
      </c>
    </row>
    <row r="5" spans="1:3" ht="27" thickBot="1">
      <c r="A5" s="390" t="s">
        <v>311</v>
      </c>
      <c r="B5" s="439" t="s">
        <v>38</v>
      </c>
      <c r="C5" s="391" t="s">
        <v>25</v>
      </c>
    </row>
    <row r="6" spans="1:3" ht="12.75">
      <c r="A6" s="676" t="s">
        <v>312</v>
      </c>
      <c r="B6" s="440" t="s">
        <v>313</v>
      </c>
      <c r="C6" s="441" t="s">
        <v>314</v>
      </c>
    </row>
    <row r="7" spans="1:3" ht="13.5" thickBot="1">
      <c r="A7" s="675" t="s">
        <v>316</v>
      </c>
      <c r="B7" s="370"/>
      <c r="C7" s="442"/>
    </row>
    <row r="8" spans="1:3" ht="13.5" thickBot="1">
      <c r="A8" s="669" t="s">
        <v>317</v>
      </c>
      <c r="B8" s="671" t="s">
        <v>40</v>
      </c>
      <c r="C8" s="672">
        <v>0</v>
      </c>
    </row>
    <row r="9" spans="1:3" ht="13.5" thickBot="1">
      <c r="A9" s="673" t="s">
        <v>318</v>
      </c>
      <c r="B9" s="471"/>
      <c r="C9" s="475"/>
    </row>
    <row r="10" spans="1:3" ht="13.5" thickBot="1">
      <c r="A10" s="674" t="s">
        <v>319</v>
      </c>
      <c r="B10" s="315" t="s">
        <v>55</v>
      </c>
      <c r="C10" s="177">
        <v>0</v>
      </c>
    </row>
    <row r="11" spans="1:3" ht="12.75">
      <c r="A11" s="670" t="s">
        <v>320</v>
      </c>
      <c r="B11" s="229"/>
      <c r="C11" s="443"/>
    </row>
    <row r="12" spans="1:3" ht="12.75">
      <c r="A12" s="668" t="s">
        <v>321</v>
      </c>
      <c r="B12" s="4" t="s">
        <v>436</v>
      </c>
      <c r="C12" s="444"/>
    </row>
    <row r="13" spans="1:3" ht="12.75">
      <c r="A13" s="668" t="s">
        <v>322</v>
      </c>
      <c r="B13" s="4" t="s">
        <v>747</v>
      </c>
      <c r="C13" s="182">
        <f>4000+200</f>
        <v>4200</v>
      </c>
    </row>
    <row r="14" spans="1:3" ht="13.5" thickBot="1">
      <c r="A14" s="668" t="s">
        <v>323</v>
      </c>
      <c r="B14" s="370"/>
      <c r="C14" s="271">
        <v>0</v>
      </c>
    </row>
    <row r="15" spans="1:3" ht="13.5" thickBot="1">
      <c r="A15" s="461" t="s">
        <v>324</v>
      </c>
      <c r="B15" s="413" t="s">
        <v>62</v>
      </c>
      <c r="C15" s="269">
        <f>C13+C14</f>
        <v>4200</v>
      </c>
    </row>
    <row r="16" spans="1:3" ht="13.5" thickBot="1">
      <c r="A16" s="461" t="s">
        <v>325</v>
      </c>
      <c r="B16" s="417" t="s">
        <v>437</v>
      </c>
      <c r="C16" s="184">
        <f>C8+C15+C10</f>
        <v>4200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84" t="s">
        <v>1415</v>
      </c>
      <c r="B19" s="384"/>
      <c r="C19" s="384"/>
      <c r="D19" s="384"/>
      <c r="E19" s="384"/>
    </row>
    <row r="20" spans="1:5" ht="12.75">
      <c r="A20" s="384"/>
      <c r="B20" s="384"/>
      <c r="C20" s="384"/>
      <c r="D20" s="384"/>
      <c r="E20" s="384"/>
    </row>
    <row r="21" spans="2:3" ht="15.75">
      <c r="B21" s="1674" t="s">
        <v>509</v>
      </c>
      <c r="C21" s="1674"/>
    </row>
    <row r="22" spans="2:3" ht="15.75">
      <c r="B22" s="113"/>
      <c r="C22" s="1"/>
    </row>
    <row r="23" spans="2:3" ht="13.5" thickBot="1">
      <c r="B23" s="1"/>
      <c r="C23" s="22" t="s">
        <v>37</v>
      </c>
    </row>
    <row r="24" spans="1:3" ht="27" thickBot="1">
      <c r="A24" s="390" t="s">
        <v>311</v>
      </c>
      <c r="B24" s="435" t="s">
        <v>38</v>
      </c>
      <c r="C24" s="391" t="s">
        <v>25</v>
      </c>
    </row>
    <row r="25" spans="1:3" ht="12.75">
      <c r="A25" s="871" t="s">
        <v>312</v>
      </c>
      <c r="B25" s="872" t="s">
        <v>313</v>
      </c>
      <c r="C25" s="436" t="s">
        <v>314</v>
      </c>
    </row>
    <row r="26" spans="1:3" ht="12.75">
      <c r="A26" s="765" t="s">
        <v>316</v>
      </c>
      <c r="B26" s="873" t="s">
        <v>752</v>
      </c>
      <c r="C26" s="876"/>
    </row>
    <row r="27" spans="1:3" ht="12.75">
      <c r="A27" s="766" t="s">
        <v>317</v>
      </c>
      <c r="B27" s="180"/>
      <c r="C27" s="877"/>
    </row>
    <row r="28" spans="1:3" ht="15" customHeight="1">
      <c r="A28" s="766" t="s">
        <v>318</v>
      </c>
      <c r="B28" s="934" t="s">
        <v>749</v>
      </c>
      <c r="C28" s="594">
        <v>0</v>
      </c>
    </row>
    <row r="29" spans="1:3" ht="12.75">
      <c r="A29" s="766" t="s">
        <v>319</v>
      </c>
      <c r="B29" s="136" t="s">
        <v>750</v>
      </c>
      <c r="C29" s="594">
        <v>0</v>
      </c>
    </row>
    <row r="30" spans="1:3" ht="12.75">
      <c r="A30" s="766" t="s">
        <v>320</v>
      </c>
      <c r="B30" s="136" t="s">
        <v>751</v>
      </c>
      <c r="C30" s="594">
        <f>C31+C32</f>
        <v>0</v>
      </c>
    </row>
    <row r="31" spans="1:3" ht="12.75">
      <c r="A31" s="766" t="s">
        <v>321</v>
      </c>
      <c r="B31" s="136" t="s">
        <v>510</v>
      </c>
      <c r="C31" s="874">
        <v>0</v>
      </c>
    </row>
    <row r="32" spans="1:3" ht="13.5" thickBot="1">
      <c r="A32" s="767" t="s">
        <v>322</v>
      </c>
      <c r="B32" s="324" t="s">
        <v>511</v>
      </c>
      <c r="C32" s="595">
        <v>0</v>
      </c>
    </row>
    <row r="33" spans="1:3" ht="26.25" thickBot="1">
      <c r="A33" s="408" t="s">
        <v>323</v>
      </c>
      <c r="B33" s="455" t="s">
        <v>515</v>
      </c>
      <c r="C33" s="878">
        <f>C28+C29+C30</f>
        <v>0</v>
      </c>
    </row>
    <row r="34" spans="1:3" ht="12.75">
      <c r="A34" s="765" t="s">
        <v>324</v>
      </c>
      <c r="B34" s="206"/>
      <c r="C34" s="593"/>
    </row>
    <row r="35" spans="1:3" ht="12.75">
      <c r="A35" s="766" t="s">
        <v>325</v>
      </c>
      <c r="B35" s="136"/>
      <c r="C35" s="594"/>
    </row>
    <row r="36" spans="1:3" ht="12.75">
      <c r="A36" s="766" t="s">
        <v>326</v>
      </c>
      <c r="B36" s="181" t="s">
        <v>753</v>
      </c>
      <c r="C36" s="594"/>
    </row>
    <row r="37" spans="1:3" ht="12.75">
      <c r="A37" s="766" t="s">
        <v>327</v>
      </c>
      <c r="B37" s="136"/>
      <c r="C37" s="875"/>
    </row>
    <row r="38" spans="1:3" ht="12.75">
      <c r="A38" s="766" t="s">
        <v>328</v>
      </c>
      <c r="B38" s="136" t="s">
        <v>754</v>
      </c>
      <c r="C38" s="875">
        <v>0</v>
      </c>
    </row>
    <row r="39" spans="1:3" ht="12.75">
      <c r="A39" s="766" t="s">
        <v>329</v>
      </c>
      <c r="B39" s="136" t="s">
        <v>755</v>
      </c>
      <c r="C39" s="875">
        <v>0</v>
      </c>
    </row>
    <row r="40" spans="1:3" ht="12.75">
      <c r="A40" s="766" t="s">
        <v>330</v>
      </c>
      <c r="B40" s="136" t="s">
        <v>756</v>
      </c>
      <c r="C40" s="875">
        <f>C41+C43+C44+C42</f>
        <v>34723</v>
      </c>
    </row>
    <row r="41" spans="1:3" ht="12.75">
      <c r="A41" s="766" t="s">
        <v>331</v>
      </c>
      <c r="B41" s="136" t="s">
        <v>512</v>
      </c>
      <c r="C41" s="875">
        <f>8000+200</f>
        <v>8200</v>
      </c>
    </row>
    <row r="42" spans="1:3" ht="12.75">
      <c r="A42" s="766" t="s">
        <v>332</v>
      </c>
      <c r="B42" s="324" t="s">
        <v>996</v>
      </c>
      <c r="C42" s="879">
        <v>2400</v>
      </c>
    </row>
    <row r="43" spans="1:3" ht="12.75">
      <c r="A43" s="766" t="s">
        <v>333</v>
      </c>
      <c r="B43" s="324" t="s">
        <v>997</v>
      </c>
      <c r="C43" s="879">
        <v>3000</v>
      </c>
    </row>
    <row r="44" spans="1:3" ht="13.5" thickBot="1">
      <c r="A44" s="766" t="s">
        <v>334</v>
      </c>
      <c r="B44" s="324" t="s">
        <v>998</v>
      </c>
      <c r="C44" s="1404">
        <v>21123</v>
      </c>
    </row>
    <row r="45" spans="1:3" ht="26.25" thickBot="1">
      <c r="A45" s="408" t="s">
        <v>336</v>
      </c>
      <c r="B45" s="455" t="s">
        <v>514</v>
      </c>
      <c r="C45" s="878">
        <f>C38+C39+C40</f>
        <v>34723</v>
      </c>
    </row>
    <row r="46" spans="1:3" ht="13.5" thickBot="1">
      <c r="A46" s="932" t="s">
        <v>337</v>
      </c>
      <c r="B46" s="206"/>
      <c r="C46" s="880"/>
    </row>
    <row r="47" spans="1:3" ht="13.5" thickBot="1">
      <c r="A47" s="933" t="s">
        <v>338</v>
      </c>
      <c r="B47" s="177" t="s">
        <v>513</v>
      </c>
      <c r="C47" s="878">
        <f>C45+C33</f>
        <v>34723</v>
      </c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5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54" t="s">
        <v>1416</v>
      </c>
      <c r="B1" s="1654"/>
      <c r="C1" s="1654"/>
      <c r="D1" s="1654"/>
      <c r="E1" s="1654"/>
    </row>
    <row r="2" spans="1:5" ht="12.75" customHeight="1">
      <c r="A2" s="384"/>
      <c r="B2" s="384"/>
      <c r="C2" s="384"/>
      <c r="D2" s="384"/>
      <c r="E2" s="384"/>
    </row>
    <row r="3" spans="2:6" ht="15.75">
      <c r="B3" s="1674" t="s">
        <v>1285</v>
      </c>
      <c r="C3" s="1674"/>
      <c r="D3" s="1674"/>
      <c r="E3" s="1674"/>
      <c r="F3" s="1678"/>
    </row>
    <row r="4" spans="2:6" ht="12.75" customHeight="1" thickBot="1">
      <c r="B4" s="1"/>
      <c r="C4" s="1"/>
      <c r="D4" s="1"/>
      <c r="E4" s="22"/>
      <c r="F4" s="22" t="s">
        <v>4</v>
      </c>
    </row>
    <row r="5" spans="1:6" ht="15.75" customHeight="1" thickBot="1">
      <c r="A5" s="1681" t="s">
        <v>311</v>
      </c>
      <c r="B5" s="278" t="s">
        <v>41</v>
      </c>
      <c r="C5" s="1667" t="s">
        <v>405</v>
      </c>
      <c r="D5" s="1669" t="s">
        <v>39</v>
      </c>
      <c r="E5" s="1669" t="s">
        <v>465</v>
      </c>
      <c r="F5" s="1663" t="s">
        <v>406</v>
      </c>
    </row>
    <row r="6" spans="1:6" ht="24" customHeight="1" thickBot="1">
      <c r="A6" s="1681"/>
      <c r="B6" s="281"/>
      <c r="C6" s="1668"/>
      <c r="D6" s="1670"/>
      <c r="E6" s="1670"/>
      <c r="F6" s="1664"/>
    </row>
    <row r="7" spans="1:6" ht="13.5" thickBot="1">
      <c r="A7" s="533" t="s">
        <v>312</v>
      </c>
      <c r="B7" s="677" t="s">
        <v>313</v>
      </c>
      <c r="C7" s="678" t="s">
        <v>314</v>
      </c>
      <c r="D7" s="679" t="s">
        <v>315</v>
      </c>
      <c r="E7" s="679" t="s">
        <v>335</v>
      </c>
      <c r="F7" s="680" t="s">
        <v>360</v>
      </c>
    </row>
    <row r="8" spans="1:6" ht="13.5" thickBot="1">
      <c r="A8" s="533" t="s">
        <v>316</v>
      </c>
      <c r="B8" s="282" t="s">
        <v>846</v>
      </c>
      <c r="C8" s="64">
        <f>C9+C10+C15+C24</f>
        <v>476704</v>
      </c>
      <c r="D8" s="64">
        <f>D9+D10+D15+D24</f>
        <v>2685564</v>
      </c>
      <c r="E8" s="64">
        <f>E9+E10+E15+E24</f>
        <v>7632</v>
      </c>
      <c r="F8" s="124">
        <f>F9+F10+F15+F24</f>
        <v>3169900</v>
      </c>
    </row>
    <row r="9" spans="1:6" ht="13.5" thickBot="1">
      <c r="A9" s="533" t="s">
        <v>317</v>
      </c>
      <c r="B9" s="283" t="s">
        <v>859</v>
      </c>
      <c r="C9" s="35">
        <f>'14 16_sz_ melléklet'!C20</f>
        <v>114813</v>
      </c>
      <c r="D9" s="35">
        <f>'14 16_sz_ melléklet'!E20</f>
        <v>321349</v>
      </c>
      <c r="E9" s="35">
        <f>'14 16_sz_ melléklet'!D20</f>
        <v>0</v>
      </c>
      <c r="F9" s="947">
        <f aca="true" t="shared" si="0" ref="F9:F14">SUM(C9:E9)</f>
        <v>436162</v>
      </c>
    </row>
    <row r="10" spans="1:6" s="16" customFormat="1" ht="13.5" thickBot="1">
      <c r="A10" s="533" t="s">
        <v>318</v>
      </c>
      <c r="B10" s="284" t="s">
        <v>800</v>
      </c>
      <c r="C10" s="286">
        <v>0</v>
      </c>
      <c r="D10" s="682">
        <f>D11+D12+D13+D14</f>
        <v>1022700</v>
      </c>
      <c r="E10" s="682">
        <f>E11+E12+E13+E14</f>
        <v>0</v>
      </c>
      <c r="F10" s="1275">
        <f>F11+F12+F13+F14</f>
        <v>1022700</v>
      </c>
    </row>
    <row r="11" spans="1:6" s="16" customFormat="1" ht="12.75">
      <c r="A11" s="683" t="s">
        <v>319</v>
      </c>
      <c r="B11" s="895" t="s">
        <v>802</v>
      </c>
      <c r="C11" s="609"/>
      <c r="D11" s="454">
        <f>'14 16_sz_ melléklet'!C30</f>
        <v>0</v>
      </c>
      <c r="E11" s="454"/>
      <c r="F11" s="287">
        <f t="shared" si="0"/>
        <v>0</v>
      </c>
    </row>
    <row r="12" spans="1:6" s="16" customFormat="1" ht="12.75">
      <c r="A12" s="181" t="s">
        <v>320</v>
      </c>
      <c r="B12" s="896" t="s">
        <v>801</v>
      </c>
      <c r="C12" s="894"/>
      <c r="D12" s="885">
        <f>'14 16_sz_ melléklet'!C34</f>
        <v>152000</v>
      </c>
      <c r="E12" s="885"/>
      <c r="F12" s="287">
        <f t="shared" si="0"/>
        <v>152000</v>
      </c>
    </row>
    <row r="13" spans="1:6" s="16" customFormat="1" ht="12.75">
      <c r="A13" s="181" t="s">
        <v>321</v>
      </c>
      <c r="B13" s="285" t="s">
        <v>803</v>
      </c>
      <c r="C13" s="894"/>
      <c r="D13" s="885">
        <f>'14 16_sz_ melléklet'!C40</f>
        <v>864000</v>
      </c>
      <c r="E13" s="885"/>
      <c r="F13" s="287">
        <f t="shared" si="0"/>
        <v>864000</v>
      </c>
    </row>
    <row r="14" spans="1:6" ht="12.75" customHeight="1" thickBot="1">
      <c r="A14" s="180" t="s">
        <v>322</v>
      </c>
      <c r="B14" s="1134" t="s">
        <v>804</v>
      </c>
      <c r="C14" s="28"/>
      <c r="D14" s="245">
        <f>'14 16_sz_ melléklet'!C73</f>
        <v>6700</v>
      </c>
      <c r="E14" s="245"/>
      <c r="F14" s="1135">
        <f t="shared" si="0"/>
        <v>6700</v>
      </c>
    </row>
    <row r="15" spans="1:6" ht="13.5" thickBot="1">
      <c r="A15" s="533" t="s">
        <v>323</v>
      </c>
      <c r="B15" s="1137" t="s">
        <v>845</v>
      </c>
      <c r="C15" s="1138">
        <f>C16+C20+C21+C22+C23</f>
        <v>361891</v>
      </c>
      <c r="D15" s="1138">
        <f>D16+D20+D21+D22+D23</f>
        <v>1341515</v>
      </c>
      <c r="E15" s="1138">
        <f>E16+E20+E21+E22+E23</f>
        <v>7632</v>
      </c>
      <c r="F15" s="1139">
        <f>F16+F20+F21+F22+F23</f>
        <v>1711038</v>
      </c>
    </row>
    <row r="16" spans="1:8" ht="12.75" customHeight="1">
      <c r="A16" s="873" t="s">
        <v>324</v>
      </c>
      <c r="B16" s="1136" t="s">
        <v>791</v>
      </c>
      <c r="C16" s="29">
        <f>C17+C18+C19</f>
        <v>0</v>
      </c>
      <c r="D16" s="270">
        <f>D17+D18+D19</f>
        <v>1079806</v>
      </c>
      <c r="E16" s="1109">
        <f>E17+E18+E19</f>
        <v>0</v>
      </c>
      <c r="F16" s="121">
        <f>F17+F18+F19</f>
        <v>1079806</v>
      </c>
      <c r="H16" s="79"/>
    </row>
    <row r="17" spans="1:8" ht="12.75" customHeight="1">
      <c r="A17" s="873" t="s">
        <v>325</v>
      </c>
      <c r="B17" s="1111" t="s">
        <v>793</v>
      </c>
      <c r="C17" s="29"/>
      <c r="D17" s="183">
        <f>'17 18 sz_melléklet'!C61</f>
        <v>916347</v>
      </c>
      <c r="E17" s="1110"/>
      <c r="F17" s="121">
        <f aca="true" t="shared" si="1" ref="F17:F26">SUM(C17:E17)</f>
        <v>916347</v>
      </c>
      <c r="H17" s="79"/>
    </row>
    <row r="18" spans="1:8" ht="12.75" customHeight="1">
      <c r="A18" s="873" t="s">
        <v>326</v>
      </c>
      <c r="B18" s="1112" t="s">
        <v>792</v>
      </c>
      <c r="C18" s="29"/>
      <c r="D18" s="151">
        <f>'19 21_sz_ melléklet'!C17</f>
        <v>155819</v>
      </c>
      <c r="E18" s="973"/>
      <c r="F18" s="121">
        <f t="shared" si="1"/>
        <v>155819</v>
      </c>
      <c r="H18" s="79"/>
    </row>
    <row r="19" spans="1:8" ht="12.75" customHeight="1">
      <c r="A19" s="873" t="s">
        <v>327</v>
      </c>
      <c r="B19" s="1112" t="s">
        <v>794</v>
      </c>
      <c r="C19" s="29"/>
      <c r="D19" s="151">
        <f>'19 21_sz_ melléklet'!C34</f>
        <v>7640</v>
      </c>
      <c r="E19" s="973"/>
      <c r="F19" s="121">
        <f t="shared" si="1"/>
        <v>7640</v>
      </c>
      <c r="H19" s="79"/>
    </row>
    <row r="20" spans="1:8" ht="12.75" customHeight="1">
      <c r="A20" s="873" t="s">
        <v>328</v>
      </c>
      <c r="B20" s="1113" t="s">
        <v>795</v>
      </c>
      <c r="C20" s="29"/>
      <c r="D20" s="271"/>
      <c r="E20" s="1110"/>
      <c r="F20" s="121">
        <f t="shared" si="1"/>
        <v>0</v>
      </c>
      <c r="H20" s="79"/>
    </row>
    <row r="21" spans="1:6" ht="12.75" customHeight="1">
      <c r="A21" s="873" t="s">
        <v>329</v>
      </c>
      <c r="B21" s="1114" t="s">
        <v>796</v>
      </c>
      <c r="C21" s="31"/>
      <c r="D21" s="182"/>
      <c r="E21" s="29"/>
      <c r="F21" s="121">
        <f t="shared" si="1"/>
        <v>0</v>
      </c>
    </row>
    <row r="22" spans="1:10" ht="12.75" customHeight="1">
      <c r="A22" s="873" t="s">
        <v>330</v>
      </c>
      <c r="B22" s="1115" t="s">
        <v>797</v>
      </c>
      <c r="C22" s="29">
        <f>'19 21_sz_ melléklet'!C62</f>
        <v>361891</v>
      </c>
      <c r="D22" s="270">
        <f>'19 21_sz_ melléklet'!C73</f>
        <v>261709</v>
      </c>
      <c r="E22" s="29">
        <f>'19 21_sz_ melléklet'!C67</f>
        <v>7632</v>
      </c>
      <c r="F22" s="121">
        <f t="shared" si="1"/>
        <v>631232</v>
      </c>
      <c r="J22" s="965"/>
    </row>
    <row r="23" spans="1:6" ht="13.5" thickBot="1">
      <c r="A23" s="873" t="s">
        <v>331</v>
      </c>
      <c r="B23" s="1132" t="s">
        <v>843</v>
      </c>
      <c r="C23" s="30"/>
      <c r="D23" s="159"/>
      <c r="E23" s="30"/>
      <c r="F23" s="123"/>
    </row>
    <row r="24" spans="1:6" ht="13.5" thickBot="1">
      <c r="A24" s="533" t="s">
        <v>332</v>
      </c>
      <c r="B24" s="1133" t="s">
        <v>844</v>
      </c>
      <c r="C24" s="158">
        <f>C25+C26</f>
        <v>0</v>
      </c>
      <c r="D24" s="158">
        <f>D25+D26</f>
        <v>0</v>
      </c>
      <c r="E24" s="158">
        <f>E25+E26</f>
        <v>0</v>
      </c>
      <c r="F24" s="158">
        <f>F25+F26</f>
        <v>0</v>
      </c>
    </row>
    <row r="25" spans="1:6" ht="12.75">
      <c r="A25" s="683" t="s">
        <v>333</v>
      </c>
      <c r="B25" s="1140" t="s">
        <v>873</v>
      </c>
      <c r="C25" s="1141"/>
      <c r="D25" s="685">
        <f>'29 sz. mell'!C12</f>
        <v>0</v>
      </c>
      <c r="E25" s="1141"/>
      <c r="F25" s="1142">
        <f>SUM(C25:E25)</f>
        <v>0</v>
      </c>
    </row>
    <row r="26" spans="1:6" ht="13.5" thickBot="1">
      <c r="A26" s="729" t="s">
        <v>334</v>
      </c>
      <c r="B26" s="1143" t="s">
        <v>874</v>
      </c>
      <c r="C26" s="1160">
        <f>'19 21_sz_ melléklet'!C91</f>
        <v>0</v>
      </c>
      <c r="D26" s="1116">
        <f>'19 21_sz_ melléklet'!C100</f>
        <v>0</v>
      </c>
      <c r="E26" s="1161">
        <f>'19 21_sz_ melléklet'!C95</f>
        <v>0</v>
      </c>
      <c r="F26" s="996">
        <f t="shared" si="1"/>
        <v>0</v>
      </c>
    </row>
    <row r="27" spans="1:6" ht="5.25" customHeight="1" thickBot="1">
      <c r="A27" s="729"/>
      <c r="B27" s="1107"/>
      <c r="C27" s="28"/>
      <c r="D27" s="245"/>
      <c r="E27" s="245"/>
      <c r="F27" s="123"/>
    </row>
    <row r="28" spans="1:6" ht="15" customHeight="1" thickBot="1">
      <c r="A28" s="533" t="s">
        <v>336</v>
      </c>
      <c r="B28" s="256" t="s">
        <v>858</v>
      </c>
      <c r="C28" s="158">
        <f>C29+C35+C40</f>
        <v>1082</v>
      </c>
      <c r="D28" s="942">
        <f>D29+D35+D40</f>
        <v>865842</v>
      </c>
      <c r="E28" s="942">
        <f>E29+E35+E40</f>
        <v>120</v>
      </c>
      <c r="F28" s="255">
        <f>F29+F35+F40</f>
        <v>867044</v>
      </c>
    </row>
    <row r="29" spans="1:6" ht="12.75" customHeight="1">
      <c r="A29" s="683" t="s">
        <v>337</v>
      </c>
      <c r="B29" s="141" t="s">
        <v>831</v>
      </c>
      <c r="C29" s="685">
        <f>C30+C32+C34+C31</f>
        <v>0</v>
      </c>
      <c r="D29" s="686">
        <f>D30+D32+D34+D31+D33</f>
        <v>0</v>
      </c>
      <c r="E29" s="686">
        <f>E30+E32+E34+E31+E33</f>
        <v>0</v>
      </c>
      <c r="F29" s="686">
        <f>F30+F32+F34+F31+F33</f>
        <v>0</v>
      </c>
    </row>
    <row r="30" spans="1:6" ht="12.75" customHeight="1">
      <c r="A30" s="181" t="s">
        <v>338</v>
      </c>
      <c r="B30" s="138" t="s">
        <v>832</v>
      </c>
      <c r="C30" s="183">
        <f>'22 24  sz. melléklet'!C8</f>
        <v>0</v>
      </c>
      <c r="D30" s="434">
        <f>'22 24  sz. melléklet'!E8</f>
        <v>0</v>
      </c>
      <c r="E30" s="183">
        <f>'22 24  sz. melléklet'!D8</f>
        <v>0</v>
      </c>
      <c r="F30" s="434">
        <f>SUM(C30:E30)</f>
        <v>0</v>
      </c>
    </row>
    <row r="31" spans="1:6" ht="12.75" customHeight="1">
      <c r="A31" s="181" t="s">
        <v>339</v>
      </c>
      <c r="B31" s="275" t="s">
        <v>833</v>
      </c>
      <c r="C31" s="183">
        <f>'22 24  sz. melléklet'!C9</f>
        <v>0</v>
      </c>
      <c r="D31" s="434">
        <f>'22 24  sz. melléklet'!E9</f>
        <v>0</v>
      </c>
      <c r="E31" s="183">
        <f>'22 24  sz. melléklet'!D9</f>
        <v>0</v>
      </c>
      <c r="F31" s="434">
        <f aca="true" t="shared" si="2" ref="F31:F41">SUM(C31:E31)</f>
        <v>0</v>
      </c>
    </row>
    <row r="32" spans="1:6" ht="11.25" customHeight="1">
      <c r="A32" s="181" t="s">
        <v>340</v>
      </c>
      <c r="B32" s="688" t="s">
        <v>834</v>
      </c>
      <c r="C32" s="183">
        <f>'22 24  sz. melléklet'!C10</f>
        <v>0</v>
      </c>
      <c r="D32" s="434">
        <f>'22 24  sz. melléklet'!E10</f>
        <v>0</v>
      </c>
      <c r="E32" s="183">
        <f>'22 24  sz. melléklet'!D10</f>
        <v>0</v>
      </c>
      <c r="F32" s="434">
        <f t="shared" si="2"/>
        <v>0</v>
      </c>
    </row>
    <row r="33" spans="1:6" ht="11.25" customHeight="1">
      <c r="A33" s="181" t="s">
        <v>341</v>
      </c>
      <c r="B33" s="688" t="s">
        <v>835</v>
      </c>
      <c r="C33" s="183">
        <f>'22 24  sz. melléklet'!C11</f>
        <v>0</v>
      </c>
      <c r="D33" s="434">
        <f>'22 24  sz. melléklet'!E11</f>
        <v>0</v>
      </c>
      <c r="E33" s="183">
        <f>'22 24  sz. melléklet'!D11</f>
        <v>0</v>
      </c>
      <c r="F33" s="434">
        <f t="shared" si="2"/>
        <v>0</v>
      </c>
    </row>
    <row r="34" spans="1:6" s="16" customFormat="1" ht="12.75" customHeight="1">
      <c r="A34" s="181" t="s">
        <v>342</v>
      </c>
      <c r="B34" s="277" t="s">
        <v>836</v>
      </c>
      <c r="C34" s="183">
        <f>'22 24  sz. melléklet'!C12</f>
        <v>0</v>
      </c>
      <c r="D34" s="434">
        <f>'22 24  sz. melléklet'!E12</f>
        <v>0</v>
      </c>
      <c r="E34" s="183">
        <f>'22 24  sz. melléklet'!D12</f>
        <v>0</v>
      </c>
      <c r="F34" s="434">
        <f t="shared" si="2"/>
        <v>0</v>
      </c>
    </row>
    <row r="35" spans="1:6" s="17" customFormat="1" ht="12.75" customHeight="1">
      <c r="A35" s="181" t="s">
        <v>343</v>
      </c>
      <c r="B35" s="902" t="s">
        <v>837</v>
      </c>
      <c r="C35" s="162">
        <f>C36+C37+C38+C39</f>
        <v>0</v>
      </c>
      <c r="D35" s="943">
        <f>D36+D37+D38+D39</f>
        <v>791263</v>
      </c>
      <c r="E35" s="943">
        <f>E36+E37+E38+E39</f>
        <v>0</v>
      </c>
      <c r="F35" s="943">
        <f>F36+F37+F38+F39</f>
        <v>791263</v>
      </c>
    </row>
    <row r="36" spans="1:6" ht="12.75" customHeight="1">
      <c r="A36" s="181" t="s">
        <v>344</v>
      </c>
      <c r="B36" s="689" t="s">
        <v>838</v>
      </c>
      <c r="C36" s="159"/>
      <c r="D36" s="150">
        <f>'25 26 sz. melléklet'!C17</f>
        <v>703400</v>
      </c>
      <c r="E36" s="159"/>
      <c r="F36" s="434">
        <f t="shared" si="2"/>
        <v>703400</v>
      </c>
    </row>
    <row r="37" spans="1:6" ht="12.75" customHeight="1">
      <c r="A37" s="181" t="s">
        <v>345</v>
      </c>
      <c r="B37" s="901" t="s">
        <v>840</v>
      </c>
      <c r="C37" s="690"/>
      <c r="D37" s="944"/>
      <c r="E37" s="690"/>
      <c r="F37" s="434">
        <f t="shared" si="2"/>
        <v>0</v>
      </c>
    </row>
    <row r="38" spans="1:6" ht="12.75" customHeight="1">
      <c r="A38" s="181" t="s">
        <v>346</v>
      </c>
      <c r="B38" s="903" t="s">
        <v>839</v>
      </c>
      <c r="C38" s="691"/>
      <c r="D38" s="945"/>
      <c r="E38" s="691"/>
      <c r="F38" s="434">
        <f t="shared" si="2"/>
        <v>0</v>
      </c>
    </row>
    <row r="39" spans="1:6" ht="12.75" customHeight="1">
      <c r="A39" s="181" t="s">
        <v>347</v>
      </c>
      <c r="B39" s="138" t="s">
        <v>841</v>
      </c>
      <c r="C39" s="183"/>
      <c r="D39" s="260">
        <f>' 27 28 sz. melléklet'!E32</f>
        <v>87863</v>
      </c>
      <c r="E39" s="182"/>
      <c r="F39" s="434">
        <f t="shared" si="2"/>
        <v>87863</v>
      </c>
    </row>
    <row r="40" spans="1:6" ht="12.75" customHeight="1">
      <c r="A40" s="181" t="s">
        <v>348</v>
      </c>
      <c r="B40" s="141" t="s">
        <v>842</v>
      </c>
      <c r="C40" s="271">
        <f>C41+C42</f>
        <v>1082</v>
      </c>
      <c r="D40" s="265">
        <f>D41+D42</f>
        <v>74579</v>
      </c>
      <c r="E40" s="265">
        <f>E41+E42</f>
        <v>120</v>
      </c>
      <c r="F40" s="265">
        <f>F41+F42</f>
        <v>75781</v>
      </c>
    </row>
    <row r="41" spans="1:6" ht="12.75" customHeight="1">
      <c r="A41" s="181" t="s">
        <v>349</v>
      </c>
      <c r="B41" s="903" t="s">
        <v>884</v>
      </c>
      <c r="C41" s="183"/>
      <c r="D41" s="265">
        <f>'29 sz. mell'!C20-'29 sz. mell'!C25</f>
        <v>61112</v>
      </c>
      <c r="E41" s="271">
        <f>'29 sz. mell'!C25</f>
        <v>120</v>
      </c>
      <c r="F41" s="434">
        <f t="shared" si="2"/>
        <v>61232</v>
      </c>
    </row>
    <row r="42" spans="1:6" ht="12.75" customHeight="1" thickBot="1">
      <c r="A42" s="181" t="s">
        <v>350</v>
      </c>
      <c r="B42" s="138" t="s">
        <v>885</v>
      </c>
      <c r="C42" s="733">
        <f>' 27 28 sz. melléklet'!F45</f>
        <v>1082</v>
      </c>
      <c r="D42" s="946">
        <f>' 27 28 sz. melléklet'!E47</f>
        <v>13467</v>
      </c>
      <c r="E42" s="733"/>
      <c r="F42" s="434">
        <f>SUM(C42:E42)</f>
        <v>14549</v>
      </c>
    </row>
    <row r="43" spans="1:6" s="17" customFormat="1" ht="26.25" customHeight="1" thickBot="1">
      <c r="A43" s="533" t="s">
        <v>351</v>
      </c>
      <c r="B43" s="142" t="s">
        <v>524</v>
      </c>
      <c r="C43" s="692">
        <f>C8+C28</f>
        <v>477786</v>
      </c>
      <c r="D43" s="692">
        <f>D8+D28</f>
        <v>3551406</v>
      </c>
      <c r="E43" s="692">
        <f>E8+E28</f>
        <v>7752</v>
      </c>
      <c r="F43" s="692">
        <f>F8+F28</f>
        <v>4036944</v>
      </c>
    </row>
    <row r="44" spans="1:6" ht="6" customHeight="1" thickBot="1">
      <c r="A44" s="533"/>
      <c r="B44" s="139"/>
      <c r="C44" s="28"/>
      <c r="D44" s="291"/>
      <c r="E44" s="291"/>
      <c r="F44" s="123"/>
    </row>
    <row r="45" spans="1:6" ht="13.5" thickBot="1">
      <c r="A45" s="533" t="s">
        <v>352</v>
      </c>
      <c r="B45" s="140" t="s">
        <v>857</v>
      </c>
      <c r="C45" s="293"/>
      <c r="D45" s="293"/>
      <c r="E45" s="293"/>
      <c r="F45" s="153"/>
    </row>
    <row r="46" spans="1:6" ht="12.75" customHeight="1">
      <c r="A46" s="683" t="s">
        <v>353</v>
      </c>
      <c r="B46" s="276" t="s">
        <v>848</v>
      </c>
      <c r="C46" s="292"/>
      <c r="D46" s="254"/>
      <c r="E46" s="254"/>
      <c r="F46" s="904">
        <f>C46+D46+E46</f>
        <v>0</v>
      </c>
    </row>
    <row r="47" spans="1:6" ht="12.75" customHeight="1">
      <c r="A47" s="181" t="s">
        <v>354</v>
      </c>
      <c r="B47" s="602" t="s">
        <v>847</v>
      </c>
      <c r="C47" s="116"/>
      <c r="D47" s="252">
        <v>100000</v>
      </c>
      <c r="E47" s="252"/>
      <c r="F47" s="904">
        <f>C47+D47+E47</f>
        <v>100000</v>
      </c>
    </row>
    <row r="48" spans="1:6" ht="12.75" customHeight="1">
      <c r="A48" s="181" t="s">
        <v>355</v>
      </c>
      <c r="B48" s="602" t="s">
        <v>849</v>
      </c>
      <c r="C48" s="116"/>
      <c r="D48" s="252"/>
      <c r="E48" s="252"/>
      <c r="F48" s="904">
        <f>C48+D48+E48</f>
        <v>0</v>
      </c>
    </row>
    <row r="49" spans="1:6" ht="12.75" customHeight="1">
      <c r="A49" s="181" t="s">
        <v>356</v>
      </c>
      <c r="B49" s="602" t="s">
        <v>850</v>
      </c>
      <c r="C49" s="116"/>
      <c r="D49" s="252"/>
      <c r="E49" s="252"/>
      <c r="F49" s="904">
        <f aca="true" t="shared" si="3" ref="F49:F55">SUM(C49:E49)</f>
        <v>0</v>
      </c>
    </row>
    <row r="50" spans="1:6" ht="12.75" customHeight="1">
      <c r="A50" s="181" t="s">
        <v>357</v>
      </c>
      <c r="B50" s="836" t="s">
        <v>851</v>
      </c>
      <c r="C50" s="116">
        <f>'30_ sz_ melléklet'!F52</f>
        <v>3070</v>
      </c>
      <c r="D50" s="1451">
        <f>850000+882552</f>
        <v>1732552</v>
      </c>
      <c r="E50" s="252">
        <f>'31_sz_ melléklet'!E111</f>
        <v>7286</v>
      </c>
      <c r="F50" s="904">
        <f t="shared" si="3"/>
        <v>1742908</v>
      </c>
    </row>
    <row r="51" spans="1:6" ht="12.75" customHeight="1">
      <c r="A51" s="181" t="s">
        <v>358</v>
      </c>
      <c r="B51" s="837" t="s">
        <v>852</v>
      </c>
      <c r="C51" s="116"/>
      <c r="D51" s="252"/>
      <c r="E51" s="252"/>
      <c r="F51" s="904">
        <f t="shared" si="3"/>
        <v>0</v>
      </c>
    </row>
    <row r="52" spans="1:6" ht="12.75" customHeight="1">
      <c r="A52" s="181" t="s">
        <v>359</v>
      </c>
      <c r="B52" s="838" t="s">
        <v>853</v>
      </c>
      <c r="C52" s="116"/>
      <c r="D52" s="252"/>
      <c r="E52" s="252"/>
      <c r="F52" s="904">
        <f t="shared" si="3"/>
        <v>0</v>
      </c>
    </row>
    <row r="53" spans="1:6" ht="12.75" customHeight="1">
      <c r="A53" s="181" t="s">
        <v>369</v>
      </c>
      <c r="B53" s="838" t="s">
        <v>854</v>
      </c>
      <c r="C53" s="116">
        <f>'30_ sz_ melléklet'!F55</f>
        <v>854576</v>
      </c>
      <c r="D53" s="252"/>
      <c r="E53" s="252">
        <f>'31_sz_ melléklet'!E114</f>
        <v>364501</v>
      </c>
      <c r="F53" s="904">
        <f t="shared" si="3"/>
        <v>1219077</v>
      </c>
    </row>
    <row r="54" spans="1:6" ht="12.75" customHeight="1">
      <c r="A54" s="181" t="s">
        <v>370</v>
      </c>
      <c r="B54" s="838" t="s">
        <v>855</v>
      </c>
      <c r="C54" s="116"/>
      <c r="D54" s="252">
        <v>12023365</v>
      </c>
      <c r="E54" s="252"/>
      <c r="F54" s="904">
        <f t="shared" si="3"/>
        <v>12023365</v>
      </c>
    </row>
    <row r="55" spans="1:6" ht="12.75" customHeight="1" thickBot="1">
      <c r="A55" s="181" t="s">
        <v>371</v>
      </c>
      <c r="B55" s="382" t="s">
        <v>856</v>
      </c>
      <c r="C55" s="28"/>
      <c r="D55" s="245"/>
      <c r="E55" s="245"/>
      <c r="F55" s="904">
        <f t="shared" si="3"/>
        <v>0</v>
      </c>
    </row>
    <row r="56" spans="1:6" ht="12.75" customHeight="1" thickBot="1">
      <c r="A56" s="181" t="s">
        <v>372</v>
      </c>
      <c r="B56" s="900" t="s">
        <v>527</v>
      </c>
      <c r="C56" s="114">
        <f>SUM(C46:C55)</f>
        <v>857646</v>
      </c>
      <c r="D56" s="114">
        <f>SUM(D46:D55)</f>
        <v>13855917</v>
      </c>
      <c r="E56" s="114">
        <f>SUM(E46:E55)</f>
        <v>371787</v>
      </c>
      <c r="F56" s="909">
        <f>SUM(F46:F55)</f>
        <v>15085350</v>
      </c>
    </row>
    <row r="57" spans="1:6" ht="21.75" customHeight="1" thickBot="1">
      <c r="A57" s="533" t="s">
        <v>373</v>
      </c>
      <c r="B57" s="905" t="s">
        <v>526</v>
      </c>
      <c r="C57" s="906">
        <f>C43+C56</f>
        <v>1335432</v>
      </c>
      <c r="D57" s="906">
        <f>D43+D56</f>
        <v>17407323</v>
      </c>
      <c r="E57" s="906">
        <f>E43+E56</f>
        <v>379539</v>
      </c>
      <c r="F57" s="907">
        <f>F43+F56</f>
        <v>19122294</v>
      </c>
    </row>
    <row r="58" ht="27" customHeight="1"/>
    <row r="59" spans="1:6" ht="38.25" customHeight="1">
      <c r="A59" s="37"/>
      <c r="B59" s="369"/>
      <c r="C59" s="30"/>
      <c r="D59" s="30"/>
      <c r="E59" s="30"/>
      <c r="F59" s="30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2017-05-31T11:48:41Z</cp:lastPrinted>
  <dcterms:created xsi:type="dcterms:W3CDTF">2011-01-18T10:18:13Z</dcterms:created>
  <dcterms:modified xsi:type="dcterms:W3CDTF">2017-05-31T11:48:48Z</dcterms:modified>
  <cp:category/>
  <cp:version/>
  <cp:contentType/>
  <cp:contentStatus/>
</cp:coreProperties>
</file>