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53 sz. melléklet" sheetId="35" r:id="rId35"/>
    <sheet name="1_ sz_ függelék" sheetId="36" r:id="rId36"/>
    <sheet name="2_ sz_függelék" sheetId="37" r:id="rId37"/>
    <sheet name="3_ sz_függelék" sheetId="38" r:id="rId38"/>
    <sheet name="Munka1" sheetId="39" r:id="rId39"/>
  </sheets>
  <externalReferences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<sst xmlns="http://schemas.openxmlformats.org/spreadsheetml/2006/main" count="5566" uniqueCount="1478">
  <si>
    <t>Költségvetés mérlege</t>
  </si>
  <si>
    <t>BEVÉTEL</t>
  </si>
  <si>
    <t>KIADÁS</t>
  </si>
  <si>
    <t>Megnevezés</t>
  </si>
  <si>
    <t xml:space="preserve">      Ebből: -működési célú</t>
  </si>
  <si>
    <t xml:space="preserve">                 -felhalmozási célú</t>
  </si>
  <si>
    <t xml:space="preserve">                  -felhalmozási célú</t>
  </si>
  <si>
    <t>Bevételek mindösszesen</t>
  </si>
  <si>
    <t>Kiadások mindösszesen</t>
  </si>
  <si>
    <t>Ezer Ft-ban</t>
  </si>
  <si>
    <t>összesen</t>
  </si>
  <si>
    <t>1. Személyi juttatás</t>
  </si>
  <si>
    <t>2. Munkaadót terh. járulékok</t>
  </si>
  <si>
    <t>3. Dologi kiadás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</si>
  <si>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</si>
  <si>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</si>
  <si>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</si>
  <si>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</si>
  <si>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</si>
  <si>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</si>
  <si>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>MÁAMIPSZ</t>
  </si>
  <si>
    <t xml:space="preserve">   előirányzatai  feladatonként</t>
  </si>
  <si>
    <t>KIADÁSOK JOGCÍMEI</t>
  </si>
  <si>
    <t>Okmány-iroda, Gyámhiv.</t>
  </si>
  <si>
    <t>Önkorm. Igazg.</t>
  </si>
  <si>
    <t>2. Céltartalék</t>
  </si>
  <si>
    <t>Önkorm. Jogalkotás</t>
  </si>
  <si>
    <t>önkorm. Lakástám.</t>
  </si>
  <si>
    <t>köztemető fenntartás műk.</t>
  </si>
  <si>
    <t>Város. Községgazd.</t>
  </si>
  <si>
    <t>zöldterület kezelés</t>
  </si>
  <si>
    <t>víztermelés kezelés</t>
  </si>
  <si>
    <t>közvilágítás</t>
  </si>
  <si>
    <t>segélyek összesen</t>
  </si>
  <si>
    <t>kult rend. +nemzetk. Kapcs.</t>
  </si>
  <si>
    <t>Strandszolg.</t>
  </si>
  <si>
    <t>Támogatott megnevezése</t>
  </si>
  <si>
    <t>Intézmények</t>
  </si>
  <si>
    <t>Polgármesteri Hivatal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</si>
  <si>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</si>
  <si>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</si>
  <si>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</si>
  <si>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</si>
  <si>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</si>
  <si>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</si>
  <si>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</si>
  <si>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</si>
  <si>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</si>
  <si>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</si>
  <si>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</si>
  <si>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</si>
  <si>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- Lakásépítés támogatása</t>
  </si>
  <si>
    <t xml:space="preserve">          -LAKSZÖVnek önk. lakásra</t>
  </si>
  <si>
    <t xml:space="preserve">                Ezer Ft-ban </t>
  </si>
  <si>
    <t xml:space="preserve">KIADÁSOK JOGCÍMEI </t>
  </si>
  <si>
    <t>Önkormányzat</t>
  </si>
  <si>
    <t xml:space="preserve">        Kamatmentes kölcsön nyújtása</t>
  </si>
  <si>
    <t xml:space="preserve">      Lakáscélú kölcsön nyújtása háztartásoknak</t>
  </si>
  <si>
    <t>Intézmények összesen:</t>
  </si>
  <si>
    <t xml:space="preserve">       -VG Rt. részvény vásárlása</t>
  </si>
  <si>
    <t xml:space="preserve">       -OTP tőkegarantált pénzpiaci alapok</t>
  </si>
  <si>
    <t xml:space="preserve">  BEVÉTELEK JOGCÍMEI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</si>
  <si>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</si>
  <si>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</si>
  <si>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</si>
  <si>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</si>
  <si>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 xml:space="preserve">      Ebből: Társad. Bizt. Alapból átvett</t>
  </si>
  <si>
    <t xml:space="preserve"> </t>
  </si>
  <si>
    <t xml:space="preserve">               I/1. Intézményi működési bevételek részletezése </t>
  </si>
  <si>
    <t>Polg.m.hivat. Összesen</t>
  </si>
  <si>
    <t xml:space="preserve">I/1. Intézményi működési bevételek összesen 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</si>
  <si>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</si>
  <si>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</si>
  <si>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</si>
  <si>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</si>
  <si>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</si>
  <si>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</si>
  <si>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</si>
  <si>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</si>
  <si>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</si>
  <si>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</si>
  <si>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</si>
  <si>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</si>
  <si>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</si>
  <si>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</si>
  <si>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</si>
  <si>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</si>
  <si>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</si>
  <si>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 xml:space="preserve">2.2.5. Termőföld bérbeadásából származó jöv.adó </t>
  </si>
  <si>
    <t xml:space="preserve">2.2.6. Átengedett egyéb központi adók </t>
  </si>
  <si>
    <t xml:space="preserve">I/2.2. Átengedett központi adók összesen </t>
  </si>
  <si>
    <t>BEVÉTELEK JOGCÍMEI</t>
  </si>
  <si>
    <t>Körzeti igazgatási feladatok</t>
  </si>
  <si>
    <t xml:space="preserve"> -körzetközpont</t>
  </si>
  <si>
    <t>Pénzbeni és termész. szoc. és gyerm.jóléti ellátások</t>
  </si>
  <si>
    <t>Felhasználási kötöttség nélküli normatív hozzájárulás</t>
  </si>
  <si>
    <t>Ö s s z e s e n :</t>
  </si>
  <si>
    <t>Dologi kiadások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</si>
  <si>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</si>
  <si>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</si>
  <si>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</si>
  <si>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</si>
  <si>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</si>
  <si>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</si>
  <si>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</si>
  <si>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Polgárm.hiv.</t>
  </si>
  <si>
    <t>Önkorm.össz.</t>
  </si>
  <si>
    <t xml:space="preserve">Intézmény összesen: </t>
  </si>
  <si>
    <t xml:space="preserve">Polgármesteri Hivatal össz: </t>
  </si>
  <si>
    <t>részletezése</t>
  </si>
  <si>
    <t>Önkorm. vagyon bérbeadás (Zsóry víz,-csat.+egyéb saj. Bev.+szeméttel.)</t>
  </si>
  <si>
    <t>Önkormányzati lakás bérbeadás, értékesités</t>
  </si>
  <si>
    <t>Osztalék bevétel</t>
  </si>
  <si>
    <t>Tőkegarantált pénzpiaci alapok  értékesitése</t>
  </si>
  <si>
    <t>Kötvény hozama</t>
  </si>
  <si>
    <t>ezer Ft-ban</t>
  </si>
  <si>
    <t>Polgármesteri Hivatal összesen:</t>
  </si>
  <si>
    <t xml:space="preserve">I/1. Intézm.műk. bevételek összesen 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</si>
  <si>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</si>
  <si>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</si>
  <si>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</si>
  <si>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</si>
  <si>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</si>
  <si>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</si>
  <si>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</si>
  <si>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</si>
  <si>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</si>
  <si>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</si>
  <si>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>Városi Rendelőintézet</t>
  </si>
  <si>
    <t>Szent László Gimnázium és Szakközépiskola</t>
  </si>
  <si>
    <t xml:space="preserve">  - ügyvitel, számítástechn.berendezések</t>
  </si>
  <si>
    <t>Széchenyi István Szakképző Iskola</t>
  </si>
  <si>
    <t>Ö s s z e s e n:</t>
  </si>
  <si>
    <t xml:space="preserve">              Közvilágítási feladatok összesen</t>
  </si>
  <si>
    <t xml:space="preserve">             Szennyvízcsatorna fejlesztési feladatok összesen</t>
  </si>
  <si>
    <t xml:space="preserve">             Út építése összesen:</t>
  </si>
  <si>
    <t>Céltartalék összegének célonkénti részletezése</t>
  </si>
  <si>
    <t>M e g n e v e z é s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</si>
  <si>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</si>
  <si>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</si>
  <si>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</si>
  <si>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</si>
  <si>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</si>
  <si>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</si>
  <si>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 xml:space="preserve">Működési céltartalék összesen: </t>
  </si>
  <si>
    <t xml:space="preserve">Felhalmozás </t>
  </si>
  <si>
    <t>pályázati önerő - egyéb</t>
  </si>
  <si>
    <t>praxisvásárlás támogatására</t>
  </si>
  <si>
    <t xml:space="preserve">Felhalmozási céltartalék összesen: </t>
  </si>
  <si>
    <t xml:space="preserve">Céltartalék mindösszesen: </t>
  </si>
  <si>
    <t>Költségvetési szervek létszámkerete</t>
  </si>
  <si>
    <t>Költségvetési szerv</t>
  </si>
  <si>
    <t>Jóváh.létszám /fő/</t>
  </si>
  <si>
    <t>Bayer Róbert Középiskolai Kollégium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</si>
  <si>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</si>
  <si>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</si>
  <si>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</si>
  <si>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</si>
  <si>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</si>
  <si>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>Működési bevételek</t>
  </si>
  <si>
    <t>Személyi juttatások</t>
  </si>
  <si>
    <t>Felhalm.ÁFA visszatér.</t>
  </si>
  <si>
    <t>Munkaadót terhelő járulékok</t>
  </si>
  <si>
    <t>ebből: - rövid lejáratú hit.kamata</t>
  </si>
  <si>
    <r>
      <t xml:space="preserve">          -</t>
    </r>
    <r>
      <rPr>
        <sz val="9"/>
        <rFont val="Times New Roman"/>
        <family val="1"/>
      </rPr>
      <t>hosszú lejáratú hit.kamata</t>
    </r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</si>
  <si>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</si>
  <si>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</si>
  <si>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</si>
  <si>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</si>
  <si>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Hiteltörlesztés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</si>
  <si>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</si>
  <si>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</si>
  <si>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</si>
  <si>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</si>
  <si>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</si>
  <si>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Felújítás</t>
  </si>
  <si>
    <t>Hosszú lejáratú hitelek kamata</t>
  </si>
  <si>
    <t>Átengedett közp.-i adók</t>
  </si>
  <si>
    <t>Felhalm.kiad.ÁFA visszatér.</t>
  </si>
  <si>
    <t>Értékesített tárgyie.áfabefiz.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</si>
  <si>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</si>
  <si>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</si>
  <si>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</si>
  <si>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</si>
  <si>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</si>
  <si>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</si>
  <si>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</si>
  <si>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</si>
  <si>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</si>
  <si>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</si>
  <si>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</si>
  <si>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</si>
  <si>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</si>
  <si>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</si>
  <si>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</si>
  <si>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</si>
  <si>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</si>
  <si>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</si>
  <si>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</si>
  <si>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</si>
  <si>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</si>
  <si>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</si>
  <si>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</si>
  <si>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</si>
  <si>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</si>
  <si>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</si>
  <si>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</si>
  <si>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</si>
  <si>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</si>
  <si>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</si>
  <si>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</si>
  <si>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</si>
  <si>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</si>
  <si>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</si>
  <si>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</si>
  <si>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</si>
  <si>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</si>
  <si>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</si>
  <si>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</si>
  <si>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</si>
  <si>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</si>
  <si>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</si>
  <si>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</si>
  <si>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</si>
  <si>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</si>
  <si>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</si>
  <si>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</si>
  <si>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</si>
  <si>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</si>
  <si>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</si>
  <si>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</si>
  <si>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</si>
  <si>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</si>
  <si>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</si>
  <si>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</si>
  <si>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</si>
  <si>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</si>
  <si>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</si>
  <si>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</si>
  <si>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</si>
  <si>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</si>
  <si>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</si>
  <si>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</si>
  <si>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</si>
  <si>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</si>
  <si>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</si>
  <si>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</si>
  <si>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</si>
  <si>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</si>
  <si>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</si>
  <si>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</si>
  <si>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</si>
  <si>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</si>
  <si>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</si>
  <si>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</si>
  <si>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</si>
  <si>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</si>
  <si>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</si>
  <si>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</si>
  <si>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</si>
  <si>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</si>
  <si>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</si>
  <si>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</si>
  <si>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</si>
  <si>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</si>
  <si>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</si>
  <si>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</si>
  <si>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</si>
  <si>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</si>
  <si>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</si>
  <si>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</si>
  <si>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</si>
  <si>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</si>
  <si>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</si>
  <si>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</si>
  <si>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</si>
  <si>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</si>
  <si>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</si>
  <si>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</si>
  <si>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</si>
  <si>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</si>
  <si>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</si>
  <si>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</si>
  <si>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</si>
  <si>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</si>
  <si>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</si>
  <si>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</si>
  <si>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</si>
  <si>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</si>
  <si>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</si>
  <si>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</si>
  <si>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</si>
  <si>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</si>
  <si>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Zsóry fejl. hitel 2005.</t>
  </si>
  <si>
    <t>16 lak.bérlakásép. fejl. hitel.</t>
  </si>
  <si>
    <t>Piac-Fejlesztési célhitel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</si>
  <si>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</si>
  <si>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</si>
  <si>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</si>
  <si>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</si>
  <si>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</si>
  <si>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</si>
  <si>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</si>
  <si>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</si>
  <si>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</si>
  <si>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</si>
  <si>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</si>
  <si>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</si>
  <si>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</si>
  <si>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</si>
  <si>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</si>
  <si>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</si>
  <si>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</si>
  <si>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</si>
  <si>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</si>
  <si>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</si>
  <si>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</si>
  <si>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Lombard Finan-szírozási Zrt.</t>
  </si>
  <si>
    <t>Személygépkocsi</t>
  </si>
  <si>
    <t>Piac-fejl. hitel</t>
  </si>
  <si>
    <t>Raiffeisen Bank</t>
  </si>
  <si>
    <t>Kötvény visszaf.</t>
  </si>
  <si>
    <t>xxxxxxxxxxxxxxxxxxxxx</t>
  </si>
  <si>
    <t>2029.</t>
  </si>
  <si>
    <t>2030.</t>
  </si>
  <si>
    <t>2031.</t>
  </si>
  <si>
    <t>2032.</t>
  </si>
  <si>
    <t>2033.</t>
  </si>
  <si>
    <t>2034.</t>
  </si>
  <si>
    <t xml:space="preserve">a közvetett támogatásokról </t>
  </si>
  <si>
    <t xml:space="preserve">Közvetett támogatás megnevezése </t>
  </si>
  <si>
    <t xml:space="preserve">                            Összeg </t>
  </si>
  <si>
    <t xml:space="preserve">Adókedvezmények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</si>
  <si>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</si>
  <si>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</si>
  <si>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</si>
  <si>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</si>
  <si>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</si>
  <si>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</si>
  <si>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</si>
  <si>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</si>
  <si>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</si>
  <si>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</si>
  <si>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</si>
  <si>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</si>
  <si>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</si>
  <si>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</si>
  <si>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</si>
  <si>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</si>
  <si>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</si>
  <si>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</si>
  <si>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</si>
  <si>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</si>
  <si>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</si>
  <si>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</si>
  <si>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</si>
  <si>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</si>
  <si>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</si>
  <si>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</si>
  <si>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eFt</t>
  </si>
  <si>
    <t>Jogcím megnevezése</t>
  </si>
  <si>
    <t>Bevételek összesen:</t>
  </si>
  <si>
    <t>Út - híd keret</t>
  </si>
  <si>
    <t>eFt-ban</t>
  </si>
  <si>
    <t>Dologi jellegű kiadások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</si>
  <si>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</si>
  <si>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</si>
  <si>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</si>
  <si>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</si>
  <si>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</si>
  <si>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</si>
  <si>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</si>
  <si>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</si>
  <si>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</si>
  <si>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</si>
  <si>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</si>
  <si>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</si>
  <si>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</si>
  <si>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</si>
  <si>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</si>
  <si>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</si>
  <si>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</si>
  <si>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</si>
  <si>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</si>
  <si>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</si>
  <si>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</si>
  <si>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</si>
  <si>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</si>
  <si>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</si>
  <si>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</si>
  <si>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</si>
  <si>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</si>
  <si>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</si>
  <si>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</si>
  <si>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</si>
  <si>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 xml:space="preserve">    4.1.Támogatásértékű működési kiad.</t>
  </si>
  <si>
    <t xml:space="preserve">    4.2.Működési c. pénzeszk. átad.államh. kívülre</t>
  </si>
  <si>
    <t xml:space="preserve">    4.3.Társadalom-szociálpol. és egyéb juttatás</t>
  </si>
  <si>
    <t xml:space="preserve">    4.4.előző évi műk.c. előir.mar., pénzmar.átad.</t>
  </si>
  <si>
    <t>5. Ellátottak pénzbeli juttatásai</t>
  </si>
  <si>
    <t>3. Egyéb felhalmozási kiadások összesen</t>
  </si>
  <si>
    <t>4. Egyéb működési kiadások összesen</t>
  </si>
  <si>
    <t xml:space="preserve">    3.1.Támogatás értékű felhalmozási kiadás</t>
  </si>
  <si>
    <t xml:space="preserve">    3.3.előző évi felh.c.előir.mar.,pénzmar.átad.</t>
  </si>
  <si>
    <t xml:space="preserve">4. Pénzügyi befektetés  </t>
  </si>
  <si>
    <t>5. Hosszú lejáratú hitelek kamata</t>
  </si>
  <si>
    <t>I. MŰKÖDÉSI KIADÁSOK</t>
  </si>
  <si>
    <t>II. FELHALMOZÁSI KIADÁSOK</t>
  </si>
  <si>
    <t>III. TÁMOGATÁSI KÖLCSÖNÖK NYÚJTÁSA, TÖRLESZTÉSE</t>
  </si>
  <si>
    <t>1. Támog. kölcsön nyújt. államházt.-on belülre</t>
  </si>
  <si>
    <t>2. Támog. kölcsön nyújt. államházt.-on kívülre</t>
  </si>
  <si>
    <t>3. Támog. kölcsön törlesztése államházt.-on belülre</t>
  </si>
  <si>
    <t>III. Támogatási  kölcsönök nyújtása, törlesztése összesen</t>
  </si>
  <si>
    <t>IV. PÉNZFORGALOM NÉLKÜLI KIADÁSOK</t>
  </si>
  <si>
    <t>1. Tervezett költségvetési és vállalk. maradvány</t>
  </si>
  <si>
    <t>TÁRGYÉVI KÖLTSÉGVETÉSI KIADÁS ÖSSZESEN (I.+II.+III.+IV.)</t>
  </si>
  <si>
    <t>4.Alap- és vállalkozási tev. közötti elszám.</t>
  </si>
  <si>
    <t>1. Működési célú kiadás</t>
  </si>
  <si>
    <t>2. Felhalmozási célú kiadás</t>
  </si>
  <si>
    <t>IV. Pénzforgalom nélküli kiadások összesen</t>
  </si>
  <si>
    <t>1.Működési célú hitel törlesztés és műk.c.kötv.bev.</t>
  </si>
  <si>
    <t>2.Felahalmozási célú hitel törlesztés és fel.c. kötv.bev.</t>
  </si>
  <si>
    <t>közter. rendjének fennt.</t>
  </si>
  <si>
    <t>fogorvosi ügyelet +iskola eü. Ellát.</t>
  </si>
  <si>
    <t>kozutak üzemeltetése + építése</t>
  </si>
  <si>
    <t>szennyvíz gyűjtés, elhelyezés</t>
  </si>
  <si>
    <t xml:space="preserve">sportlétesít. Műk. + versenys. </t>
  </si>
  <si>
    <t xml:space="preserve">I. 4.1. Támogatás értékű működési kiadás </t>
  </si>
  <si>
    <t xml:space="preserve">I.  4.2. Működési célú pénzeszközátadás államháztartáson kívülre </t>
  </si>
  <si>
    <t xml:space="preserve">I.  4.3. Társadalom-, szociálpol. és egyéb juttatás </t>
  </si>
  <si>
    <t>55 év felettiek rendszeres szoc.segélye</t>
  </si>
  <si>
    <t>Egészségkár. Rendszeres szoc. segélye</t>
  </si>
  <si>
    <t>Időskorúak járadéka</t>
  </si>
  <si>
    <t>Normatív lakásfenntartási támogatás</t>
  </si>
  <si>
    <t>Normatív ápolási díj</t>
  </si>
  <si>
    <t>Pénzbeni átmeneti segély</t>
  </si>
  <si>
    <t>Temetési segély</t>
  </si>
  <si>
    <t>Kiegészítő gyermekvédelmi támogatás</t>
  </si>
  <si>
    <t>Rendkívüli gyermekvédelmi támogatás</t>
  </si>
  <si>
    <t>Egyszeri gyermekvédelmi támogatás</t>
  </si>
  <si>
    <t>BURSA ösztöndíj</t>
  </si>
  <si>
    <t>Szemétszállítás támogatása</t>
  </si>
  <si>
    <t>Buszközlekedés támogatása</t>
  </si>
  <si>
    <t>Fürdőbelépő támogatása</t>
  </si>
  <si>
    <t>Mozgáskorlátozottak közlekedési támogatása</t>
  </si>
  <si>
    <t>Közköltséges temetés</t>
  </si>
  <si>
    <t>Gyermektartásdíj megelőlegezés</t>
  </si>
  <si>
    <t>Arany János Ösztöndíj</t>
  </si>
  <si>
    <t>Társadalom-, szociálpol. és egyéb juttatás össz.</t>
  </si>
  <si>
    <t xml:space="preserve">II.  3.1. Támogatás értékű felhalmozási kiadás </t>
  </si>
  <si>
    <t>Támogatás értékű felhalmozási kiadás össz.</t>
  </si>
  <si>
    <t>II.  3.2. Felhalmozási célú pénzeszköz átadás államháztatáson kívűlre</t>
  </si>
  <si>
    <t xml:space="preserve">    3.2.Felhalm.c.pénzeszk.átad.államh.kívülre</t>
  </si>
  <si>
    <t>Felhalm.c. pénzeszk.átad. Összesen:</t>
  </si>
  <si>
    <t>II. 4. Pénzügyi befektetés</t>
  </si>
  <si>
    <t xml:space="preserve">III. Támogatási kölcsönök nyújtása, törlesztése </t>
  </si>
  <si>
    <t>1. Támogatási kölcsön nyújtása államháztarttáson belülre</t>
  </si>
  <si>
    <t>1.2. Felhalmozási célú támogatási kölcsön nyújtása államháztartáson belülre</t>
  </si>
  <si>
    <t>1.1.Működési célú támogatási kölcsön nyújtása államháztartáson belülre</t>
  </si>
  <si>
    <t xml:space="preserve">2. Támogatási kölcsön nyújtása államháztartáson kívülre  </t>
  </si>
  <si>
    <t>2.2. Felhalmozási célú támogatási kölcsönök nyújtása államháztartáson kívülre</t>
  </si>
  <si>
    <t>2.1. Működési célú támogatási kölcsönök nyújtása államháztartartáson kívülre</t>
  </si>
  <si>
    <t>3. Támogatási kölcsönök törlesztése államháztartáson belülre</t>
  </si>
  <si>
    <t>3.1.Működési célú támogatási kölcsönök törlesztése államház. belülre</t>
  </si>
  <si>
    <t>3.2.Felhalmozási célú támogaási kölcsönök törlesztése államházt. belülre</t>
  </si>
  <si>
    <t>III. Támogatási kölcsön nyújtása, törlesztése  mindösszesen</t>
  </si>
  <si>
    <t>Közfoglalkoztatottak létszámkerete</t>
  </si>
  <si>
    <t>Egyéb működési kiadás</t>
  </si>
  <si>
    <t>Ellátottak pénzbeli juttatása</t>
  </si>
  <si>
    <t>Támogatási kölcsönök nyújtása, törlesztése</t>
  </si>
  <si>
    <t>Pénzforgalom nélküli kiadások</t>
  </si>
  <si>
    <t>Értékpapírvásárlás kiadásai</t>
  </si>
  <si>
    <t>Egyéb felhalmozási kiadás</t>
  </si>
  <si>
    <t>Pénzügyi befektetés</t>
  </si>
  <si>
    <t>Értékpapírok vásárlása</t>
  </si>
  <si>
    <t>Értékpapírok vásárlása össz.,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</si>
  <si>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</si>
  <si>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</si>
  <si>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</si>
  <si>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</si>
  <si>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</si>
  <si>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</si>
  <si>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</si>
  <si>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</si>
  <si>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</si>
  <si>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</si>
  <si>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</si>
  <si>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</si>
  <si>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</si>
  <si>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</si>
  <si>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</si>
  <si>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</si>
  <si>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</si>
  <si>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</si>
  <si>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</si>
  <si>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</si>
  <si>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</si>
  <si>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</si>
  <si>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</si>
  <si>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1.1. Közhatalmi bevételek</t>
  </si>
  <si>
    <t xml:space="preserve">1.2. Egyéb saját működési bevételek </t>
  </si>
  <si>
    <t>1.3. Működési célú ÁFA- bevételek, visszatér.</t>
  </si>
  <si>
    <t>1.4. Működési célú hozam és kamatbevételek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</si>
  <si>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</si>
  <si>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</si>
  <si>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</si>
  <si>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</si>
  <si>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</si>
  <si>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</si>
  <si>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</si>
  <si>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</si>
  <si>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I. MŰKÖDÉSI BEVÉTELEK (I/1+I/4)</t>
  </si>
  <si>
    <t>I/4. Egyéb működési bevételek</t>
  </si>
  <si>
    <t>4.1 Támogatás értékű működési bevételek</t>
  </si>
  <si>
    <t>4.3 Előző évi működési célú előir. mar. pénzm.átv.</t>
  </si>
  <si>
    <t>I/4. Egyéb működési  bevételek össz.</t>
  </si>
  <si>
    <t>4.2 Működési célú pénzeszk.átvétel államh. kívülről</t>
  </si>
  <si>
    <t>4.4 Előző évi költségvetési kieg. visszatérülés.</t>
  </si>
  <si>
    <t>II/1. Felhalmozási és tőke jellegű bevételek</t>
  </si>
  <si>
    <t>1.1. Tárgyi eszk., immat.javak értékesítése</t>
  </si>
  <si>
    <t>II/3. Egyéb felhalmozási bevételek</t>
  </si>
  <si>
    <t>3.1 Támogatás értékű felhalmozási bev.</t>
  </si>
  <si>
    <t>3.2. Felhalm.c. pénzeszk.átv. államházt.kívülről</t>
  </si>
  <si>
    <t>3.3 Előző évi felhalmozási c.előirm.pénzm.átvét.</t>
  </si>
  <si>
    <t>II. FELHALMOZÁSI BEVÉTELEK (II/1+II/3)</t>
  </si>
  <si>
    <t>II/3. Egyéb felhalm.bev.össz.</t>
  </si>
  <si>
    <t>1.3 Pénzügyi befektetés bevételei</t>
  </si>
  <si>
    <t>II/1. Felhalmozási és tőke jellegű bevételek össz.</t>
  </si>
  <si>
    <t>III. TÁMOGATÁSI KÖLCSÖNÖK VISSZATÉRÜLÉSE, IGÉNYBEVÉTELE</t>
  </si>
  <si>
    <t>IV. PÉNZFORGALOM NÉLÜLI BEVÉTELEK</t>
  </si>
  <si>
    <t>TÁRGYÉVI INTÉZMÉNYI BEVÉTELEK ÖSSZESEN (I+II+III+IV)</t>
  </si>
  <si>
    <t>1. Alap és vállalk. tev. közötti elszámolás</t>
  </si>
  <si>
    <t xml:space="preserve">     1. működési célú</t>
  </si>
  <si>
    <t xml:space="preserve">     2. felhalmozási célú</t>
  </si>
  <si>
    <t>KÖLTSÉGV. HIÁNY BELSŐ FINANSZ-T MEGHALADÓ ÖSSZ-NEK KÜLSŐ FIN.SZOLG.BEVÉTELEK</t>
  </si>
  <si>
    <t xml:space="preserve">    1. Működési célú bevételek</t>
  </si>
  <si>
    <t xml:space="preserve">    2. Felhalmozási célú bevételek</t>
  </si>
  <si>
    <t>1. Működési c.hitel ig.vétele és kötvény műk.c.</t>
  </si>
  <si>
    <t>2. Fejlesztési c.hitel ig.vétele és kötv.felh.c.</t>
  </si>
  <si>
    <t>IRÁNYÍTÓ SZERVTŐL KAPOTT TÁMOGATÁS</t>
  </si>
  <si>
    <t>INTÉZMÉNYI BEVÉTELEK MINDÖSSZESEN</t>
  </si>
  <si>
    <t xml:space="preserve">   --------------------</t>
  </si>
  <si>
    <t xml:space="preserve">      Praxisvásárlásra nyújtott kölcsön</t>
  </si>
  <si>
    <t>I/1. Intézményi működési bevételek</t>
  </si>
  <si>
    <t>I/2. Önkorm.sajátos működési bev(2.1..+2.4)</t>
  </si>
  <si>
    <t>3.1. Normatív hozzájárulások</t>
  </si>
  <si>
    <t>3.2. Központosított előirányzatok működési célúak</t>
  </si>
  <si>
    <t>3.3. Helyi önkormányzatok kiegészítő támogatása</t>
  </si>
  <si>
    <t>3.5. Normatív kötött felhasználású támogatások</t>
  </si>
  <si>
    <t>3.4. Helyi önkorm. által fennt. ill. támog.előadó-művészeti szervezetek támogatása</t>
  </si>
  <si>
    <t>I/3. Működési támogatások (3.1..+3.5)</t>
  </si>
  <si>
    <t>I. MŰKÖDÉSI BEVÉTELEK (I/1..+I/4)</t>
  </si>
  <si>
    <t>II. FELHALMOZÁSI BEVÉTELEK (II/1..+II/3)</t>
  </si>
  <si>
    <t>1.2.Önkormányzatok sajátos felhalmozási és tőke bevétele</t>
  </si>
  <si>
    <t>II/2. Felhalmozási támogatások</t>
  </si>
  <si>
    <t>2.1. Központosított előirányzatokból fejlesztési célú</t>
  </si>
  <si>
    <t>2.2. Fejlesztési célú támogatások</t>
  </si>
  <si>
    <t>KÖLTSÉGV. HIÁNY BELSŐ FINANSZÍROZÁSÁRA SZOLG.PÉNZFORG. NÉLKÜLI BEV.</t>
  </si>
  <si>
    <t>KÖLTSÉGV. HIÁNY BELSŐ FINANSZ-T MEGHALADÓ ÖSSZEGNEK KÜLSŐ FIN.SZOLG.BEVÉTELEK</t>
  </si>
  <si>
    <t>I/3.1. Normatív állami hozzájárulás részletezése</t>
  </si>
  <si>
    <t>I/3.5. Normatív kötött állami hozzájárulás részletezése</t>
  </si>
  <si>
    <t xml:space="preserve">I/3.2. Központosított előirányzatok részletezése </t>
  </si>
  <si>
    <t>I/3.2. Központosított előirányzatok működési célúak összesen</t>
  </si>
  <si>
    <t>I/3.3. Helyi önkormányzatok kiegészítő támogatása</t>
  </si>
  <si>
    <t>1. Önhibájukon kívül hátrányos helyzetben lévő önk. támogatása</t>
  </si>
  <si>
    <t>Kiegészítő támogatás egyes közoktatási feladatokhoz</t>
  </si>
  <si>
    <t>Egyes szociális feladatok támogatása</t>
  </si>
  <si>
    <t>II/1.1.Tárgyi eszközök, immateriális javak értékesítésének részletezése</t>
  </si>
  <si>
    <t>II/1.1. Tárgyi eszk.immat.jav. ért.össz.</t>
  </si>
  <si>
    <t xml:space="preserve">II/1.2. Önkormányzatok sajátos felhalmozási és tőke jellegű bevételeinek </t>
  </si>
  <si>
    <t>II/1.2. Önkormányzat sajátos felhalm. és tőke bev.össz.</t>
  </si>
  <si>
    <t>II/1.3. Pénzügyi befektetés bevétele</t>
  </si>
  <si>
    <t>II/1.3. Pénzügyi befektetés bevétele összesen</t>
  </si>
  <si>
    <t xml:space="preserve">II/2/1. Központosított előirányzatokból felhalmozási célúak részletezése </t>
  </si>
  <si>
    <t>Felhalmozási célú központosított előirányzatok:</t>
  </si>
  <si>
    <t>II/2.1. Központosított előirányzatok felhalmozási célúak összesen</t>
  </si>
  <si>
    <t>II/2/2. Fejlesztési célú támogatások részletezése</t>
  </si>
  <si>
    <t>II/2.2. Fejlesztési célő támogatások  összesen</t>
  </si>
  <si>
    <t>Fejlesztési célú támogaátsok:</t>
  </si>
  <si>
    <t xml:space="preserve">    2.2.2. Céltámogatás </t>
  </si>
  <si>
    <t xml:space="preserve">    2.2.3. Vis Mior támogatás</t>
  </si>
  <si>
    <t xml:space="preserve">    2.2.4. Egyéb központi támogatás </t>
  </si>
  <si>
    <t xml:space="preserve">    2.2.1. Címzett támogatások </t>
  </si>
  <si>
    <t>II/3.1. Támogatás értékű felhalmozási bevételek</t>
  </si>
  <si>
    <t xml:space="preserve">II/3.2. Felhalmozási célú pénzeszköz átvétele államháztartáson kívülről </t>
  </si>
  <si>
    <t>III. Támogatási kölcsönök visszatérülése, igénybevétele</t>
  </si>
  <si>
    <t xml:space="preserve">2. Támogatási kölcsön visszatérülése államháztartáson kívülről  </t>
  </si>
  <si>
    <t>1. Támogatási kölcsön visszatérülése államháztarttáson belülről</t>
  </si>
  <si>
    <t>1.1.Működési célú támogatási kölcsön visszatérülése államháztartáson belülről</t>
  </si>
  <si>
    <t>1.2. Felhalmozási célú támogatási kölcsön visszatérülése államháztartáson belülről</t>
  </si>
  <si>
    <t xml:space="preserve">      Dolgozók lakásépítés vásárlására ford. kölcsön visszatérülése</t>
  </si>
  <si>
    <t xml:space="preserve">      Lakáscélú kölcsön visszatérülése háztartásoktól</t>
  </si>
  <si>
    <t xml:space="preserve">      Praxisvásárlásra nyújtott kölcsön visszatérülése</t>
  </si>
  <si>
    <t xml:space="preserve">      Első lakáshozjutók  támogatási kölcsönének visszatérülése- háztartásoktól</t>
  </si>
  <si>
    <t xml:space="preserve">      Lakáshitel visszatérülése- háztartásoktól</t>
  </si>
  <si>
    <t>3. Támogatási kölcsönök igénybevétele államháztartáson belülről</t>
  </si>
  <si>
    <t xml:space="preserve">        Kamatmentes kölcsön visszatérülése</t>
  </si>
  <si>
    <t>3.1.Működési célú támogatási kölcsönök igénybevétele államház. belülről</t>
  </si>
  <si>
    <t>3.2.Felhalmozási célú támogatási kölcsönök  igénybevétele államházt. belülről</t>
  </si>
  <si>
    <t>III. Támogatási kölcsön visszatérülése, igénybevétele  mindösszesen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</si>
  <si>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</si>
  <si>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</si>
  <si>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</si>
  <si>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</si>
  <si>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</si>
  <si>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IV. Pénzforgalom nélküli bevételek összesen</t>
  </si>
  <si>
    <t xml:space="preserve">      Ebből: Céltartalék</t>
  </si>
  <si>
    <t>Önkorm. Sajátos műk. Bev.</t>
  </si>
  <si>
    <t>Működési támogatások össz.</t>
  </si>
  <si>
    <t>Támogatási kölcsönök visszatérülése</t>
  </si>
  <si>
    <t>Pénzforgalom nélküli bevételek</t>
  </si>
  <si>
    <t>Ktgv-i hiány belső finansz.szolg. pénzf.nélk.bev</t>
  </si>
  <si>
    <t>Kv-i hiány belső finan.megh.öss.külső fin.sz.bev</t>
  </si>
  <si>
    <t>Értékpapírok értékesít-nek bevétele</t>
  </si>
  <si>
    <t>Hitelfelvétel, kötvénykib. /forráshiány/</t>
  </si>
  <si>
    <t>Felhalm támog.</t>
  </si>
  <si>
    <t>Egyéb felhalmzási bevételek</t>
  </si>
  <si>
    <t>Támogatási kölcsönök visszatér.</t>
  </si>
  <si>
    <t xml:space="preserve">Hitelfelvétel, kötvénykib. </t>
  </si>
  <si>
    <t>Egyéb működési bevételek</t>
  </si>
  <si>
    <t>2010.évi ktgv.</t>
  </si>
  <si>
    <t>2011. évi terv</t>
  </si>
  <si>
    <t>pénzbeli szociális juttatások (17272*7005)(17098*</t>
  </si>
  <si>
    <r>
      <t>szociális étkeztetés (205*55.363)(</t>
    </r>
    <r>
      <rPr>
        <b/>
        <sz val="12"/>
        <color indexed="8"/>
        <rFont val="Times New Roman"/>
        <family val="1"/>
      </rPr>
      <t>190*55.360)</t>
    </r>
  </si>
  <si>
    <r>
      <t>Bölcsödei ellátás (56*540150) (58*494100)(</t>
    </r>
    <r>
      <rPr>
        <b/>
        <sz val="12"/>
        <color indexed="8"/>
        <rFont val="Times New Roman"/>
        <family val="1"/>
      </rPr>
      <t>68*494.100)</t>
    </r>
  </si>
  <si>
    <r>
      <t>Ingyenes bölcsödei étkezés (19*65000) (3*65000)(</t>
    </r>
    <r>
      <rPr>
        <b/>
        <sz val="12"/>
        <color indexed="8"/>
        <rFont val="Times New Roman"/>
        <family val="1"/>
      </rPr>
      <t>13*68.000)</t>
    </r>
  </si>
  <si>
    <r>
      <t>szociális továbbképzés és szakvizsga  (16*9400)</t>
    </r>
    <r>
      <rPr>
        <b/>
        <sz val="12"/>
        <color indexed="8"/>
        <rFont val="Times New Roman"/>
        <family val="1"/>
      </rPr>
      <t>(14*9.400</t>
    </r>
    <r>
      <rPr>
        <sz val="12"/>
        <color indexed="8"/>
        <rFont val="Times New Roman"/>
        <family val="1"/>
      </rPr>
      <t>)</t>
    </r>
  </si>
  <si>
    <r>
      <t>szociális összesen</t>
    </r>
    <r>
      <rPr>
        <b/>
        <sz val="12"/>
        <color indexed="8"/>
        <rFont val="Calibri"/>
        <family val="2"/>
      </rPr>
      <t>}}</t>
    </r>
  </si>
  <si>
    <r>
      <t>Isk.okt.alaphzj.7.évf.(145*2350000*8/12)</t>
    </r>
    <r>
      <rPr>
        <b/>
        <sz val="12"/>
        <color indexed="8"/>
        <rFont val="Times New Roman"/>
        <family val="1"/>
      </rPr>
      <t>138*2350000*8/12</t>
    </r>
  </si>
  <si>
    <r>
      <t>Isk.okt.alaphzj.8.évf.(182*2350000*8/12)</t>
    </r>
    <r>
      <rPr>
        <b/>
        <sz val="12"/>
        <color indexed="8"/>
        <rFont val="Times New Roman"/>
        <family val="1"/>
      </rPr>
      <t>154*2350000*8/12</t>
    </r>
  </si>
  <si>
    <r>
      <t>Isk.okt.alaphzj.3.évf.(99*2350000*4/12)</t>
    </r>
    <r>
      <rPr>
        <b/>
        <sz val="12"/>
        <color indexed="8"/>
        <rFont val="Times New Roman"/>
        <family val="1"/>
      </rPr>
      <t>97*2350000*4/12</t>
    </r>
  </si>
  <si>
    <r>
      <t>Isk.okt.alaphzj.7.évf.(138*2350000*4/12)</t>
    </r>
    <r>
      <rPr>
        <b/>
        <sz val="12"/>
        <color indexed="8"/>
        <rFont val="Times New Roman"/>
        <family val="1"/>
      </rPr>
      <t>106*2350000*4/12</t>
    </r>
  </si>
  <si>
    <r>
      <t>Isk.okt.alaphzj.8.évf.(154*2350000*4/12)</t>
    </r>
    <r>
      <rPr>
        <b/>
        <sz val="12"/>
        <color indexed="8"/>
        <rFont val="Times New Roman"/>
        <family val="1"/>
      </rPr>
      <t>138*2350000*4/12</t>
    </r>
  </si>
  <si>
    <t>SNI magántanuló (2*240000*8/12)(1*224000*8/12)</t>
  </si>
  <si>
    <t>SNI magántanuló (2*239000*4/12)</t>
  </si>
  <si>
    <r>
      <t>SNI gyógyped.nev.visszah.(2*134400*4/12)</t>
    </r>
    <r>
      <rPr>
        <b/>
        <sz val="12"/>
        <color indexed="8"/>
        <rFont val="Times New Roman"/>
        <family val="1"/>
      </rPr>
      <t xml:space="preserve"> 4*134400*4/12</t>
    </r>
  </si>
  <si>
    <t>Fejlesztő felkészítés (2*305000)</t>
  </si>
  <si>
    <t>Isk.okt.11.évf.(232*2350000*8/12)</t>
  </si>
  <si>
    <t>Isk.okt.12-13.évf.(286*2350000*8/12)</t>
  </si>
  <si>
    <r>
      <t>isk.okt.11-12.évf.</t>
    </r>
    <r>
      <rPr>
        <b/>
        <sz val="12"/>
        <color indexed="8"/>
        <rFont val="Times New Roman"/>
        <family val="1"/>
      </rPr>
      <t>503*2350000*8/12</t>
    </r>
  </si>
  <si>
    <r>
      <t>isk.okt.13.évf.</t>
    </r>
    <r>
      <rPr>
        <b/>
        <sz val="12"/>
        <color indexed="8"/>
        <rFont val="Times New Roman"/>
        <family val="1"/>
      </rPr>
      <t>51*2350000*8/12</t>
    </r>
  </si>
  <si>
    <t>Isk.okt.11.évf.(243*2540000*4/12)(287*2350000*4/12)</t>
  </si>
  <si>
    <t>Isk.okt.12.évf.(226*2350000*4/12)</t>
  </si>
  <si>
    <t>Isk.okt.13.évf.(56*2350000*4/12)</t>
  </si>
  <si>
    <r>
      <t xml:space="preserve">Ped.módsz.tám.min.képző (94*17600*8/12) </t>
    </r>
    <r>
      <rPr>
        <b/>
        <sz val="12"/>
        <color indexed="8"/>
        <rFont val="Times New Roman"/>
        <family val="1"/>
      </rPr>
      <t>119*17600*8/12</t>
    </r>
  </si>
  <si>
    <t>Ped.módsz.tám.min.zene (246*48500*4/12)(274*44900*4/12)</t>
  </si>
  <si>
    <t>Ped.módsz.tám.min.képző (138*19000*4/12)(94*17600*4/12)</t>
  </si>
  <si>
    <r>
      <t xml:space="preserve">Kollégiumi lakh.felt.megt(73*165000*8/12) </t>
    </r>
    <r>
      <rPr>
        <b/>
        <sz val="12"/>
        <color indexed="8"/>
        <rFont val="Times New Roman"/>
        <family val="1"/>
      </rPr>
      <t>66*165000*8/12</t>
    </r>
  </si>
  <si>
    <t>Kollégiumi lakh.felt.megt.(72*177000*4/12)(72*165000*4/12)</t>
  </si>
  <si>
    <r>
      <t xml:space="preserve">Int.fent.társ.ált.isk.bejáró 5-7.évf. (39*36300*8/12) </t>
    </r>
    <r>
      <rPr>
        <b/>
        <sz val="12"/>
        <color indexed="8"/>
        <rFont val="Times New Roman"/>
        <family val="1"/>
      </rPr>
      <t>50*36300*8/12</t>
    </r>
  </si>
  <si>
    <r>
      <t xml:space="preserve">Int.fent.társ.ált.isk.bejáró 7-8.évf.(48*36300*8/12) </t>
    </r>
    <r>
      <rPr>
        <b/>
        <sz val="12"/>
        <color indexed="8"/>
        <rFont val="Times New Roman"/>
        <family val="1"/>
      </rPr>
      <t>25*36300*8/12</t>
    </r>
  </si>
  <si>
    <t>Int.fent.társ.ált.isk.bejáró 5-7.évf. (50*36300*4/12)</t>
  </si>
  <si>
    <t>Int.fent.társ.ált.isk.bejáró 8.évf.(25*36300*4/12)</t>
  </si>
  <si>
    <t>kieg.hzj.rsz.gyv. Kedv.rész.5-6.évf.ingy.étk.(33*20000)(72*20000)</t>
  </si>
  <si>
    <t>tanulói tankönyv (1704*1000)(2668*1000)</t>
  </si>
  <si>
    <t>közoktatás összesen:</t>
  </si>
  <si>
    <t xml:space="preserve">  körzetközpont</t>
  </si>
  <si>
    <t>hivatásos tűzoltóság</t>
  </si>
  <si>
    <t>SZJA 8%-a</t>
  </si>
  <si>
    <t>jövedelemdifferenciálódásának mérséklése</t>
  </si>
  <si>
    <r>
      <t>E</t>
    </r>
    <r>
      <rPr>
        <b/>
        <sz val="12"/>
        <color indexed="8"/>
        <rFont val="Times New Roman"/>
        <family val="1"/>
      </rPr>
      <t>gyéb összesen:</t>
    </r>
  </si>
  <si>
    <t>normatíva összesen:</t>
  </si>
  <si>
    <t>Szent László Gimnázium SZKHJ átvét TISZK-től</t>
  </si>
  <si>
    <t>Széchenyi I. Szakképző Isk. SZKHJ átvét TISZK-től</t>
  </si>
  <si>
    <t>I./4. Egyéb működési bevételek</t>
  </si>
  <si>
    <t>Ebből: - Rendelő: - TB alaptól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</si>
  <si>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</si>
  <si>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</si>
  <si>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</si>
  <si>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</si>
  <si>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</si>
  <si>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</si>
  <si>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</si>
  <si>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>Intézmények:</t>
  </si>
  <si>
    <t>Polgármesteri Hivatal összesen</t>
  </si>
  <si>
    <t>adatok:eFt-bam</t>
  </si>
  <si>
    <t xml:space="preserve">                              - Támogatás ért. EU. Pály.</t>
  </si>
  <si>
    <t>11.cc</t>
  </si>
  <si>
    <t>14.a</t>
  </si>
  <si>
    <t>14.c</t>
  </si>
  <si>
    <t xml:space="preserve">15.a(2)2 </t>
  </si>
  <si>
    <t>15.a(2)1</t>
  </si>
  <si>
    <t>15.b(2)1</t>
  </si>
  <si>
    <t>15.b(3)1</t>
  </si>
  <si>
    <t>15.b(4)1</t>
  </si>
  <si>
    <t>15.b(6)1</t>
  </si>
  <si>
    <t>15.b(7)1</t>
  </si>
  <si>
    <t>15.b(8)1</t>
  </si>
  <si>
    <t>15.b(2)2</t>
  </si>
  <si>
    <t>15.b(3)2</t>
  </si>
  <si>
    <t>15.b(4)2</t>
  </si>
  <si>
    <t>15.b(6)2</t>
  </si>
  <si>
    <t>15.b(7)2</t>
  </si>
  <si>
    <t>15.b(8)2</t>
  </si>
  <si>
    <t>16.2.1.a(1)1</t>
  </si>
  <si>
    <t>16.2.1.a(1)2</t>
  </si>
  <si>
    <t>16.2.1.b.1</t>
  </si>
  <si>
    <t>16.2.1.b.2</t>
  </si>
  <si>
    <t>16.2.1.c(1)1</t>
  </si>
  <si>
    <t>16.2.1.c(1)2</t>
  </si>
  <si>
    <t>16.2.1.d(1)1</t>
  </si>
  <si>
    <t>16.2.1.d(1)2</t>
  </si>
  <si>
    <t>16.2.1.e(1)1</t>
  </si>
  <si>
    <t>16.2.1.e(1)2</t>
  </si>
  <si>
    <t>16.2..2</t>
  </si>
  <si>
    <t>16.2..3</t>
  </si>
  <si>
    <t>16.bcb</t>
  </si>
  <si>
    <t>15.c(1)1</t>
  </si>
  <si>
    <t>15.c(5)1</t>
  </si>
  <si>
    <t>15.c(8)1</t>
  </si>
  <si>
    <t>15.c(10)1</t>
  </si>
  <si>
    <t>15.c(17)1</t>
  </si>
  <si>
    <t>15.c(1)2</t>
  </si>
  <si>
    <t>15.c(5)2</t>
  </si>
  <si>
    <t>15.c(8)2</t>
  </si>
  <si>
    <t>15.c(10)2</t>
  </si>
  <si>
    <t>15.d(1)1</t>
  </si>
  <si>
    <t>15.d(1)2</t>
  </si>
  <si>
    <t>16.1.1.(1)1</t>
  </si>
  <si>
    <t>16.1.1.(2)1</t>
  </si>
  <si>
    <t>16.1.2.a 1</t>
  </si>
  <si>
    <t>16.1.2.b 1</t>
  </si>
  <si>
    <t>16.1.2.c 1</t>
  </si>
  <si>
    <t>16.1.2.d 1</t>
  </si>
  <si>
    <t>16.1.2.a 2</t>
  </si>
  <si>
    <t>16.1.2.b 2</t>
  </si>
  <si>
    <t>16.1.2.c 2</t>
  </si>
  <si>
    <t>16.1.2.d 2</t>
  </si>
  <si>
    <t>15.e(2)1</t>
  </si>
  <si>
    <t>15.e(5)1</t>
  </si>
  <si>
    <t>15.e(2)2</t>
  </si>
  <si>
    <t>15.e(5)2</t>
  </si>
  <si>
    <t>16.5.2.a 1</t>
  </si>
  <si>
    <t>16.5.2.b 1</t>
  </si>
  <si>
    <t>16.5.2.b 2</t>
  </si>
  <si>
    <t>16.eb.1</t>
  </si>
  <si>
    <t>16.eb.2</t>
  </si>
  <si>
    <t>16.ec</t>
  </si>
  <si>
    <t>15.f(1)1</t>
  </si>
  <si>
    <t>15.f(1)2</t>
  </si>
  <si>
    <t>17.3.(1)1</t>
  </si>
  <si>
    <t>17.3.(1)2</t>
  </si>
  <si>
    <t>15.g(1)1</t>
  </si>
  <si>
    <t>15.g(2)1</t>
  </si>
  <si>
    <t>15.g(1)2</t>
  </si>
  <si>
    <t>15.g(2)2</t>
  </si>
  <si>
    <t>16.4.(6)1</t>
  </si>
  <si>
    <t>16.4.(6)2</t>
  </si>
  <si>
    <t>16.6.1(1)1</t>
  </si>
  <si>
    <t>16.6.1(1)2</t>
  </si>
  <si>
    <t>16.6.2.b(3)1</t>
  </si>
  <si>
    <t>16.6.2.b(4)1</t>
  </si>
  <si>
    <t>16.6.2.b(5)1</t>
  </si>
  <si>
    <t>16.6.2.b(3)2</t>
  </si>
  <si>
    <t>16.6.2.b(4)2</t>
  </si>
  <si>
    <t>16.6.2.b(5)2</t>
  </si>
  <si>
    <t>17.1.a(2)</t>
  </si>
  <si>
    <t>17.1.a(3)</t>
  </si>
  <si>
    <t>17.1.a(4)</t>
  </si>
  <si>
    <t>17.1.a(5)</t>
  </si>
  <si>
    <t>17.1.a(7)</t>
  </si>
  <si>
    <t>17.1.b</t>
  </si>
  <si>
    <t>17.2.a</t>
  </si>
  <si>
    <t>17.2.b</t>
  </si>
  <si>
    <t>I.1.1</t>
  </si>
  <si>
    <t>I.1.2</t>
  </si>
  <si>
    <t>I.2.1</t>
  </si>
  <si>
    <t>I.2.2.</t>
  </si>
  <si>
    <t>I.3.a1</t>
  </si>
  <si>
    <t>I.3.a2</t>
  </si>
  <si>
    <t>I.3.b1</t>
  </si>
  <si>
    <t>I.3.b2</t>
  </si>
  <si>
    <t>és felhasználási kötöttséggel megillető normatív támogatásokról illetve személyi jövedelemadó bevételéről</t>
  </si>
  <si>
    <t xml:space="preserve">           Egyes jövedelempótló támogatások kiegészítése</t>
  </si>
  <si>
    <t>1.3.5. Normatív kötött felh.támog.</t>
  </si>
  <si>
    <r>
      <t xml:space="preserve">Bölcsődei ellátás   </t>
    </r>
    <r>
      <rPr>
        <sz val="10"/>
        <rFont val="Times New Roman"/>
        <family val="1"/>
      </rPr>
      <t xml:space="preserve"> 6</t>
    </r>
    <r>
      <rPr>
        <b/>
        <sz val="10"/>
        <rFont val="Times New Roman"/>
        <family val="1"/>
      </rPr>
      <t>8*494100</t>
    </r>
  </si>
  <si>
    <t xml:space="preserve">           Szociális továbbképzés szakvizsga   14 x 9.400 Ft</t>
  </si>
  <si>
    <r>
      <t>Isk.okt.alaphzj.3.évf.(99*2350000*4/12)</t>
    </r>
    <r>
      <rPr>
        <b/>
        <sz val="10"/>
        <color indexed="8"/>
        <rFont val="Times New Roman"/>
        <family val="1"/>
      </rPr>
      <t>97*2350000*4/12</t>
    </r>
  </si>
  <si>
    <r>
      <t>SNI gyógyped.nev.visszah.(2*134400*4/12)</t>
    </r>
    <r>
      <rPr>
        <b/>
        <sz val="10"/>
        <color indexed="8"/>
        <rFont val="Times New Roman"/>
        <family val="1"/>
      </rPr>
      <t xml:space="preserve"> 4*134400*4/12</t>
    </r>
  </si>
  <si>
    <r>
      <t xml:space="preserve">Ped.szakmai fel.középsz.érettségi vizsga </t>
    </r>
    <r>
      <rPr>
        <b/>
        <sz val="10"/>
        <color indexed="8"/>
        <rFont val="Times New Roman"/>
        <family val="1"/>
      </rPr>
      <t>235*6000</t>
    </r>
  </si>
  <si>
    <t>Projekt azonosítója:             ÉMOP-2007-3.1.2/A-2008-0027</t>
  </si>
  <si>
    <t xml:space="preserve">Projekt azonosítója: KEOP-4.2.0/B/09-2010-0010        </t>
  </si>
  <si>
    <t xml:space="preserve">Projekt azonosítója:             ÉMOP-4.2.1/B-09-2009-0003     </t>
  </si>
  <si>
    <t>Projekt azonosítója:             ÉMOP-3.2.1/D-09-2010-0006</t>
  </si>
  <si>
    <t>EU-s projekt címe:              Vonzó és élhető városi környezet kialakítása Mezőkövesden</t>
  </si>
  <si>
    <t xml:space="preserve">EU-s projekt címe:    Zsóry Fürdő terrmálvíz hasznosításra épülő épületgépészeti rekonstrukció  </t>
  </si>
  <si>
    <t>EU-s projekt címe:              Mezőkövesd Városi Bölcsőde kapacitásbővítő fejlesztése</t>
  </si>
  <si>
    <t>EU-s projekt címe:              Kánya-patak középső szakaszának rekonstrukciója</t>
  </si>
  <si>
    <t>Helyi TDM szervezet támogatása</t>
  </si>
  <si>
    <t>Helyi TDM szervezet támogatása - térségi feladatok ellátása</t>
  </si>
  <si>
    <t>Helyi TDM szervezet támogatása - térségi fel.</t>
  </si>
  <si>
    <t>Projekt azonosítója: KEOP-7.1.2.0/2F/09-2010-0027</t>
  </si>
  <si>
    <t xml:space="preserve">          - Víziközmű társ. Hitel törl. és hitelkamatra</t>
  </si>
  <si>
    <t>Szennyvízcsatorna III. ütem II. forduló</t>
  </si>
  <si>
    <t>Kánya patak középső szakaszának rekonstrukciója</t>
  </si>
  <si>
    <t>Város rehabilitáció</t>
  </si>
  <si>
    <t>Zsóry Gyógy- és Standfürdő fejlesztése KEOP-4.2.0/B09-2010-0010</t>
  </si>
  <si>
    <t>Városi Bölcsőde kapacitásbővítő fejlesztése</t>
  </si>
  <si>
    <t xml:space="preserve">             Bölcsődei ellátás öszesen:</t>
  </si>
  <si>
    <t>Szennyvízcsatorna Zsóry</t>
  </si>
  <si>
    <t>Közvilágítás hálózat fejlesztés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</si>
  <si>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</si>
  <si>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</si>
  <si>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</si>
  <si>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</si>
  <si>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</si>
  <si>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</si>
  <si>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</si>
  <si>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</si>
  <si>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</si>
  <si>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</si>
  <si>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</si>
  <si>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</si>
  <si>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</si>
  <si>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</si>
  <si>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</si>
  <si>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</si>
  <si>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</si>
  <si>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</si>
  <si>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</si>
  <si>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</si>
  <si>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</si>
  <si>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</si>
  <si>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</si>
  <si>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</si>
  <si>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</si>
  <si>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</si>
  <si>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</si>
  <si>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</si>
  <si>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</si>
  <si>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</si>
  <si>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</si>
  <si>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</si>
  <si>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</si>
  <si>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</si>
  <si>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</si>
  <si>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</si>
  <si>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</si>
  <si>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</si>
  <si>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</si>
  <si>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</si>
  <si>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</si>
  <si>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</si>
  <si>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</si>
  <si>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</si>
  <si>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</si>
  <si>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</si>
  <si>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</si>
  <si>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</si>
  <si>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</si>
  <si>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</si>
  <si>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</si>
  <si>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>Kiegészítő gyermekvédelmi pótlék</t>
  </si>
  <si>
    <t>Iskolatej program támogatás</t>
  </si>
  <si>
    <t>HPV oltás támogatás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</si>
  <si>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</si>
  <si>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</si>
  <si>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</si>
  <si>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</si>
  <si>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</si>
  <si>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</si>
  <si>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 xml:space="preserve">  - Szennyvízcsatorna III. ütem II. forduló KEOP</t>
  </si>
  <si>
    <t xml:space="preserve"> - Város rehabilitáció ÉMOP</t>
  </si>
  <si>
    <t xml:space="preserve"> - Zsóry fejlesztés KEOP</t>
  </si>
  <si>
    <t xml:space="preserve"> - Bölcsőde kapacitásbőv.fejl. ÉMOP</t>
  </si>
  <si>
    <t>Lakosságtól - Zsóry szennyvíz egyösszegű befiz.</t>
  </si>
  <si>
    <t>Víz-,csatorna felújitás</t>
  </si>
  <si>
    <t>kötvény hitelkamatok változására, ill. kötv. kamat fed. tart.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</si>
  <si>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</si>
  <si>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</si>
  <si>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</si>
  <si>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</si>
  <si>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</si>
  <si>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</si>
  <si>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</si>
  <si>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</si>
  <si>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</si>
  <si>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</si>
  <si>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</si>
  <si>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</si>
  <si>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</si>
  <si>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</si>
  <si>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</si>
  <si>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</si>
  <si>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</si>
  <si>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</si>
  <si>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</si>
  <si>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</si>
  <si>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</si>
  <si>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</si>
  <si>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</si>
  <si>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</si>
  <si>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</si>
  <si>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</si>
  <si>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</si>
  <si>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</si>
  <si>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</si>
  <si>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</si>
  <si>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</si>
  <si>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</si>
  <si>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</si>
  <si>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</si>
  <si>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</si>
  <si>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</si>
  <si>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</si>
  <si>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</si>
  <si>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</si>
  <si>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</si>
  <si>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</si>
  <si>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</si>
  <si>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</si>
  <si>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</si>
  <si>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</si>
  <si>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                   Általános (kockázati) tartalék</t>
  </si>
  <si>
    <t>3. Általános (kockázati) tartalék</t>
  </si>
  <si>
    <t xml:space="preserve">(x) Az önkormányzat költségvetési rendletének 24 §-ában </t>
  </si>
  <si>
    <t>Orvosi gép-műszer beszerzés</t>
  </si>
  <si>
    <t>2012. év</t>
  </si>
  <si>
    <t>2012. évi előirányzat</t>
  </si>
  <si>
    <t>2010. évi bevételek</t>
  </si>
  <si>
    <t>2011. évi várható bevételek</t>
  </si>
  <si>
    <t>I/1. Működési bevételek</t>
  </si>
  <si>
    <t>I/2. Önkormányzatok sajátos működési bevételei</t>
  </si>
  <si>
    <t>Tárgyévi költségvetési bevételek összesen (I. + II. +III. +IV.)</t>
  </si>
  <si>
    <t>1. Személyi jellegű juttatások</t>
  </si>
  <si>
    <t>2010. évi kiadások</t>
  </si>
  <si>
    <t>2011. évi várható kiadások</t>
  </si>
  <si>
    <t>I/3. Központi ktgvből kapott működési támog.</t>
  </si>
  <si>
    <t>I. Működési bevételek összesen</t>
  </si>
  <si>
    <t>I. Működési kiadások összesen</t>
  </si>
  <si>
    <t>II. Felhalmozási kiadások összesen</t>
  </si>
  <si>
    <t>1. Beruházási kiadások ÁFÁ-val</t>
  </si>
  <si>
    <t>2. Felújítási kiadások ÁFÁ-al</t>
  </si>
  <si>
    <t xml:space="preserve">3. Egyéb felhalmozási kiadások </t>
  </si>
  <si>
    <t>II/2. Központi ktgvből kapott felhalm. támog.</t>
  </si>
  <si>
    <t>Tárgyévi költségvetési kiadások összesen (I. + II. +III. +IV.)</t>
  </si>
  <si>
    <t>Finanszírozási célú pénzügyi műveletek összesen (V.+VI.+VII.)</t>
  </si>
  <si>
    <t>VI. Előző évi pénzmaradvány igénybevétele összesen:</t>
  </si>
  <si>
    <t>VII. Értékpapírok értékesítésének, kibocsátásának bevétele</t>
  </si>
  <si>
    <t>VIII. Hitelek felvétele és kötvénykibocsátás</t>
  </si>
  <si>
    <t>Finanszírozási célú pénzügyi műveletek összesen (V.+VI.+VII+VIII.)</t>
  </si>
  <si>
    <t>V. Betétek visszavonása</t>
  </si>
  <si>
    <t>VI. Értékpapírok vásárlásának kiadásai össz.</t>
  </si>
  <si>
    <t>VII. Hiteltörlesztés és kötvénybeváltás összesen</t>
  </si>
  <si>
    <t>V. Szabad pénzeszközök betétként való elhelyezése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</si>
  <si>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</si>
  <si>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</si>
  <si>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</si>
  <si>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</si>
  <si>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</si>
  <si>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</si>
  <si>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</si>
  <si>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</si>
  <si>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</si>
  <si>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</si>
  <si>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</si>
  <si>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</si>
  <si>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</si>
  <si>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</si>
  <si>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</si>
  <si>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</si>
  <si>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</si>
  <si>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</si>
  <si>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</si>
  <si>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</si>
  <si>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</si>
  <si>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</si>
  <si>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</si>
  <si>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</si>
  <si>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</si>
  <si>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>Költségvetési intézmények összesen</t>
  </si>
  <si>
    <t>Mindösszesen</t>
  </si>
  <si>
    <t xml:space="preserve">                 - működési célú kamatkiadás</t>
  </si>
  <si>
    <t xml:space="preserve">    Ebből: - hosszú lej. fejl.hitel kamata</t>
  </si>
  <si>
    <t>1. Beruházás ÁFÁ-val</t>
  </si>
  <si>
    <t>2. Felújítás ÁFÁ-val</t>
  </si>
  <si>
    <t>V. SZABAD PÉNZESZK. BETÉTKÉNT VALÓ ELHELYEZÉSE</t>
  </si>
  <si>
    <t>VI. ÉRTÉKPAPÍROK VÁSÁRLÁSÁNAK KIADÁSAI</t>
  </si>
  <si>
    <t>VII. HITELEK TÖRLESZTÉSE ÉS KÖTVÉNYBEVÁLTÁS KIADÁSAI</t>
  </si>
  <si>
    <t>V. Szabad péneszk. Betétként való elh. össz.</t>
  </si>
  <si>
    <t>Az önkormányzat 2012. évi kiadási előirányzatai összesen</t>
  </si>
  <si>
    <t xml:space="preserve">Polgármesteri Hivatal </t>
  </si>
  <si>
    <t>KIADÁS MINDÖSSZESEN (I. +….VII)</t>
  </si>
  <si>
    <t>KIADÁS MINDÖSSZESEN (I. + ….VII.)</t>
  </si>
  <si>
    <t>Irányító szerv alá tartozó költségvetési szerveknek nyújtott támogatás</t>
  </si>
  <si>
    <t>V. Szabad péneszk. betétként való elh. össz.</t>
  </si>
  <si>
    <t>II. Felhalmozási bevételek összesen</t>
  </si>
  <si>
    <t>Önkor-mányzat</t>
  </si>
  <si>
    <t xml:space="preserve">Az Önkormányzat  2012. évi költségvetési kiadási előirányzatai feladatonként </t>
  </si>
  <si>
    <t xml:space="preserve">                        A Polgármesteri Hivatal 2012. évi költségvetési kiadási</t>
  </si>
  <si>
    <t xml:space="preserve">A költségvetési intézmények 2012. évi költségvetési kiadási előirányzatai </t>
  </si>
  <si>
    <t>2012. ......................... hó</t>
  </si>
  <si>
    <t xml:space="preserve">........................ 2012. ............ hó .... nap </t>
  </si>
  <si>
    <t>2013. év</t>
  </si>
  <si>
    <t xml:space="preserve">2014. év </t>
  </si>
  <si>
    <t>2015. év</t>
  </si>
  <si>
    <t xml:space="preserve">2016. év </t>
  </si>
  <si>
    <t>2017. év</t>
  </si>
  <si>
    <t>2018. év</t>
  </si>
  <si>
    <t>2019. év</t>
  </si>
  <si>
    <t>2020. év</t>
  </si>
  <si>
    <t>2021. év</t>
  </si>
  <si>
    <t>2022. év</t>
  </si>
  <si>
    <t>2023. és azt követő években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</si>
  <si>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</si>
  <si>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</si>
  <si>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</si>
  <si>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</si>
  <si>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</si>
  <si>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</si>
  <si>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</si>
  <si>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</si>
  <si>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</si>
  <si>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</si>
  <si>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</si>
  <si>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</si>
  <si>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</si>
  <si>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</si>
  <si>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</si>
  <si>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</si>
  <si>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</si>
  <si>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</si>
  <si>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Finanszírozási műv.</t>
  </si>
  <si>
    <t>önk. ifjúsági prog.</t>
  </si>
  <si>
    <t>okt.kieg.tev.</t>
  </si>
  <si>
    <t>Városi Napköziotthonos Óvoda-Bölcsőde</t>
  </si>
  <si>
    <t>Szent László Gimnázium és Közg. Szakk.</t>
  </si>
  <si>
    <t>Széchenyi I. Szakképző Iskola</t>
  </si>
  <si>
    <t>Bayer R. Kollégium</t>
  </si>
  <si>
    <t>Költségvetési intézmények össz.</t>
  </si>
  <si>
    <t xml:space="preserve">          - MSE támogatása(sportp.hit.kam és hitel t.)</t>
  </si>
  <si>
    <t>Önkormányzat:</t>
  </si>
  <si>
    <t>Önkormáanyzat összesen:</t>
  </si>
  <si>
    <t>MINDÖSSZESEN</t>
  </si>
  <si>
    <t xml:space="preserve">     Az önkormányzat 2012. évi bevételi előirányzatai összesen</t>
  </si>
  <si>
    <t>V. BETÉTEK VISSZAVONÁSA</t>
  </si>
  <si>
    <t>VI. ELŐZŐ ÉVI PÉNZMARADVÁNY IGÉNYBEVÉTELE</t>
  </si>
  <si>
    <t>VII. ÉRTÉKPAPÍROK ÉRTÉKESÍTÉSÉNEK BEVÉTELE</t>
  </si>
  <si>
    <t>VIII. HITELEK FELVÉTELE ÉS KÖTVÉNYKIBOCSÁTÁS</t>
  </si>
  <si>
    <t>FINANSZÍROZÁSI CÉLÚ PÉNZÜGYI MŰVELETEK ÖSSZESEN   (V.+VI.+VII.+VIII.)</t>
  </si>
  <si>
    <t>BEVÉTELEK MINDÖSSZESEN (I....+VIII.)</t>
  </si>
  <si>
    <t>IX. Irányító Szervtől kapott támogatás</t>
  </si>
  <si>
    <t xml:space="preserve">Intézményi bevétel mindösszesen </t>
  </si>
  <si>
    <t xml:space="preserve">Önkormányzat </t>
  </si>
  <si>
    <t>Kötött normatív támogatás Ö s s z e s e n :</t>
  </si>
  <si>
    <t>2. A tartósan fizetésképtelen helyzetbe került helyi önkormányzatok adósságrendezésre irányuló visszterhes kamattámogat., a pénzügyi gondnok díja</t>
  </si>
  <si>
    <t>I/4.2. Működési célú pénzeszk. átvétel államh. Kívülről mindössz.</t>
  </si>
  <si>
    <t>I./4.1 Támogatás értékű működési bevételek mindösszesen</t>
  </si>
  <si>
    <t xml:space="preserve">Önkormányzat össz: </t>
  </si>
  <si>
    <t>Önkormányzat  összesen:</t>
  </si>
  <si>
    <t>II/3.1. Támogatás értékű felhalmozási bevétel mindössz.</t>
  </si>
  <si>
    <t>2.1. Működési célú támogatási kölcsönök visszatérülése államháztartartáson kívülről</t>
  </si>
  <si>
    <t>2.2. Felhalmozási célú támogatási kölcsönök visszatérülése államháztartáson kívülről</t>
  </si>
  <si>
    <t>Költségvetési intézmények 2012. évi  költségvetési bevételei</t>
  </si>
  <si>
    <t>Polgármesteri Hivatal 2012. évi  költségvetési bevételei</t>
  </si>
  <si>
    <t>Önkormányzati igazgatási tev.</t>
  </si>
  <si>
    <t>Polgármesteri Hivatal össz.</t>
  </si>
  <si>
    <t>Önkorm. Elszám.</t>
  </si>
  <si>
    <t>Polgármesteri Hivatal  összesen:</t>
  </si>
  <si>
    <t>MINDÖSSZESEN:</t>
  </si>
  <si>
    <t xml:space="preserve"> 2012. évi előirányzat</t>
  </si>
  <si>
    <t>közfoglalkoztatottak pályázati önereje</t>
  </si>
  <si>
    <t>Bőlcsőde bővítés4 fő  bér + járulék, dologi fedezetére</t>
  </si>
  <si>
    <t>közbiztonsági feladatokra</t>
  </si>
  <si>
    <t xml:space="preserve">pályázati önerő - csapadékvízelvez. </t>
  </si>
  <si>
    <t>Belosztály csapadékvíz elvezetés</t>
  </si>
  <si>
    <t>Belosztály ablakcsere</t>
  </si>
  <si>
    <t>Határon átnyúló pály. Önereje-brikettáló</t>
  </si>
  <si>
    <t>Zsóry fejlesztés pályázati önereő</t>
  </si>
  <si>
    <t>Városi Önkormányzat</t>
  </si>
  <si>
    <t>Közfoglalkoztatottak létszámkerete összesen</t>
  </si>
  <si>
    <t>2012.évi előir.</t>
  </si>
  <si>
    <t>2012. évi előir.</t>
  </si>
  <si>
    <t>OFA pályázat támogatási bevétele</t>
  </si>
  <si>
    <t xml:space="preserve">          - Kormányhivatal Munkaügyi Közp. Tám.</t>
  </si>
  <si>
    <t xml:space="preserve">          - Iskolatej támogatás -áthúzódó</t>
  </si>
  <si>
    <t xml:space="preserve">         - Tűzoltóság nettó illetmény+ járulék megtérítése</t>
  </si>
  <si>
    <t xml:space="preserve">         - egyéb pályázatok </t>
  </si>
  <si>
    <t xml:space="preserve">        Matyóföldi Idegenforgalmi Egyesület</t>
  </si>
  <si>
    <t>Mezőkövesd város önkormányzata által 2012. évben nyújtandó</t>
  </si>
  <si>
    <t>a pénzeszközök  2012. évre tervezett változásáról</t>
  </si>
  <si>
    <t>Nyitó pénzkészlet 2012. január 1-jén</t>
  </si>
  <si>
    <t>Záró pénzkészlet tervezett összege 2012. dec. 31-én</t>
  </si>
  <si>
    <t xml:space="preserve">             2012. év </t>
  </si>
  <si>
    <t>személygépjármű hitel</t>
  </si>
  <si>
    <t xml:space="preserve">              2012. év </t>
  </si>
  <si>
    <t>lakáshitel</t>
  </si>
  <si>
    <t>első lakáshozjutók támogatása</t>
  </si>
  <si>
    <t>lakáscélú hitel</t>
  </si>
  <si>
    <t>kamatmentes kölcsön praxisvásárlás</t>
  </si>
  <si>
    <t>kamatmentes kölcsön Idegenforgalmi Egyesület</t>
  </si>
  <si>
    <t>Hitel-állomány 2012.01.01</t>
  </si>
  <si>
    <t>Mező Ferenc tagiskola fejl.h.</t>
  </si>
  <si>
    <t xml:space="preserve">Nyitó pénzkészlet 2012.január 1-jén </t>
  </si>
  <si>
    <t xml:space="preserve">Záró pénzkészlet 2012. dec. 31-én </t>
  </si>
  <si>
    <t>Eredeti előir.</t>
  </si>
  <si>
    <t>Mód. Előir.</t>
  </si>
  <si>
    <t>Kimutatás az önkormányzatot 2010-2011-2012. években felhasználási kötöttség nélkül</t>
  </si>
  <si>
    <t>2012. évi terv</t>
  </si>
  <si>
    <r>
      <t>Óvodai nev.alaphzj. 1-3.nev.év (467*2350*4/12((</t>
    </r>
    <r>
      <rPr>
        <b/>
        <sz val="12"/>
        <color indexed="8"/>
        <rFont val="Times New Roman"/>
        <family val="1"/>
      </rPr>
      <t>460*2350*4/12)(460*2350*4/12)</t>
    </r>
  </si>
  <si>
    <r>
      <t>Óvodai nev.alaphzj. 1-3.nev.év (457*2350000*8/12)(</t>
    </r>
    <r>
      <rPr>
        <b/>
        <sz val="12"/>
        <color indexed="8"/>
        <rFont val="Times New Roman"/>
        <family val="1"/>
      </rPr>
      <t>465*2350*8/12)(499*2350*8/12)</t>
    </r>
  </si>
  <si>
    <r>
      <t>Isk.okt.alaphzj.1-2.évf.(232*2350000*8/12</t>
    </r>
    <r>
      <rPr>
        <b/>
        <sz val="12"/>
        <color indexed="8"/>
        <rFont val="Times New Roman"/>
        <family val="1"/>
      </rPr>
      <t>)(222*2350000*8/12)(203*2350000*8/12)</t>
    </r>
  </si>
  <si>
    <r>
      <t>Isk.okt.alaphzj.3.évf.(119*2350000*8/12</t>
    </r>
    <r>
      <rPr>
        <b/>
        <sz val="12"/>
        <color indexed="8"/>
        <rFont val="Times New Roman"/>
        <family val="1"/>
      </rPr>
      <t>)(99*2350000*8/12)(96*2350000*8/12)</t>
    </r>
  </si>
  <si>
    <r>
      <t>Isk.okt.alaphzj.4.évf.(147*2350000*8/12)</t>
    </r>
    <r>
      <rPr>
        <b/>
        <sz val="12"/>
        <color indexed="8"/>
        <rFont val="Times New Roman"/>
        <family val="1"/>
      </rPr>
      <t>(160*2350000*8/12)(129*2350*8/12)</t>
    </r>
  </si>
  <si>
    <r>
      <t>Isk.okt.alaphzj.5-6.évf.(269*2350000*8/12)(</t>
    </r>
    <r>
      <rPr>
        <b/>
        <sz val="12"/>
        <color indexed="8"/>
        <rFont val="Times New Roman"/>
        <family val="1"/>
      </rPr>
      <t>236*2350000*8/12)(258*2350000*8/12)</t>
    </r>
  </si>
  <si>
    <t>Isk.okt.alaphzj.7-8.évf.(325*2550000*8/12)(245*2350000*8/12)</t>
  </si>
  <si>
    <r>
      <t>Isk.okt.alaphzj.1-2.évf(197*2350*4/12)(</t>
    </r>
    <r>
      <rPr>
        <b/>
        <sz val="12"/>
        <color indexed="8"/>
        <rFont val="Times New Roman"/>
        <family val="1"/>
      </rPr>
      <t>250*2350*4/12)(171*2350000*4/12)</t>
    </r>
  </si>
  <si>
    <r>
      <t>Isk.okt.alaphzj.4.évf.(160*2350000*4/12)(</t>
    </r>
    <r>
      <rPr>
        <b/>
        <sz val="12"/>
        <color indexed="8"/>
        <rFont val="Times New Roman"/>
        <family val="1"/>
      </rPr>
      <t>124*2350000*4/12)(124*2350000*4/12)</t>
    </r>
  </si>
  <si>
    <r>
      <t>Isk.okt.alaphzj.5-6.évf.(236*2350000*4/12)(</t>
    </r>
    <r>
      <rPr>
        <b/>
        <sz val="12"/>
        <color indexed="8"/>
        <rFont val="Times New Roman"/>
        <family val="1"/>
      </rPr>
      <t>265*2350000*4/12)(240*2350000*4/12)</t>
    </r>
  </si>
  <si>
    <t>15.b(11)2</t>
  </si>
  <si>
    <t>Isk.okt.alaphzj.7-8.évf.(228*2350000*4/12)</t>
  </si>
  <si>
    <r>
      <t>SNI gyógyped.nev.visszah.(2*134400*8/12) (</t>
    </r>
    <r>
      <rPr>
        <b/>
        <sz val="12"/>
        <color indexed="8"/>
        <rFont val="Times New Roman"/>
        <family val="1"/>
      </rPr>
      <t>5*134400*8/12)(1*134.400*8/12)</t>
    </r>
  </si>
  <si>
    <r>
      <t>SNI testi,érzéksz.,autista(5*358400*8/12)(</t>
    </r>
    <r>
      <rPr>
        <b/>
        <sz val="12"/>
        <color indexed="8"/>
        <rFont val="Times New Roman"/>
        <family val="1"/>
      </rPr>
      <t>5*358400*8/12)(4*358.400*8/12)</t>
    </r>
  </si>
  <si>
    <r>
      <t>SNI testi,érzéksz.,autista(4*358400*4/12)(</t>
    </r>
    <r>
      <rPr>
        <b/>
        <sz val="12"/>
        <color indexed="8"/>
        <rFont val="Times New Roman"/>
        <family val="1"/>
      </rPr>
      <t>3*358400*4/12)(2*358.400*4/12)</t>
    </r>
  </si>
  <si>
    <r>
      <t>SNI beszédfogy.(35*179200*8/12</t>
    </r>
    <r>
      <rPr>
        <b/>
        <sz val="12"/>
        <color indexed="8"/>
        <rFont val="Times New Roman"/>
        <family val="1"/>
      </rPr>
      <t>)(43*179200*8/12)(25*179.200*8/12)</t>
    </r>
  </si>
  <si>
    <r>
      <t>SNI beszédfogy.(39*179200*4/12)(</t>
    </r>
    <r>
      <rPr>
        <b/>
        <sz val="12"/>
        <color indexed="8"/>
        <rFont val="Times New Roman"/>
        <family val="1"/>
      </rPr>
      <t>39*179200*4/12)(17*179.200*4/12)</t>
    </r>
  </si>
  <si>
    <r>
      <t>SNI viselkedés fejl.(26*134400*8/12)(</t>
    </r>
    <r>
      <rPr>
        <b/>
        <sz val="12"/>
        <color indexed="8"/>
        <rFont val="Times New Roman"/>
        <family val="1"/>
      </rPr>
      <t>44*134400*8/12)(87*156.800*8/12)</t>
    </r>
  </si>
  <si>
    <r>
      <t>SNI viselkedés fejl.(35*134400*4/12) (</t>
    </r>
    <r>
      <rPr>
        <b/>
        <sz val="12"/>
        <color indexed="8"/>
        <rFont val="Times New Roman"/>
        <family val="1"/>
      </rPr>
      <t>41*134400*4/12)(78*156.800*4/12)</t>
    </r>
  </si>
  <si>
    <r>
      <t>Korai fejl.gond.(11*240000)(</t>
    </r>
    <r>
      <rPr>
        <b/>
        <sz val="12"/>
        <color indexed="8"/>
        <rFont val="Times New Roman"/>
        <family val="1"/>
      </rPr>
      <t>11*240000)(8*240.000)</t>
    </r>
  </si>
  <si>
    <r>
      <t>Egyéni fejlesztő felkészítés</t>
    </r>
    <r>
      <rPr>
        <b/>
        <sz val="12"/>
        <rFont val="Times New Roman"/>
        <family val="1"/>
      </rPr>
      <t xml:space="preserve"> (3fő*427000)(3*427.000)</t>
    </r>
  </si>
  <si>
    <r>
      <t>Isk.okt.9-10.évf.(749*2350000*8/12)(</t>
    </r>
    <r>
      <rPr>
        <b/>
        <sz val="12"/>
        <color indexed="8"/>
        <rFont val="Times New Roman"/>
        <family val="1"/>
      </rPr>
      <t>752*2350000*8/12)(679*2350000*8/12)</t>
    </r>
  </si>
  <si>
    <t>Isk.okt.11-13.évf.(530*2550000*8/12)(542*2350000*8/12)</t>
  </si>
  <si>
    <r>
      <t>Isk.okt.9-10.évf.(719*2350000*4/12)(</t>
    </r>
    <r>
      <rPr>
        <b/>
        <sz val="12"/>
        <color indexed="8"/>
        <rFont val="Times New Roman"/>
        <family val="1"/>
      </rPr>
      <t>795*2350000*4/12)(667*2350000*8/12)</t>
    </r>
  </si>
  <si>
    <r>
      <t>Isk. okt. 11-13. évf. (</t>
    </r>
    <r>
      <rPr>
        <b/>
        <sz val="12"/>
        <color indexed="8"/>
        <rFont val="Times New Roman"/>
        <family val="1"/>
      </rPr>
      <t>567*2350000*4/12)(523*23500000*4/12)</t>
    </r>
  </si>
  <si>
    <r>
      <t>Isk.szakképzés 9-11.évf.(384*2350000*8/12)(</t>
    </r>
    <r>
      <rPr>
        <b/>
        <sz val="12"/>
        <color indexed="8"/>
        <rFont val="Times New Roman"/>
        <family val="1"/>
      </rPr>
      <t>381*2350000*8/12)(421*2350000*8/12)</t>
    </r>
  </si>
  <si>
    <r>
      <t>Isk.szakképzés 9-11.évf.(396*2350000*4/12)(</t>
    </r>
    <r>
      <rPr>
        <b/>
        <sz val="12"/>
        <color indexed="8"/>
        <rFont val="Times New Roman"/>
        <family val="1"/>
      </rPr>
      <t>407*2350000*4/12)(389*2350000*4/12)</t>
    </r>
  </si>
  <si>
    <r>
      <t>Isk.gyak.okt.9-10.évf(214*35000*8/12)(</t>
    </r>
    <r>
      <rPr>
        <b/>
        <sz val="12"/>
        <color indexed="8"/>
        <rFont val="Times New Roman"/>
        <family val="1"/>
      </rPr>
      <t>221*35000*8/12)(166*2350000*8/12)</t>
    </r>
  </si>
  <si>
    <r>
      <t>Isk.gyak.okt.9-10.évf.(210*35000*4/12)(</t>
    </r>
    <r>
      <rPr>
        <b/>
        <sz val="12"/>
        <color indexed="8"/>
        <rFont val="Times New Roman"/>
        <family val="1"/>
      </rPr>
      <t>238*35000*4/12)(173*2350000*4/12)</t>
    </r>
  </si>
  <si>
    <r>
      <t>Isk.gyak.(1 évf.képz.)7*98000*8/12)(</t>
    </r>
    <r>
      <rPr>
        <b/>
        <sz val="12"/>
        <color indexed="8"/>
        <rFont val="Times New Roman"/>
        <family val="1"/>
      </rPr>
      <t>5*98000*8/12)(3*98000*8/12)</t>
    </r>
  </si>
  <si>
    <r>
      <t>Isk.gyak.(első évf.)47*137200*8/12)(</t>
    </r>
    <r>
      <rPr>
        <b/>
        <sz val="12"/>
        <color indexed="8"/>
        <rFont val="Times New Roman"/>
        <family val="1"/>
      </rPr>
      <t>58*137200*8/12)(102*137.200*8/12)</t>
    </r>
  </si>
  <si>
    <r>
      <t>Isk.gyak.(ut.évf.)(27*58800*8/12) (</t>
    </r>
    <r>
      <rPr>
        <b/>
        <sz val="12"/>
        <color indexed="8"/>
        <rFont val="Times New Roman"/>
        <family val="1"/>
      </rPr>
      <t>25*58800*8/12)(15*58.800*8/12)</t>
    </r>
  </si>
  <si>
    <r>
      <t>Isk.gyak.(tan.szerz.)(139*19600*8/12) (</t>
    </r>
    <r>
      <rPr>
        <b/>
        <sz val="12"/>
        <color indexed="8"/>
        <rFont val="Times New Roman"/>
        <family val="1"/>
      </rPr>
      <t>187*19600*8/12)(228*19.600*8/12)</t>
    </r>
  </si>
  <si>
    <r>
      <t>Isk.gyak.(1 évf.képz.)(16*98000*4/12)(</t>
    </r>
    <r>
      <rPr>
        <b/>
        <sz val="12"/>
        <color indexed="8"/>
        <rFont val="Times New Roman"/>
        <family val="1"/>
      </rPr>
      <t>3*9800*4/12)(8*98000*4/12)</t>
    </r>
  </si>
  <si>
    <r>
      <t xml:space="preserve">Isk.gyak.(első évf.)(50*137200*4/12)( </t>
    </r>
    <r>
      <rPr>
        <b/>
        <sz val="12"/>
        <color indexed="8"/>
        <rFont val="Times New Roman"/>
        <family val="1"/>
      </rPr>
      <t>62*137200*4/12)(82*137.200*4/12)</t>
    </r>
  </si>
  <si>
    <r>
      <t>Isk.gyak.(ut.évf.)(22*58800*4/12) (</t>
    </r>
    <r>
      <rPr>
        <b/>
        <sz val="12"/>
        <color indexed="8"/>
        <rFont val="Times New Roman"/>
        <family val="1"/>
      </rPr>
      <t>27*58800*4/12)(28*58.800*4/12)</t>
    </r>
  </si>
  <si>
    <r>
      <t>Isk.gyak.(tan.szerz.)(121*19600*4/12)(</t>
    </r>
    <r>
      <rPr>
        <b/>
        <sz val="12"/>
        <color indexed="8"/>
        <rFont val="Times New Roman"/>
        <family val="1"/>
      </rPr>
      <t>196*19600*4/12)(220*19.600*4/12)</t>
    </r>
  </si>
  <si>
    <r>
      <t>Alapf.műv.zene min.(274*2350000*8/12) (</t>
    </r>
    <r>
      <rPr>
        <b/>
        <sz val="12"/>
        <color indexed="8"/>
        <rFont val="Times New Roman"/>
        <family val="1"/>
      </rPr>
      <t>265*2350000*8/12)(273*2350000*8/12)</t>
    </r>
  </si>
  <si>
    <r>
      <t>Alapf.műv.képző  min.(94*2350000*8/12) (</t>
    </r>
    <r>
      <rPr>
        <b/>
        <sz val="12"/>
        <color indexed="8"/>
        <rFont val="Times New Roman"/>
        <family val="1"/>
      </rPr>
      <t>119*2350000*8/12)(142*2350000*8/12)</t>
    </r>
  </si>
  <si>
    <r>
      <t>Alapf.műv.zene min.(274*2350000*4/12) (</t>
    </r>
    <r>
      <rPr>
        <b/>
        <sz val="12"/>
        <color indexed="8"/>
        <rFont val="Times New Roman"/>
        <family val="1"/>
      </rPr>
      <t>265*2350000*4/12)(273*2350000*4/12)</t>
    </r>
  </si>
  <si>
    <r>
      <t>Alapf.műv.képző  min.(94*2350000*4/12) (</t>
    </r>
    <r>
      <rPr>
        <b/>
        <sz val="12"/>
        <color indexed="8"/>
        <rFont val="Times New Roman"/>
        <family val="1"/>
      </rPr>
      <t>119*2350000*4/12)(142*2350000*4/12)</t>
    </r>
  </si>
  <si>
    <r>
      <t xml:space="preserve">Ped.módsz.tám.min.zene (274*44900*8/12)( </t>
    </r>
    <r>
      <rPr>
        <b/>
        <sz val="12"/>
        <color indexed="8"/>
        <rFont val="Times New Roman"/>
        <family val="1"/>
      </rPr>
      <t>265*44900*8/12)</t>
    </r>
  </si>
  <si>
    <r>
      <t xml:space="preserve">Ped.szakmai fel.középsz.érettségi vizsga( </t>
    </r>
    <r>
      <rPr>
        <b/>
        <sz val="12"/>
        <color indexed="8"/>
        <rFont val="Times New Roman"/>
        <family val="1"/>
      </rPr>
      <t>235*6000)(269*6.000)</t>
    </r>
  </si>
  <si>
    <r>
      <t>Ped.szakmai fel.szakmai vizsga (</t>
    </r>
    <r>
      <rPr>
        <b/>
        <sz val="12"/>
        <color indexed="8"/>
        <rFont val="Times New Roman"/>
        <family val="1"/>
      </rPr>
      <t>155*6000)(198*6.000)</t>
    </r>
  </si>
  <si>
    <r>
      <t>szakmai informatikai fejlesztési feladatok (</t>
    </r>
    <r>
      <rPr>
        <b/>
        <sz val="12"/>
        <color indexed="8"/>
        <rFont val="Times New Roman"/>
        <family val="1"/>
      </rPr>
      <t>2306*1750)(2147*1.750*8/12)</t>
    </r>
  </si>
  <si>
    <r>
      <t xml:space="preserve">szakmai informatikai fejlesztési feladatok </t>
    </r>
    <r>
      <rPr>
        <b/>
        <sz val="12"/>
        <color indexed="8"/>
        <rFont val="Times New Roman"/>
        <family val="1"/>
      </rPr>
      <t>(2070*1.750*4/12)</t>
    </r>
  </si>
  <si>
    <r>
      <t>Kollégiumi ell.(73*2350000*8/12) (</t>
    </r>
    <r>
      <rPr>
        <b/>
        <sz val="12"/>
        <color indexed="8"/>
        <rFont val="Times New Roman"/>
        <family val="1"/>
      </rPr>
      <t>66*2350000*8/12)(74*2350000*8/12)</t>
    </r>
  </si>
  <si>
    <r>
      <t>Kollégiumi ell.(72*2350000*4/12) (</t>
    </r>
    <r>
      <rPr>
        <b/>
        <sz val="12"/>
        <color indexed="8"/>
        <rFont val="Times New Roman"/>
        <family val="1"/>
      </rPr>
      <t>66*2350000*4/12)(74*23500000*4/12)</t>
    </r>
  </si>
  <si>
    <r>
      <t>Napközis fogl.1-4.évf.(382*2350000*8/12) (</t>
    </r>
    <r>
      <rPr>
        <b/>
        <sz val="12"/>
        <color indexed="8"/>
        <rFont val="Times New Roman"/>
        <family val="1"/>
      </rPr>
      <t>409*2350000*8/12)(378*2350000*8/12)</t>
    </r>
  </si>
  <si>
    <r>
      <t xml:space="preserve">Napközis fogl.5-8.évf.(114*2350000*8/12)( </t>
    </r>
    <r>
      <rPr>
        <b/>
        <sz val="12"/>
        <color indexed="8"/>
        <rFont val="Times New Roman"/>
        <family val="1"/>
      </rPr>
      <t>147*2350000*8/12)(162*2350000*8/12)</t>
    </r>
  </si>
  <si>
    <r>
      <t>Napközis folg.1-4.évf.(366*2350000*4/12) (</t>
    </r>
    <r>
      <rPr>
        <b/>
        <sz val="12"/>
        <color indexed="8"/>
        <rFont val="Times New Roman"/>
        <family val="1"/>
      </rPr>
      <t xml:space="preserve"> 409*2350000*4/12)(378*2350000*4/12)</t>
    </r>
  </si>
  <si>
    <r>
      <t>Napközis fogl.5-8.évf.(100*2350000*4/12) (</t>
    </r>
    <r>
      <rPr>
        <b/>
        <sz val="12"/>
        <color indexed="8"/>
        <rFont val="Times New Roman"/>
        <family val="1"/>
      </rPr>
      <t>147*2350000*4/12)(162*2350000*4/12)</t>
    </r>
  </si>
  <si>
    <r>
      <t>Nyelvi felkészítő (26*64000*8/12) (</t>
    </r>
    <r>
      <rPr>
        <b/>
        <sz val="12"/>
        <color indexed="8"/>
        <rFont val="Times New Roman"/>
        <family val="1"/>
      </rPr>
      <t>37*64000*8/12)(35*64.000*8/12)</t>
    </r>
  </si>
  <si>
    <r>
      <t>Nyelvi felkészítő (35*64000*4/12)(</t>
    </r>
    <r>
      <rPr>
        <b/>
        <sz val="12"/>
        <color indexed="8"/>
        <rFont val="Times New Roman"/>
        <family val="1"/>
      </rPr>
      <t>32*64000*4/12)(34*64.000*4/12)</t>
    </r>
  </si>
  <si>
    <r>
      <t>Bejáró tanuló (942*15300*8/12) (</t>
    </r>
    <r>
      <rPr>
        <b/>
        <sz val="12"/>
        <color indexed="8"/>
        <rFont val="Times New Roman"/>
        <family val="1"/>
      </rPr>
      <t>981*15300*8/12)(995*15.300*8/12)</t>
    </r>
  </si>
  <si>
    <r>
      <t xml:space="preserve">Bejáró tanuló (955*15300*4/12)( </t>
    </r>
    <r>
      <rPr>
        <b/>
        <sz val="12"/>
        <color indexed="8"/>
        <rFont val="Times New Roman"/>
        <family val="1"/>
      </rPr>
      <t>1000*15300*4/12)(970*15.300*4/12)</t>
    </r>
  </si>
  <si>
    <r>
      <t>Int.fent.társ.ált.isk.bejáró 1-4.évf (47*36300*8/12) (</t>
    </r>
    <r>
      <rPr>
        <b/>
        <sz val="12"/>
        <color indexed="8"/>
        <rFont val="Times New Roman"/>
        <family val="1"/>
      </rPr>
      <t>126*36300*8/12)(44*32000*8/12)</t>
    </r>
  </si>
  <si>
    <t>16.gb(4)1</t>
  </si>
  <si>
    <t>Int.fent.társ.ált.isk.bejáró 5-8.évf.(68*32000*8/12)</t>
  </si>
  <si>
    <t>Int.fent.társ.ált.isk.bejáró 1-4.évf.(51*42800*4/12)(50*36300*4/12)(44*32.000*4/12)</t>
  </si>
  <si>
    <t>Int.fent.társ.ált.isk.bejáró 5-8.évf.(68*32.000*4/12)</t>
  </si>
  <si>
    <r>
      <t>Kedvezményes étkeztetés Óvoda (149*65000) (</t>
    </r>
    <r>
      <rPr>
        <b/>
        <sz val="12"/>
        <color indexed="8"/>
        <rFont val="Times New Roman"/>
        <family val="1"/>
      </rPr>
      <t>196*68000)(207*68000)</t>
    </r>
  </si>
  <si>
    <r>
      <t xml:space="preserve">                                        ált.iskola(358*65000) (</t>
    </r>
    <r>
      <rPr>
        <b/>
        <sz val="12"/>
        <color indexed="8"/>
        <rFont val="Times New Roman"/>
        <family val="1"/>
      </rPr>
      <t>476*68000)(384*68000)</t>
    </r>
  </si>
  <si>
    <r>
      <t xml:space="preserve">                                        gimnázium(49*65000) (</t>
    </r>
    <r>
      <rPr>
        <b/>
        <sz val="12"/>
        <color indexed="8"/>
        <rFont val="Times New Roman"/>
        <family val="1"/>
      </rPr>
      <t>60*68000)(44*68000)</t>
    </r>
  </si>
  <si>
    <r>
      <t xml:space="preserve">                                        szakközépiskola(16*65000) (</t>
    </r>
    <r>
      <rPr>
        <b/>
        <sz val="12"/>
        <color indexed="8"/>
        <rFont val="Times New Roman"/>
        <family val="1"/>
      </rPr>
      <t>12*68000)(8*68000)</t>
    </r>
  </si>
  <si>
    <r>
      <t xml:space="preserve">                                        kollégium(42*65000)( </t>
    </r>
    <r>
      <rPr>
        <b/>
        <sz val="12"/>
        <color indexed="8"/>
        <rFont val="Times New Roman"/>
        <family val="1"/>
      </rPr>
      <t>43*68000)(34*68000)</t>
    </r>
  </si>
  <si>
    <r>
      <t>tanulói tankönyv ingyenes(1233*10000) (</t>
    </r>
    <r>
      <rPr>
        <b/>
        <sz val="12"/>
        <color indexed="8"/>
        <rFont val="Times New Roman"/>
        <family val="1"/>
      </rPr>
      <t>1478*12000)(1291*12.000)</t>
    </r>
  </si>
  <si>
    <r>
      <t>pedagógiai szakszolgálat (8*900000/12*8) (</t>
    </r>
    <r>
      <rPr>
        <b/>
        <sz val="12"/>
        <color indexed="8"/>
        <rFont val="Times New Roman"/>
        <family val="1"/>
      </rPr>
      <t>8*900000*8/12)(9*1200000*8/12)</t>
    </r>
  </si>
  <si>
    <r>
      <t xml:space="preserve">pedagógiaia szakszolgálat (4*900000/12*4)( </t>
    </r>
    <r>
      <rPr>
        <b/>
        <sz val="12"/>
        <color indexed="8"/>
        <rFont val="Times New Roman"/>
        <family val="1"/>
      </rPr>
      <t>8*1200000*4/12)(9*1200000*4/12)</t>
    </r>
  </si>
  <si>
    <t>pedagógus szakvizsga, továbbképzés( 285*10500*8/12)(283*6300*8/12)</t>
  </si>
  <si>
    <t>pedagógus szakvizsga, továbbképzés(285*10500*4/12)(283*6300*4/12)</t>
  </si>
  <si>
    <t>osztályfőnöki pótlék (121*26000*8/12)(119*26000*8/12)</t>
  </si>
  <si>
    <t>osztályfőnöki pótlék (120*26000*4/12)(106*26000*4/12)</t>
  </si>
  <si>
    <t>gyógypedagógiai pótlék kieg.(6*65000*8/12)(6-65000*8/12)</t>
  </si>
  <si>
    <t>gyógypedagógiai pótlék kieg. (6*65000*4/12)(6*65000*4/12)</t>
  </si>
  <si>
    <r>
      <t>Települési, igazg., komm. Fel. (17272*1947)</t>
    </r>
    <r>
      <rPr>
        <b/>
        <sz val="12"/>
        <color indexed="8"/>
        <rFont val="Times New Roman"/>
        <family val="1"/>
      </rPr>
      <t>(17098*2769)(16958*4074)</t>
    </r>
  </si>
  <si>
    <r>
      <t>Körjegyz.műk.alaphzj. (12*275000)(12*253500)</t>
    </r>
    <r>
      <rPr>
        <b/>
        <sz val="12"/>
        <color indexed="8"/>
        <rFont val="Times New Roman"/>
        <family val="1"/>
      </rPr>
      <t>(253530*12)253500*12</t>
    </r>
  </si>
  <si>
    <r>
      <t>Üdülőhelyi feladatok (16.000.000*2)(22.000.000*1)(</t>
    </r>
    <r>
      <rPr>
        <b/>
        <sz val="12"/>
        <color indexed="8"/>
        <rFont val="Times New Roman"/>
        <family val="1"/>
      </rPr>
      <t>25.000.000*1,5)</t>
    </r>
  </si>
  <si>
    <r>
      <t>lakott területtel kapcs.feladatok (48*2612)</t>
    </r>
    <r>
      <rPr>
        <b/>
        <sz val="12"/>
        <color indexed="8"/>
        <rFont val="Times New Roman"/>
        <family val="1"/>
      </rPr>
      <t>(2612*49)(52*2612)</t>
    </r>
  </si>
  <si>
    <r>
      <t xml:space="preserve">  okmányi.munkaáll.(39886*324)(30638*276)</t>
    </r>
    <r>
      <rPr>
        <b/>
        <sz val="12"/>
        <color indexed="8"/>
        <rFont val="Times New Roman"/>
        <family val="1"/>
      </rPr>
      <t>(27366*276)(26540*276)</t>
    </r>
  </si>
  <si>
    <r>
      <t xml:space="preserve">  gyámügyi felad. </t>
    </r>
    <r>
      <rPr>
        <b/>
        <sz val="12"/>
        <color indexed="8"/>
        <rFont val="Times New Roman"/>
        <family val="1"/>
      </rPr>
      <t>(485*28600)(534*28600)</t>
    </r>
  </si>
  <si>
    <t>építésügyi ig. feladatok (56*44256)(43885*56)</t>
  </si>
  <si>
    <t>kieg hozz. Építésügíi ig. feladatokhoz (7729*591)(633*7729)</t>
  </si>
  <si>
    <t xml:space="preserve">Tűzoltóság nélkül </t>
  </si>
  <si>
    <t>Különbözet (előző évhez viszonyítva)</t>
  </si>
  <si>
    <t xml:space="preserve">         - Széchenyi Szki.: ISK pártolói tagdíjak</t>
  </si>
  <si>
    <t>Bayer Róbert Városi Kollégium és Élelmezési Központ</t>
  </si>
  <si>
    <r>
      <t xml:space="preserve"> - </t>
    </r>
    <r>
      <rPr>
        <sz val="10"/>
        <rFont val="Times New Roman"/>
        <family val="1"/>
      </rPr>
      <t>konyhai eszközök</t>
    </r>
  </si>
  <si>
    <t xml:space="preserve">            - Városgondnokság: - Munkaügyi Központ -Közfogl.bértámog.</t>
  </si>
  <si>
    <t>Megjegyzés: Városi Óvoda-Bölcsőde 2012.02.01-től 82,5 fő</t>
  </si>
  <si>
    <t xml:space="preserve">    - Önkormányzat - Többcélú Kist.Társulásnak</t>
  </si>
  <si>
    <t xml:space="preserve">    - Önkormányzat - MITISZK Szakképzés-szervezési Társulás</t>
  </si>
  <si>
    <t xml:space="preserve">    - Önkormányzat - Tisza-tavi Egycélú Társ.</t>
  </si>
  <si>
    <t xml:space="preserve">          - Praxis működési költségeinek támogatása</t>
  </si>
  <si>
    <t xml:space="preserve">          - Mezőkövesdi Civil Szövetség Egyesület támogatása</t>
  </si>
  <si>
    <t>Rendszeres szoc. segély önk. rend.</t>
  </si>
  <si>
    <t>Foglalkoztatást helyettesítő támogatás</t>
  </si>
  <si>
    <t>Helyi lakásfenntartási támogatás</t>
  </si>
  <si>
    <t>LTP szerződést kötöttek (szennyvíz.) támogatása</t>
  </si>
  <si>
    <t>Óvodáztatási támogatás</t>
  </si>
  <si>
    <t xml:space="preserve"> - Másológép beszerzés</t>
  </si>
  <si>
    <t xml:space="preserve"> - Postázó szoftver beszerzés</t>
  </si>
  <si>
    <t xml:space="preserve"> - Városi Rendelőintézet felújítása</t>
  </si>
  <si>
    <t xml:space="preserve"> - Turisztikai attrakció fejlesztése</t>
  </si>
  <si>
    <t xml:space="preserve"> - Egri úti óvoda bővítése</t>
  </si>
  <si>
    <t xml:space="preserve"> - Gimnázium tornaterem</t>
  </si>
  <si>
    <t xml:space="preserve"> - Hadnagy úti szabadidő központ terv</t>
  </si>
  <si>
    <t xml:space="preserve"> - Közösségi Ház parketta</t>
  </si>
  <si>
    <t xml:space="preserve"> - Gimnázium-Kollégium kerítés</t>
  </si>
  <si>
    <t>Háziorvosi alapellátás</t>
  </si>
  <si>
    <t>közfoglalkoztatás</t>
  </si>
  <si>
    <t>Pedagógiai szakmai szolg.</t>
  </si>
  <si>
    <t xml:space="preserve">             Oktatást kiegészítő tevékenység</t>
  </si>
  <si>
    <t>Informatikai infrastruktúra fejlesztése TIOP pályázat</t>
  </si>
  <si>
    <t>Járda építés Gaál István u. (áthózódó)</t>
  </si>
  <si>
    <t>Díszburkolat Mátyás király út</t>
  </si>
  <si>
    <t xml:space="preserve"> Ebből:- Szent László Alapítvány kerítésfelújításra</t>
  </si>
  <si>
    <t xml:space="preserve">          - Mk.Zsóry Futball Club Kft. tám.</t>
  </si>
  <si>
    <t>Épületenergetikai fejlesztés Sportcsarnok</t>
  </si>
  <si>
    <t xml:space="preserve">          - MSE támogatása 4 szakosztály</t>
  </si>
  <si>
    <t>Bölcsődei ellátás</t>
  </si>
  <si>
    <t>Könyvtári szolgáltatások</t>
  </si>
  <si>
    <t>Központi költségvetési befiz.</t>
  </si>
  <si>
    <t xml:space="preserve">            Könyvtári szolgáltatások összesen:</t>
  </si>
  <si>
    <t xml:space="preserve">            Sportlétesítmények fejlesztése összesen:</t>
  </si>
  <si>
    <t>Tudásdepó Express TÁMOP pályázat</t>
  </si>
  <si>
    <t xml:space="preserve">A Önkormányzat saját bevételeinek és az adósságot keletkeztető ügyleteiből eredő fizetési kötelezettségének bemutatása*  </t>
  </si>
  <si>
    <t>Fennálló hitel, kötvénytart.  2012. I. 1-jén</t>
  </si>
  <si>
    <t>2012. évi hitelfelvét.</t>
  </si>
  <si>
    <t xml:space="preserve">              Városgazd. Szolg. összesen</t>
  </si>
  <si>
    <t xml:space="preserve">Ingatlanok bérbeadása + üzemeltetése </t>
  </si>
  <si>
    <t xml:space="preserve">             Épület építése összesen</t>
  </si>
  <si>
    <t xml:space="preserve">                  Fürdő és Strandszolg. összesen</t>
  </si>
  <si>
    <t>Épületenergetikai fejlesztés Polgármesteri Hivatal "A" épület</t>
  </si>
  <si>
    <t>Épületenergetikai fejlesztés Gimnázium és Kollégium</t>
  </si>
  <si>
    <t>a 2012. évre tervezett közvetett támogatásokról</t>
  </si>
  <si>
    <t>Tüdőgondozó digitális beolvasó felújítása</t>
  </si>
  <si>
    <t>Belgyógyászati Osztály központi kémény felújítása</t>
  </si>
  <si>
    <t>Belgyógyászati Osztály lift felújítása</t>
  </si>
  <si>
    <t>Rendelőintézet összesen:</t>
  </si>
  <si>
    <t>Városi Önkormányzat prémiumévesek 1 fő</t>
  </si>
  <si>
    <t xml:space="preserve">B.) Önkormányzaton kívüli EU-s projektekhez történő hozzájárulás 2012. évi előirányzatai </t>
  </si>
  <si>
    <t>EU-s projekt címe:       Szakképzés az intézményi stratégia tükrében Tiszaújvárosban és Mezőkövesden</t>
  </si>
  <si>
    <t>Projekt azonosítója:     TÁMOP 6.2.2/A-09/2-2010-0019</t>
  </si>
  <si>
    <t xml:space="preserve">          - Kormányhiv. TÁMOP pály. kiad. megtérítése</t>
  </si>
  <si>
    <t xml:space="preserve">          - Prémium évesek ktg. megtér.</t>
  </si>
  <si>
    <t>Önkormányzatok elszámolásai</t>
  </si>
  <si>
    <t>Polgármesteri Hivatal prémiumévesek 4 fő</t>
  </si>
  <si>
    <t>EU-s projekt címe: Mezőkövesd város szennyvízcsatorna-hálózatának fejlesztése a lakosság életminőségének javítása és a települési környezet védelme érdekében II. forduló</t>
  </si>
  <si>
    <t xml:space="preserve"> - Bölcsőde kapacitásbőv.fejl. EU Önerő</t>
  </si>
  <si>
    <t xml:space="preserve">  - Informatikai Infrastruktúra fejl. TIOP</t>
  </si>
  <si>
    <t xml:space="preserve"> - Energetikei fejl Sportcsarnok KEOP</t>
  </si>
  <si>
    <t xml:space="preserve"> - Energetikei fejl PH A épület KEOP</t>
  </si>
  <si>
    <t xml:space="preserve"> - Energetikei fejl Gimn. és Koll. KEOP</t>
  </si>
  <si>
    <t xml:space="preserve"> - Kánya patak rek. ÉMOP</t>
  </si>
  <si>
    <t xml:space="preserve"> - Kánya patak rek. EU Önerő Alap</t>
  </si>
  <si>
    <t xml:space="preserve">  - Tudásdepó Express TÁMOP</t>
  </si>
  <si>
    <t>Tűzoltó gépjármű értékesítés</t>
  </si>
  <si>
    <t>Beruh., felúj. Kapcs. ÁFA visszatérülés</t>
  </si>
  <si>
    <t>2012. évben induló beruh.</t>
  </si>
  <si>
    <t>EU-s projekt címe:             "Tudásdepó-Expressz" Könyvtárhasználók igényeinek hatékonyabb kielégítését szolgáló fejlesztés</t>
  </si>
  <si>
    <t>Projekt azonosítója:            TÁMOP-3.2.4-08/1-2009-0048</t>
  </si>
  <si>
    <t>EU-s projekt címe:             Informatikai infrastruktúra fejlesztése a Mezőkövesd Város önkormányzata által fenntartott intézményekben</t>
  </si>
  <si>
    <t>Projekt azonosítója:            TIOP-1.1.1-07/1-2008-0097</t>
  </si>
  <si>
    <t xml:space="preserve">EU-s projekt címe:           Épületenergetikai fejlesztés - Sportcsarnok  </t>
  </si>
  <si>
    <t>Projekt azonosítója:          KEOP</t>
  </si>
  <si>
    <t>EU-s projekt címe:           Épületenergetikai fejlesztés - Gimnázium és Kollégium</t>
  </si>
  <si>
    <t>EU-s projekt címe:           Épületenergetikai fejlesztés - Polgármesteri Hivatal "A" épület</t>
  </si>
  <si>
    <t>2012. évi előirányzatai</t>
  </si>
  <si>
    <t xml:space="preserve">  2011. évi áthúzódó út-járda karb.</t>
  </si>
  <si>
    <t xml:space="preserve">  2012. évi kátyúzás</t>
  </si>
  <si>
    <r>
      <t>SNI gyógyped.nev.visszah.(5*134400*8/12) 1</t>
    </r>
    <r>
      <rPr>
        <b/>
        <sz val="10"/>
        <color indexed="8"/>
        <rFont val="Times New Roman"/>
        <family val="1"/>
      </rPr>
      <t>*134400*8/12</t>
    </r>
  </si>
  <si>
    <r>
      <t xml:space="preserve">Szoc. Étkezés </t>
    </r>
    <r>
      <rPr>
        <b/>
        <sz val="10"/>
        <rFont val="Times New Roman"/>
        <family val="1"/>
      </rPr>
      <t>190*55360</t>
    </r>
  </si>
  <si>
    <r>
      <t>Óvodai nev.alaphzj. 1-3.nev.év (460*2350*4/12)</t>
    </r>
    <r>
      <rPr>
        <b/>
        <sz val="10"/>
        <color indexed="8"/>
        <rFont val="Times New Roman"/>
        <family val="1"/>
      </rPr>
      <t>460*2350*4/12</t>
    </r>
  </si>
  <si>
    <r>
      <t>Óvodai nev.alaphzj. 1-3.nev.év (465*2350000*8/12)</t>
    </r>
    <r>
      <rPr>
        <b/>
        <sz val="10"/>
        <color indexed="8"/>
        <rFont val="Times New Roman"/>
        <family val="1"/>
      </rPr>
      <t>499*2350*8/12</t>
    </r>
  </si>
  <si>
    <r>
      <t>Isk.okt.alaphzj.1-2.évf.(222*2350000*8/12</t>
    </r>
    <r>
      <rPr>
        <b/>
        <sz val="10"/>
        <color indexed="8"/>
        <rFont val="Times New Roman"/>
        <family val="1"/>
      </rPr>
      <t>)(203*2350000*8/12)</t>
    </r>
  </si>
  <si>
    <r>
      <t>Isk.okt.alaphzj.3.évf.(99*2350000*8/12</t>
    </r>
    <r>
      <rPr>
        <b/>
        <sz val="10"/>
        <color indexed="8"/>
        <rFont val="Times New Roman"/>
        <family val="1"/>
      </rPr>
      <t>)(96*2350000*8/12)</t>
    </r>
  </si>
  <si>
    <r>
      <t>Isk.okt.alaphzj.4.évf.(160*2350000*8/12)</t>
    </r>
    <r>
      <rPr>
        <b/>
        <sz val="10"/>
        <color indexed="8"/>
        <rFont val="Times New Roman"/>
        <family val="1"/>
      </rPr>
      <t>(129*2350000*8/12)</t>
    </r>
  </si>
  <si>
    <r>
      <t>Isk.okt.alaphzj.5-6.évf.(236*2350000*8/12)</t>
    </r>
    <r>
      <rPr>
        <b/>
        <sz val="10"/>
        <color indexed="8"/>
        <rFont val="Times New Roman"/>
        <family val="1"/>
      </rPr>
      <t>258*2350000*8/12</t>
    </r>
  </si>
  <si>
    <r>
      <t>Isk.okt.alaphzj.4.évf.(124*2350000*4/12)</t>
    </r>
    <r>
      <rPr>
        <b/>
        <sz val="10"/>
        <color indexed="8"/>
        <rFont val="Times New Roman"/>
        <family val="1"/>
      </rPr>
      <t>124*2350000*4/12</t>
    </r>
  </si>
  <si>
    <r>
      <t>SNI beszédfogy.(43*179200*8/12</t>
    </r>
    <r>
      <rPr>
        <b/>
        <sz val="10"/>
        <color indexed="8"/>
        <rFont val="Times New Roman"/>
        <family val="1"/>
      </rPr>
      <t>)25*179200*8/12</t>
    </r>
  </si>
  <si>
    <r>
      <t>Egyéni fejlesztő felkészítés (3fő*427000)</t>
    </r>
    <r>
      <rPr>
        <b/>
        <sz val="10"/>
        <rFont val="Times New Roman"/>
        <family val="1"/>
      </rPr>
      <t>3*427000</t>
    </r>
  </si>
  <si>
    <r>
      <t>isk.okt.11-13.évf.(530*2550000*8/12)</t>
    </r>
    <r>
      <rPr>
        <b/>
        <sz val="10"/>
        <color indexed="8"/>
        <rFont val="Times New Roman"/>
        <family val="1"/>
      </rPr>
      <t>542*2350000*8/12</t>
    </r>
  </si>
  <si>
    <t xml:space="preserve">           ingyenes intézményi étkeztetés bölcsőde</t>
  </si>
  <si>
    <r>
      <t>Alapf.műv.zene min.(274*2350000*8/12) (</t>
    </r>
    <r>
      <rPr>
        <b/>
        <sz val="10"/>
        <color indexed="8"/>
        <rFont val="Times New Roman"/>
        <family val="1"/>
      </rPr>
      <t>265*2350000*8/12)(273*2350000*8/12)</t>
    </r>
  </si>
  <si>
    <r>
      <t>Alapf.műv.képző  min.(94*2350000*8/12) (</t>
    </r>
    <r>
      <rPr>
        <b/>
        <sz val="10"/>
        <color indexed="8"/>
        <rFont val="Times New Roman"/>
        <family val="1"/>
      </rPr>
      <t>119*2350000*8/12)(142*2350000*8/12)</t>
    </r>
  </si>
  <si>
    <r>
      <t>Alapf.műv.zene min.(274*2350000*4/12) (</t>
    </r>
    <r>
      <rPr>
        <b/>
        <sz val="10"/>
        <color indexed="8"/>
        <rFont val="Times New Roman"/>
        <family val="1"/>
      </rPr>
      <t>265*2350000*4/12)(273*2350000*4/12)</t>
    </r>
  </si>
  <si>
    <r>
      <t>Alapf.műv.képző  min.(94*2350000*4/12) (</t>
    </r>
    <r>
      <rPr>
        <b/>
        <sz val="10"/>
        <color indexed="8"/>
        <rFont val="Times New Roman"/>
        <family val="1"/>
      </rPr>
      <t>119*2350000*4/12)(142*2350000*4/12)</t>
    </r>
  </si>
  <si>
    <r>
      <t>Napközis fogl.1-4.évf.(382*2350000*8/12) (</t>
    </r>
    <r>
      <rPr>
        <b/>
        <sz val="10"/>
        <color indexed="8"/>
        <rFont val="Times New Roman"/>
        <family val="1"/>
      </rPr>
      <t>409*2350000*8/12)(378*2350000*8/12)</t>
    </r>
  </si>
  <si>
    <r>
      <t xml:space="preserve">Napközis fogl.5-8.évf.(114*2350000*8/12)( </t>
    </r>
    <r>
      <rPr>
        <b/>
        <sz val="10"/>
        <color indexed="8"/>
        <rFont val="Times New Roman"/>
        <family val="1"/>
      </rPr>
      <t>147*2350000*8/12)(162*2350000*8/12)</t>
    </r>
  </si>
  <si>
    <r>
      <t>Napközis folg.1-4.évf.(366*2350000*4/12) (</t>
    </r>
    <r>
      <rPr>
        <b/>
        <sz val="10"/>
        <color indexed="8"/>
        <rFont val="Times New Roman"/>
        <family val="1"/>
      </rPr>
      <t xml:space="preserve"> 409*2350000*4/12)(378*2350000*4/12)</t>
    </r>
  </si>
  <si>
    <r>
      <t>Napközis fogl.5-8.évf.(100*2350000*4/12) (</t>
    </r>
    <r>
      <rPr>
        <b/>
        <sz val="10"/>
        <color indexed="8"/>
        <rFont val="Times New Roman"/>
        <family val="1"/>
      </rPr>
      <t>147*2350000*4/12)(162*2350000*4/12)</t>
    </r>
  </si>
  <si>
    <r>
      <t>Nyelvi felkészítő (26*64000*8/12) (</t>
    </r>
    <r>
      <rPr>
        <b/>
        <sz val="10"/>
        <color indexed="8"/>
        <rFont val="Times New Roman"/>
        <family val="1"/>
      </rPr>
      <t>37*64000*8/12)(35*64.000*8/12)</t>
    </r>
  </si>
  <si>
    <r>
      <t>Nyelvi felkészítő (35*64000*4/12)(</t>
    </r>
    <r>
      <rPr>
        <b/>
        <sz val="10"/>
        <color indexed="8"/>
        <rFont val="Times New Roman"/>
        <family val="1"/>
      </rPr>
      <t>32*64000*4/12)(34*64.000*4/12)</t>
    </r>
  </si>
  <si>
    <r>
      <t>Bejáró tanuló (942*15300*8/12) (</t>
    </r>
    <r>
      <rPr>
        <b/>
        <sz val="10"/>
        <color indexed="8"/>
        <rFont val="Times New Roman"/>
        <family val="1"/>
      </rPr>
      <t>981*15300*8/12)(995*15.300*8/12)</t>
    </r>
  </si>
  <si>
    <r>
      <t>Int.fent.társ.ált.isk.bejáró 1-4.évf (47*36300*8/12) (</t>
    </r>
    <r>
      <rPr>
        <b/>
        <sz val="10"/>
        <color indexed="8"/>
        <rFont val="Times New Roman"/>
        <family val="1"/>
      </rPr>
      <t>126*36300*8/12)(44*32000*8/12)</t>
    </r>
  </si>
  <si>
    <r>
      <t>pedagógiai szakszolgálat (8*900000/12*8) (</t>
    </r>
    <r>
      <rPr>
        <b/>
        <sz val="10"/>
        <color indexed="8"/>
        <rFont val="Times New Roman"/>
        <family val="1"/>
      </rPr>
      <t>8*900000*8/12)(9*1200000*8/12)</t>
    </r>
  </si>
  <si>
    <r>
      <t xml:space="preserve">pedagógiaia szakszolgálat (4*900000/12*4)( </t>
    </r>
    <r>
      <rPr>
        <b/>
        <sz val="10"/>
        <color indexed="8"/>
        <rFont val="Times New Roman"/>
        <family val="1"/>
      </rPr>
      <t>8*1200000*4/12)(9*1200000*4/12)</t>
    </r>
  </si>
  <si>
    <r>
      <t>Települési, igazg., komm. Fel. (17272*1947)</t>
    </r>
    <r>
      <rPr>
        <b/>
        <sz val="10"/>
        <color indexed="8"/>
        <rFont val="Times New Roman"/>
        <family val="1"/>
      </rPr>
      <t>(17098*2769)(16958*4074)</t>
    </r>
  </si>
  <si>
    <r>
      <t xml:space="preserve"> -okmányir.munkaáll.</t>
    </r>
    <r>
      <rPr>
        <b/>
        <sz val="10"/>
        <rFont val="Times New Roman"/>
        <family val="1"/>
      </rPr>
      <t xml:space="preserve"> 27366*276</t>
    </r>
  </si>
  <si>
    <r>
      <t xml:space="preserve"> - körzetközpontnak gyám. ügy.felad </t>
    </r>
    <r>
      <rPr>
        <b/>
        <sz val="10"/>
        <rFont val="Times New Roman"/>
        <family val="1"/>
      </rPr>
      <t>485*28600</t>
    </r>
  </si>
  <si>
    <r>
      <t xml:space="preserve"> - körzetközpontnak ép. ügy.felad alap hzj. </t>
    </r>
    <r>
      <rPr>
        <b/>
        <sz val="10"/>
        <rFont val="Times New Roman"/>
        <family val="1"/>
      </rPr>
      <t>44256*56</t>
    </r>
  </si>
  <si>
    <r>
      <t xml:space="preserve"> - körzetközpontnak ép. ügy.felad kieg.hzj 591</t>
    </r>
    <r>
      <rPr>
        <b/>
        <sz val="10"/>
        <rFont val="Times New Roman"/>
        <family val="1"/>
      </rPr>
      <t>*7729</t>
    </r>
  </si>
  <si>
    <r>
      <t>Körjegyz.műk.alaphzj. (12*275000)(12*253500)</t>
    </r>
    <r>
      <rPr>
        <b/>
        <sz val="10"/>
        <color indexed="8"/>
        <rFont val="Times New Roman"/>
        <family val="1"/>
      </rPr>
      <t>(253530*12)253500*12</t>
    </r>
  </si>
  <si>
    <r>
      <t>Üdülőhelyi feladatok (16.000.000*2)(22.000.000*1)(</t>
    </r>
    <r>
      <rPr>
        <b/>
        <sz val="10"/>
        <color indexed="8"/>
        <rFont val="Times New Roman"/>
        <family val="1"/>
      </rPr>
      <t>25.000.000*1,5)</t>
    </r>
  </si>
  <si>
    <r>
      <t>lakott területtel kapcs.feladatok (48*2612)</t>
    </r>
    <r>
      <rPr>
        <b/>
        <sz val="10"/>
        <color indexed="8"/>
        <rFont val="Times New Roman"/>
        <family val="1"/>
      </rPr>
      <t>(2612*49)(52*2612)</t>
    </r>
  </si>
  <si>
    <r>
      <t>Isk.okt.alaphzj.7.-8.évf.((145+182)*2350000*8/12)</t>
    </r>
    <r>
      <rPr>
        <b/>
        <sz val="10"/>
        <color indexed="8"/>
        <rFont val="Times New Roman"/>
        <family val="1"/>
      </rPr>
      <t>245*2350000*8/12</t>
    </r>
  </si>
  <si>
    <r>
      <t>Isk.okt.alaphzj.1-2.évf(250*2350000*4/12)</t>
    </r>
    <r>
      <rPr>
        <b/>
        <sz val="10"/>
        <color indexed="8"/>
        <rFont val="Times New Roman"/>
        <family val="1"/>
      </rPr>
      <t>171*2350000*4/12</t>
    </r>
  </si>
  <si>
    <r>
      <t>Isk.okt.alaphzj.5-6.évf.(265*2350000*4/12)</t>
    </r>
    <r>
      <rPr>
        <b/>
        <sz val="10"/>
        <color indexed="8"/>
        <rFont val="Times New Roman"/>
        <family val="1"/>
      </rPr>
      <t>240*2350000*4/12</t>
    </r>
  </si>
  <si>
    <r>
      <t>Isk.okt.alaphzj.7.-8.évf.((138+154)*2350000*4/12)</t>
    </r>
    <r>
      <rPr>
        <b/>
        <sz val="10"/>
        <color indexed="8"/>
        <rFont val="Times New Roman"/>
        <family val="1"/>
      </rPr>
      <t>228*2350000*4/12</t>
    </r>
  </si>
  <si>
    <r>
      <t>SNI testi,érzéksz.,autista(5*358400*8/12)</t>
    </r>
    <r>
      <rPr>
        <b/>
        <sz val="10"/>
        <color indexed="8"/>
        <rFont val="Times New Roman"/>
        <family val="1"/>
      </rPr>
      <t>4*358400*8/12</t>
    </r>
  </si>
  <si>
    <r>
      <t>SNI testi,érzéksz.,autista(3*358400*4/12)</t>
    </r>
    <r>
      <rPr>
        <b/>
        <sz val="10"/>
        <color indexed="8"/>
        <rFont val="Times New Roman"/>
        <family val="1"/>
      </rPr>
      <t>2*358400*4/12</t>
    </r>
  </si>
  <si>
    <r>
      <t>SNI beszédfogy.(39*179200*4/12)</t>
    </r>
    <r>
      <rPr>
        <b/>
        <sz val="10"/>
        <color indexed="8"/>
        <rFont val="Times New Roman"/>
        <family val="1"/>
      </rPr>
      <t>17*179200*4/12</t>
    </r>
  </si>
  <si>
    <r>
      <t>SNI viselkedés fejl.(44*134400*8/12)</t>
    </r>
    <r>
      <rPr>
        <b/>
        <sz val="10"/>
        <color indexed="8"/>
        <rFont val="Times New Roman"/>
        <family val="1"/>
      </rPr>
      <t>87*156800*8/12</t>
    </r>
  </si>
  <si>
    <r>
      <t>Korai fejl.gond.(11*240000)</t>
    </r>
    <r>
      <rPr>
        <b/>
        <sz val="10"/>
        <color indexed="8"/>
        <rFont val="Times New Roman"/>
        <family val="1"/>
      </rPr>
      <t>8*240000</t>
    </r>
  </si>
  <si>
    <r>
      <t>Isk.okt.9-10.évf.(752*2350000*8/12)</t>
    </r>
    <r>
      <rPr>
        <b/>
        <sz val="10"/>
        <color indexed="8"/>
        <rFont val="Times New Roman"/>
        <family val="1"/>
      </rPr>
      <t>679*2350000*8/12</t>
    </r>
  </si>
  <si>
    <r>
      <t>Isk.szakképzés 9-11.évf.(384*2350000*8/12)(</t>
    </r>
    <r>
      <rPr>
        <b/>
        <sz val="10"/>
        <color indexed="8"/>
        <rFont val="Times New Roman"/>
        <family val="1"/>
      </rPr>
      <t>381*2350000*8/12)(421*2350000*8/12)</t>
    </r>
  </si>
  <si>
    <r>
      <t>Isk.gyak.okt.9-10.évf(214*35000*8/12)(</t>
    </r>
    <r>
      <rPr>
        <b/>
        <sz val="10"/>
        <color indexed="8"/>
        <rFont val="Times New Roman"/>
        <family val="1"/>
      </rPr>
      <t>221*35000*8/12)(166*2350000*8/12)</t>
    </r>
  </si>
  <si>
    <r>
      <t>Isk.gyak.(1 évf.képz.)7*98000*8/12)(</t>
    </r>
    <r>
      <rPr>
        <b/>
        <sz val="10"/>
        <color indexed="8"/>
        <rFont val="Times New Roman"/>
        <family val="1"/>
      </rPr>
      <t>5*98000*8/12)(3*98000*8/12)</t>
    </r>
  </si>
  <si>
    <r>
      <t>Isk.gyak.(első évf.)47*137200*8/12)(</t>
    </r>
    <r>
      <rPr>
        <b/>
        <sz val="10"/>
        <color indexed="8"/>
        <rFont val="Times New Roman"/>
        <family val="1"/>
      </rPr>
      <t>58*137200*8/12)(102*137.200*8/12)</t>
    </r>
  </si>
  <si>
    <r>
      <t>Isk.gyak.(ut.évf.)(27*58800*8/12) (</t>
    </r>
    <r>
      <rPr>
        <b/>
        <sz val="10"/>
        <color indexed="8"/>
        <rFont val="Times New Roman"/>
        <family val="1"/>
      </rPr>
      <t>25*58800*8/12)(15*58.800*8/12)</t>
    </r>
  </si>
  <si>
    <r>
      <t>Isk.gyak.(tan.szerz.)(139*19600*8/12) (</t>
    </r>
    <r>
      <rPr>
        <b/>
        <sz val="10"/>
        <color indexed="8"/>
        <rFont val="Times New Roman"/>
        <family val="1"/>
      </rPr>
      <t>187*19600*8/12)(228*19.600*8/12)</t>
    </r>
  </si>
  <si>
    <r>
      <t xml:space="preserve">Ped.szakmai fel.középsz.érettségi vizsga( </t>
    </r>
    <r>
      <rPr>
        <b/>
        <sz val="10"/>
        <color indexed="8"/>
        <rFont val="Times New Roman"/>
        <family val="1"/>
      </rPr>
      <t>235*6000)(269*6.000)</t>
    </r>
  </si>
  <si>
    <r>
      <t>Ped.szakmai fel.szakmai vizsga (</t>
    </r>
    <r>
      <rPr>
        <b/>
        <sz val="10"/>
        <color indexed="8"/>
        <rFont val="Times New Roman"/>
        <family val="1"/>
      </rPr>
      <t>155*6000)(198*6.000)</t>
    </r>
  </si>
  <si>
    <r>
      <t>Kedvezményes étkeztetés Óvoda (149*65000) (</t>
    </r>
    <r>
      <rPr>
        <b/>
        <sz val="10"/>
        <color indexed="8"/>
        <rFont val="Times New Roman"/>
        <family val="1"/>
      </rPr>
      <t>196*68000)(207*68000)</t>
    </r>
  </si>
  <si>
    <r>
      <t xml:space="preserve">                                        ált.iskola(358*65000) (</t>
    </r>
    <r>
      <rPr>
        <b/>
        <sz val="10"/>
        <color indexed="8"/>
        <rFont val="Times New Roman"/>
        <family val="1"/>
      </rPr>
      <t>476*68000)(384*68000)</t>
    </r>
  </si>
  <si>
    <r>
      <t xml:space="preserve">                                        gimnázium(49*65000) (</t>
    </r>
    <r>
      <rPr>
        <b/>
        <sz val="10"/>
        <color indexed="8"/>
        <rFont val="Times New Roman"/>
        <family val="1"/>
      </rPr>
      <t>60*68000)(44*68000)</t>
    </r>
  </si>
  <si>
    <r>
      <t xml:space="preserve">                                        kollégium(42*65000)( </t>
    </r>
    <r>
      <rPr>
        <b/>
        <sz val="10"/>
        <color indexed="8"/>
        <rFont val="Times New Roman"/>
        <family val="1"/>
      </rPr>
      <t>43*68000)(34*68000)</t>
    </r>
  </si>
  <si>
    <r>
      <t>szakmai informatikai fejlesztési feladatok (</t>
    </r>
    <r>
      <rPr>
        <b/>
        <sz val="10"/>
        <color indexed="8"/>
        <rFont val="Times New Roman"/>
        <family val="1"/>
      </rPr>
      <t>2306*1750)(2147*1.750*8/12)</t>
    </r>
  </si>
  <si>
    <t xml:space="preserve">Raiffeisen Bank Rt. </t>
  </si>
  <si>
    <t xml:space="preserve">kötvény </t>
  </si>
  <si>
    <t>1. melléklet a   6/2012. (III.01.) önkormányzati rendelethez</t>
  </si>
  <si>
    <t>1. melléklet a    6/2012. (III.01.) önkormányzati rendelethez</t>
  </si>
  <si>
    <t>2. melléklet a 6/2012. (III.01.) önkormányzati rendelethez</t>
  </si>
  <si>
    <t>3. melléklet a 6/2012. (III.01.) önkormányzati rendelethez</t>
  </si>
  <si>
    <t>4. melléklet a 6/2012. (III.01.) önkormányzati rendelethez</t>
  </si>
  <si>
    <t>5. melléklet a 6/2012. (III.01.) önkormányzati rendelethez</t>
  </si>
  <si>
    <t>6. melléklet a 6/2012. (III.01.) önkormányzati rendelethez</t>
  </si>
  <si>
    <t>7. melléklet a 6/2012. (III.01.) önkormányzati rendelethez</t>
  </si>
  <si>
    <t>8. melléklet a 6/2012. (III.01.) önkormányzati rendelethez</t>
  </si>
  <si>
    <t>9. melléklet a 6/2012. (III.01.) önkormányzati rendelethez</t>
  </si>
  <si>
    <t>10. melléklet a 6/2012. (III.01.) önkormányzati rendelethez</t>
  </si>
  <si>
    <t>11. melléklet a 6/2012. (III.01.) önkormányzati rendelethez</t>
  </si>
  <si>
    <t>12. melléklet a 6/2012. (III.01.) önkormányzati rendelethez</t>
  </si>
  <si>
    <t>13. melléklet a 6/2012. (III.01.) önkormányzati rendelethez</t>
  </si>
  <si>
    <t>14. melléklet a 6/2012. (III.01.) önkormányzati rendelethez</t>
  </si>
  <si>
    <t>15. melléklet a 6/2012. (III.01.) önkormányzati rendelethez</t>
  </si>
  <si>
    <t>16. melléklet a 6/2012. (III.01.) önkormányzati rendelethez</t>
  </si>
  <si>
    <t>17. melléklet a 6/2012. (III.01.) önkormányzati rendelethez</t>
  </si>
  <si>
    <t>17. melléklet a 6/2011. (III.01.) önkormányzati rendelethez</t>
  </si>
  <si>
    <t>18. melléklet a 6/2012. (III.01.) önkormányzati rendelethez</t>
  </si>
  <si>
    <t>19. melléklet a 6/2012. (III.01.) önkormányzati rendelethez</t>
  </si>
  <si>
    <t>20. melléklet a 6/2012. (III.01.) önkormányzati rendelethez</t>
  </si>
  <si>
    <t>21. melléklet a 6/2012. (III.01.) önkormányzati rendelethez</t>
  </si>
  <si>
    <t>22. melléklet a 6/2012. (III.01.) önkormányzati rendelethez</t>
  </si>
  <si>
    <t>23. melléklet a 6/2012. (III.01.) önkormányzati rendelethez</t>
  </si>
  <si>
    <t>24. melléklet a  6/2012. (III.01.)önkormányzati rendelethez</t>
  </si>
  <si>
    <t>25. melléklet a 6/2012. (III.01.) önkormányzati rendelethez</t>
  </si>
  <si>
    <t>26. melléklet a 6/2012. (III.01.) önkormányzati rendelethez</t>
  </si>
  <si>
    <t>27. melléklet a 6/2012. (III.01.) önkormányzati rendelethez</t>
  </si>
  <si>
    <t>28. melléklet a 6/2012. (III.01.) önkormányzati rendelethez</t>
  </si>
  <si>
    <t>29. melléklet a 6/2012. (III.01.) önkormányzati rendelethez</t>
  </si>
  <si>
    <t>30. melléklet a 6/2012. (III.01.) önkormányzati rendelethez</t>
  </si>
  <si>
    <t>31. melléklet a 6/2012. (III.01.) önkormányzati rendelethez</t>
  </si>
  <si>
    <t>32. melléklet a 6/2012. (III.01.) önkormányzati rendelethez</t>
  </si>
  <si>
    <t>33. melléklet a 6/2012. (III.01.) önkormányzati rendelethez</t>
  </si>
  <si>
    <t>34. melléklet a 6/2012. (III.01.) önkormányzati rendelethez</t>
  </si>
  <si>
    <t>35. melléklet a 6/2012. (III.01.) önkormányzati rendelethez</t>
  </si>
  <si>
    <t>36. melléklet a 6/2012. (III.01.) önkormányzati rendelethez</t>
  </si>
  <si>
    <t>37. melléklet a 6/2012. (III.01.) önkormányzati rendelethez</t>
  </si>
  <si>
    <t>38. melléklet a 6/2012. (III.01.) önkormányzati rendelethez</t>
  </si>
  <si>
    <t>39. melléklet a 6/2012. (III.01.) önkormányzati rendelethez</t>
  </si>
  <si>
    <t>40. melléklet a 6/2012. (III.01.) önkormányzati rendelethez</t>
  </si>
  <si>
    <t>41. melléklet a 6/2012. (III.01.) önkormányzati rendelethez</t>
  </si>
  <si>
    <t>42. melléklet a 6/2012. (III.01.) önkormányzati rendelethez</t>
  </si>
  <si>
    <t>43. melléklet a 6/2011. (III.01.) önkormányzati rendelethez</t>
  </si>
  <si>
    <t>44. melléklet a 6/2012. (III.01.) önkormányzati rendelethez</t>
  </si>
  <si>
    <t>45. melléklet a 6/2012. (III.01.) önkormányzati rendelethez</t>
  </si>
  <si>
    <t>46. melléklet a 6/2012. (III.01.) önkormányzati rendelethez</t>
  </si>
  <si>
    <t>47. melléklet a 6/2012. (III.01.) önkormányzati rendelethez</t>
  </si>
  <si>
    <t>48. melléklet a 6/2012. (III.01.) önkormányzati rendelethez</t>
  </si>
  <si>
    <t>49. melléklet a 6/2012. (III.01.) önkormányzati rendelethez</t>
  </si>
  <si>
    <t>50. melléklet a 6/2012. (III.01.) önkormányzati rendelethez</t>
  </si>
  <si>
    <t>51. melléklet a 6/2012. (III.01.) önkormányzati rendelethez</t>
  </si>
  <si>
    <t>1. függelék a 6/2012. (III.01.) önkormányzati rendelethez</t>
  </si>
  <si>
    <t>2. függelék a 6/2012. (III.01.) önkormányzati rendelethez</t>
  </si>
  <si>
    <t>3. függelék a 6/2012. (III.01.) önkormányzati rendelethez</t>
  </si>
  <si>
    <t>segélyek</t>
  </si>
  <si>
    <t>Prémium évek program támogatása</t>
  </si>
  <si>
    <t xml:space="preserve">Egészségügyi gép-műszer </t>
  </si>
  <si>
    <t>Adómentesség</t>
  </si>
  <si>
    <t>Bölcsőde, óvodai nev. Infrastrukturális fejlesztése</t>
  </si>
  <si>
    <t>2012. bérkomkompenzáció</t>
  </si>
  <si>
    <t xml:space="preserve">            - Óvoda és Bölcsőde: - Munkaügyi Központ -Közfogl.bértámog.</t>
  </si>
  <si>
    <t xml:space="preserve">            - MÁAMIPSZ: - Munkaügyi Központ -Közfogl.bértámog.</t>
  </si>
  <si>
    <t xml:space="preserve">                                        - Iskola gyümölcs</t>
  </si>
  <si>
    <t xml:space="preserve">                                        - Wekerle Sándor: Macika ösztöndíj program   </t>
  </si>
  <si>
    <t xml:space="preserve">         - MÁAMIPSZ: - MOB - Olimpiai iskolák támogatására</t>
  </si>
  <si>
    <t xml:space="preserve">                                     - Aranyág Alapítványi támogatás</t>
  </si>
  <si>
    <r>
      <t xml:space="preserve">            - </t>
    </r>
    <r>
      <rPr>
        <b/>
        <u val="single"/>
        <sz val="10"/>
        <rFont val="Times New Roman"/>
        <family val="1"/>
      </rPr>
      <t xml:space="preserve">Széchenyi Szki:  </t>
    </r>
    <r>
      <rPr>
        <sz val="10"/>
        <rFont val="Times New Roman"/>
        <family val="1"/>
      </rPr>
      <t>- Wekerle Alapkezelő - Útravaló ösztöndíj</t>
    </r>
  </si>
  <si>
    <r>
      <t xml:space="preserve">            - </t>
    </r>
    <r>
      <rPr>
        <b/>
        <u val="single"/>
        <sz val="10"/>
        <rFont val="Times New Roman"/>
        <family val="1"/>
      </rPr>
      <t xml:space="preserve">Kollégium:  </t>
    </r>
    <r>
      <rPr>
        <sz val="10"/>
        <rFont val="Times New Roman"/>
        <family val="1"/>
      </rPr>
      <t xml:space="preserve">        - Munkaügyi Központ - bértámogatás</t>
    </r>
  </si>
  <si>
    <t xml:space="preserve">                                              - NSZFI Szakiskolai ösztöndíj</t>
  </si>
  <si>
    <t xml:space="preserve">                                              - Munkaügyi Központ - bértámogatás</t>
  </si>
  <si>
    <t xml:space="preserve">          - Mezőgazdasági Startmunka-program támogatási előleg (műk.)</t>
  </si>
  <si>
    <t xml:space="preserve"> - Mezőgazd.Startmunka támogatási előleg (felhalmozási)</t>
  </si>
  <si>
    <t>Közfoglalkoztatás - Mezőgazdasági Startmunka-program - hőcserélő</t>
  </si>
  <si>
    <t xml:space="preserve">            Közfoglalkoztatás összesen:</t>
  </si>
  <si>
    <t>nyári gyermekétkeztetés</t>
  </si>
  <si>
    <r>
      <t xml:space="preserve">            - </t>
    </r>
    <r>
      <rPr>
        <b/>
        <u val="single"/>
        <sz val="10"/>
        <rFont val="Times New Roman"/>
        <family val="1"/>
      </rPr>
      <t>Gimnázium:</t>
    </r>
    <r>
      <rPr>
        <sz val="10"/>
        <rFont val="Times New Roman"/>
        <family val="1"/>
      </rPr>
      <t xml:space="preserve">    - Wekerle Alapkezelő - Útravaló ösztöndíj</t>
    </r>
  </si>
  <si>
    <t xml:space="preserve">                                         - TÁMOP-3.1.5-Ped.képz.pályázat</t>
  </si>
  <si>
    <t xml:space="preserve">                                         - NEFMI pályázati támogatás</t>
  </si>
  <si>
    <t xml:space="preserve">                                         - Munkaügyi Központ közfogl.bértámog.</t>
  </si>
  <si>
    <t>Rendelőintézet-Mkövesd Egészségéért Alapítványtól labor diagn. készülékre és röntgen kiolvasóra</t>
  </si>
  <si>
    <t>Szociális Földprogram - rotációs kapa, motoros fűkasza beszerzés</t>
  </si>
  <si>
    <t xml:space="preserve">          - VG ZRt.-nek víz-csatorna díj támogatása</t>
  </si>
  <si>
    <t xml:space="preserve">          - Közkincstár Takács I. kiállításra</t>
  </si>
  <si>
    <t xml:space="preserve">          - Közkinycstár Közműv. Érd. Támogatása</t>
  </si>
  <si>
    <t xml:space="preserve">          - KÖZKINCS-TÁR nonprof. Kft. - kultúra</t>
  </si>
  <si>
    <t xml:space="preserve">          - KÖZKINCS-TÁR nonprof. Kft.- könyvtár</t>
  </si>
  <si>
    <t xml:space="preserve">      Zsóry Futball Club támgogatás megelőlegezésre</t>
  </si>
  <si>
    <t>Illetmény kompenzáció</t>
  </si>
  <si>
    <t>Közművelődési érdekeltségnövelő támogatás</t>
  </si>
  <si>
    <t>Lakossági víz- és csatorna támogatás</t>
  </si>
  <si>
    <t xml:space="preserve">      Zsóry Futball Club támogatásmelelőlegezésére</t>
  </si>
  <si>
    <t xml:space="preserve">I/4.4. Előző évi költségvetési kieg. visszatérülés </t>
  </si>
  <si>
    <t>Önkormányzat - Előző évi költségv. Visszat.</t>
  </si>
  <si>
    <t>I/4.4. Előző évi költségvetési kieg. visszatérülés  összesen:</t>
  </si>
  <si>
    <t>I/4. Egyéb működési bevételek mindösszesen</t>
  </si>
  <si>
    <t xml:space="preserve">      Intézmények</t>
  </si>
  <si>
    <t xml:space="preserve">      Polgármesteri Hivatal </t>
  </si>
  <si>
    <t xml:space="preserve">      Önkormányzat</t>
  </si>
  <si>
    <t>önkormányzati igazg.+ter. Ig.</t>
  </si>
  <si>
    <t>Tartalék+ hiteltörlesztés</t>
  </si>
  <si>
    <t>Nem lakóingatlan bérbeadás</t>
  </si>
  <si>
    <t xml:space="preserve">52. melléklet </t>
  </si>
  <si>
    <t xml:space="preserve">VI. Értékpapírok vásárlásának kiadásai </t>
  </si>
  <si>
    <t>Értékpapír vásárlás</t>
  </si>
  <si>
    <t xml:space="preserve">53. melléklet </t>
  </si>
  <si>
    <t xml:space="preserve">Értékpapír értékesítés </t>
  </si>
  <si>
    <t>Értékpapír értékesítés hozama</t>
  </si>
  <si>
    <t>2012.év</t>
  </si>
  <si>
    <t>ÖNKORMÁNYZAT MINDÖSSZESEN</t>
  </si>
  <si>
    <t>VII. Értékpapírok értékesítésének bevétele</t>
  </si>
  <si>
    <t>VII. 2. Felhalmozási c. értékpapírértékesítés összesen</t>
  </si>
  <si>
    <t>Önkormányzat mindösszesen:</t>
  </si>
  <si>
    <t>Területi igazg.tev</t>
  </si>
  <si>
    <t>Nem lakóing. Bérbead.</t>
  </si>
  <si>
    <t xml:space="preserve">   Egyéb lakossági igények kezelése </t>
  </si>
  <si>
    <t>Segélyek</t>
  </si>
  <si>
    <t xml:space="preserve">    - Roma Nemzetiségi Önk. - előző évi pénzmaradvány</t>
  </si>
  <si>
    <t>Gari Takács Margit Emlékház felújítása</t>
  </si>
  <si>
    <t>Közösségi Ház parketta felújítás</t>
  </si>
  <si>
    <t xml:space="preserve">           Oktatási tevénykenység összesen:</t>
  </si>
  <si>
    <t xml:space="preserve">           Városgazd. Szolg. összesen</t>
  </si>
  <si>
    <t>Gimnázium kistorna terem felújítása</t>
  </si>
  <si>
    <r>
      <t>SNI viselkedés fejl.(41*134400*4/12) (</t>
    </r>
    <r>
      <rPr>
        <b/>
        <sz val="10"/>
        <color indexed="8"/>
        <rFont val="Times New Roman"/>
        <family val="1"/>
      </rPr>
      <t>78-50)*156800*4/12</t>
    </r>
  </si>
  <si>
    <r>
      <t>Isk.okt.9-10.évf.(719*2350000*4/12)(</t>
    </r>
    <r>
      <rPr>
        <b/>
        <sz val="10"/>
        <color indexed="8"/>
        <rFont val="Times New Roman"/>
        <family val="1"/>
      </rPr>
      <t>795*2350000*4/12)((667-343)*2350000*8/12)</t>
    </r>
  </si>
  <si>
    <r>
      <t>Isk. okt. 11-13. évf. (</t>
    </r>
    <r>
      <rPr>
        <b/>
        <sz val="10"/>
        <color indexed="8"/>
        <rFont val="Times New Roman"/>
        <family val="1"/>
      </rPr>
      <t>567*2350000*4/12)((523-161)*23500000*4/12)</t>
    </r>
  </si>
  <si>
    <r>
      <t>Isk.szakképzés 9-11.évf.(396*2350000*4/12)(</t>
    </r>
    <r>
      <rPr>
        <b/>
        <sz val="8"/>
        <color indexed="8"/>
        <rFont val="Times New Roman"/>
        <family val="1"/>
      </rPr>
      <t>407*2350000*4/12)((389-338)*2350000*4/12)</t>
    </r>
  </si>
  <si>
    <r>
      <t>Isk.gyak.okt.9-10.évf.(210*35000*4/12)(</t>
    </r>
    <r>
      <rPr>
        <b/>
        <sz val="9"/>
        <color indexed="8"/>
        <rFont val="Times New Roman"/>
        <family val="1"/>
      </rPr>
      <t>238*35000*4/12)((173-173)*2350000*4/12)</t>
    </r>
  </si>
  <si>
    <r>
      <t>Isk.gyak.(1 évf.képz.)(16*98000*4/12)(</t>
    </r>
    <r>
      <rPr>
        <b/>
        <sz val="10"/>
        <color indexed="8"/>
        <rFont val="Times New Roman"/>
        <family val="1"/>
      </rPr>
      <t>3*9800*4/12)((8-8)*98000*4/12)</t>
    </r>
  </si>
  <si>
    <r>
      <t xml:space="preserve">Isk.gyak.(első évf.)(50*137200*4/12)( </t>
    </r>
    <r>
      <rPr>
        <b/>
        <sz val="10"/>
        <color indexed="8"/>
        <rFont val="Times New Roman"/>
        <family val="1"/>
      </rPr>
      <t>62*137200*4/12)((82-82)*137.200*4/12)</t>
    </r>
  </si>
  <si>
    <r>
      <t>Isk.gyak.(ut.évf.)(22*58800*4/12) (</t>
    </r>
    <r>
      <rPr>
        <b/>
        <sz val="10"/>
        <color indexed="8"/>
        <rFont val="Times New Roman"/>
        <family val="1"/>
      </rPr>
      <t>27*58800*4/12)((28-28)*58.800*4/12)</t>
    </r>
  </si>
  <si>
    <r>
      <t>Isk.gyak.(tan.szerz.)(121*19600*4/12)(</t>
    </r>
    <r>
      <rPr>
        <b/>
        <sz val="10"/>
        <color indexed="8"/>
        <rFont val="Times New Roman"/>
        <family val="1"/>
      </rPr>
      <t>196*19600*4/12)((220-220)*19.600*4/12)</t>
    </r>
  </si>
  <si>
    <r>
      <t xml:space="preserve">Bejáró tanuló (955*15300*4/12)( </t>
    </r>
    <r>
      <rPr>
        <b/>
        <sz val="10"/>
        <color indexed="8"/>
        <rFont val="Times New Roman"/>
        <family val="1"/>
      </rPr>
      <t>1000*15300*4/12)((970-630)*15.300*4/12)</t>
    </r>
  </si>
  <si>
    <t>pedagógus szakvizsga, továbbképzés(285*10500*4/12)((283-66)*6300*4/12)</t>
  </si>
  <si>
    <t>osztályfőnöki pótlék (120*26000*4/12)((106-35)*26000*4/12)</t>
  </si>
  <si>
    <r>
      <t xml:space="preserve">                                        szakközépiskola(16*65000) (</t>
    </r>
    <r>
      <rPr>
        <b/>
        <sz val="10"/>
        <color indexed="8"/>
        <rFont val="Times New Roman"/>
        <family val="1"/>
      </rPr>
      <t>12*68000)((8-3)*68000)</t>
    </r>
  </si>
  <si>
    <r>
      <t xml:space="preserve">szakmai informatikai fejlesztési feladatok </t>
    </r>
    <r>
      <rPr>
        <b/>
        <sz val="10"/>
        <color indexed="8"/>
        <rFont val="Times New Roman"/>
        <family val="1"/>
      </rPr>
      <t>((2070-501)*1.750*4/12)</t>
    </r>
  </si>
  <si>
    <r>
      <t>tanulói tankönyv ingyenes(1233*10000) (</t>
    </r>
    <r>
      <rPr>
        <b/>
        <sz val="10"/>
        <color indexed="8"/>
        <rFont val="Times New Roman"/>
        <family val="1"/>
      </rPr>
      <t>1478*12000)((1291-500)*12.000)</t>
    </r>
  </si>
  <si>
    <t xml:space="preserve">  - hangszer beszerzés (vadászkürt)</t>
  </si>
  <si>
    <t xml:space="preserve">                                        - tanulói tk. támogatása vidéki önk.</t>
  </si>
  <si>
    <r>
      <t>Kollégiumi ell.(72*2350000*4/12) (</t>
    </r>
    <r>
      <rPr>
        <b/>
        <sz val="10"/>
        <color indexed="8"/>
        <rFont val="Times New Roman"/>
        <family val="1"/>
      </rPr>
      <t>66*2350000*4/12)(74*2350000*4/12)</t>
    </r>
  </si>
  <si>
    <t xml:space="preserve"> - egyéb gép, berend.: tanműhelyek eszközfejlesztése, ügyviteli szám.tech. eszk</t>
  </si>
  <si>
    <t xml:space="preserve">    - Sziszi - megszűnés miatti záró pk. és átfutó kiadás átadása </t>
  </si>
  <si>
    <t xml:space="preserve">         - Rendelőintézet: röntgen gép javítás</t>
  </si>
  <si>
    <t xml:space="preserve">          - SZISZI intézménymegszűnés </t>
  </si>
  <si>
    <t xml:space="preserve">                        Széchenyi István Szakképző Iskola 2012.08.15 - 2012.08.31 82 fő</t>
  </si>
  <si>
    <t>Buszállomás környékének talajcseréje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</si>
</sst>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 style="medium">
        <color indexed="8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>
        <color indexed="8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708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0" xfId="0" applyFont="1" applyAlignment="1">
      <alignment/>
    </xf>
    <xf numFmtId="3" fontId="19" fillId="0" borderId="13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6" fillId="0" borderId="0" xfId="0" applyFont="1" applyAlignment="1">
      <alignment/>
    </xf>
    <xf numFmtId="0" fontId="19" fillId="0" borderId="15" xfId="0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 wrapText="1"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19" fillId="0" borderId="25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44" fillId="0" borderId="0" xfId="0" applyFont="1" applyAlignment="1">
      <alignment horizontal="center"/>
    </xf>
    <xf numFmtId="0" fontId="32" fillId="0" borderId="11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" fontId="27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4" fillId="0" borderId="27" xfId="54" applyFont="1" applyBorder="1" applyAlignment="1" applyProtection="1">
      <alignment vertical="center"/>
      <protection/>
    </xf>
    <xf numFmtId="0" fontId="24" fillId="0" borderId="27" xfId="54" applyFont="1" applyBorder="1" applyAlignment="1" applyProtection="1">
      <alignment horizontal="center" vertical="center" wrapText="1"/>
      <protection/>
    </xf>
    <xf numFmtId="0" fontId="19" fillId="0" borderId="18" xfId="54" applyFont="1" applyBorder="1" applyProtection="1">
      <alignment/>
      <protection/>
    </xf>
    <xf numFmtId="3" fontId="19" fillId="0" borderId="13" xfId="54" applyNumberFormat="1" applyFont="1" applyBorder="1" applyProtection="1">
      <alignment/>
      <protection/>
    </xf>
    <xf numFmtId="3" fontId="19" fillId="0" borderId="18" xfId="54" applyNumberFormat="1" applyFont="1" applyBorder="1" applyProtection="1">
      <alignment/>
      <protection/>
    </xf>
    <xf numFmtId="0" fontId="19" fillId="0" borderId="13" xfId="54" applyFont="1" applyBorder="1" applyProtection="1">
      <alignment/>
      <protection/>
    </xf>
    <xf numFmtId="0" fontId="24" fillId="0" borderId="28" xfId="54" applyFont="1" applyBorder="1" applyProtection="1">
      <alignment/>
      <protection/>
    </xf>
    <xf numFmtId="0" fontId="24" fillId="0" borderId="17" xfId="54" applyFont="1" applyBorder="1" applyAlignment="1" applyProtection="1">
      <alignment vertical="center"/>
      <protection/>
    </xf>
    <xf numFmtId="0" fontId="24" fillId="0" borderId="29" xfId="54" applyFont="1" applyBorder="1" applyAlignment="1" applyProtection="1">
      <alignment horizontal="center" vertical="center" wrapText="1"/>
      <protection/>
    </xf>
    <xf numFmtId="0" fontId="19" fillId="0" borderId="30" xfId="54" applyFont="1" applyBorder="1" applyProtection="1">
      <alignment/>
      <protection/>
    </xf>
    <xf numFmtId="0" fontId="19" fillId="0" borderId="19" xfId="54" applyFont="1" applyBorder="1" applyProtection="1">
      <alignment/>
      <protection/>
    </xf>
    <xf numFmtId="0" fontId="19" fillId="0" borderId="13" xfId="54" applyFont="1" applyBorder="1" applyAlignment="1" applyProtection="1">
      <alignment wrapText="1"/>
      <protection/>
    </xf>
    <xf numFmtId="3" fontId="24" fillId="0" borderId="17" xfId="54" applyNumberFormat="1" applyFont="1" applyBorder="1" applyProtection="1">
      <alignment/>
      <protection/>
    </xf>
    <xf numFmtId="0" fontId="24" fillId="0" borderId="17" xfId="54" applyFont="1" applyBorder="1" applyProtection="1">
      <alignment/>
      <protection/>
    </xf>
    <xf numFmtId="3" fontId="19" fillId="0" borderId="20" xfId="54" applyNumberFormat="1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0" fontId="19" fillId="0" borderId="17" xfId="54" applyFont="1" applyBorder="1" applyProtection="1">
      <alignment/>
      <protection/>
    </xf>
    <xf numFmtId="3" fontId="24" fillId="0" borderId="18" xfId="54" applyNumberFormat="1" applyFont="1" applyBorder="1" applyProtection="1">
      <alignment/>
      <protection/>
    </xf>
    <xf numFmtId="0" fontId="24" fillId="0" borderId="0" xfId="0" applyFont="1" applyAlignment="1">
      <alignment horizontal="right"/>
    </xf>
    <xf numFmtId="3" fontId="24" fillId="24" borderId="17" xfId="0" applyNumberFormat="1" applyFont="1" applyFill="1" applyBorder="1" applyAlignment="1">
      <alignment/>
    </xf>
    <xf numFmtId="0" fontId="32" fillId="0" borderId="14" xfId="0" applyFont="1" applyBorder="1" applyAlignment="1">
      <alignment vertical="center"/>
    </xf>
    <xf numFmtId="3" fontId="19" fillId="0" borderId="31" xfId="0" applyNumberFormat="1" applyFont="1" applyBorder="1" applyAlignment="1">
      <alignment vertical="center"/>
    </xf>
    <xf numFmtId="3" fontId="19" fillId="0" borderId="31" xfId="40" applyNumberFormat="1" applyFont="1" applyFill="1" applyBorder="1" applyAlignment="1" applyProtection="1">
      <alignment vertical="center"/>
      <protection/>
    </xf>
    <xf numFmtId="3" fontId="19" fillId="0" borderId="11" xfId="0" applyNumberFormat="1" applyFont="1" applyBorder="1" applyAlignment="1">
      <alignment vertical="center"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13" xfId="40" applyNumberFormat="1" applyFont="1" applyFill="1" applyBorder="1" applyAlignment="1" applyProtection="1">
      <alignment vertical="center"/>
      <protection/>
    </xf>
    <xf numFmtId="3" fontId="19" fillId="0" borderId="19" xfId="40" applyNumberFormat="1" applyFont="1" applyFill="1" applyBorder="1" applyAlignment="1" applyProtection="1">
      <alignment vertical="center"/>
      <protection/>
    </xf>
    <xf numFmtId="3" fontId="19" fillId="0" borderId="30" xfId="40" applyNumberFormat="1" applyFont="1" applyFill="1" applyBorder="1" applyAlignment="1" applyProtection="1">
      <alignment vertical="center"/>
      <protection/>
    </xf>
    <xf numFmtId="3" fontId="19" fillId="0" borderId="11" xfId="0" applyNumberFormat="1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19" fillId="0" borderId="32" xfId="40" applyNumberFormat="1" applyFont="1" applyFill="1" applyBorder="1" applyAlignment="1" applyProtection="1">
      <alignment vertical="center"/>
      <protection/>
    </xf>
    <xf numFmtId="3" fontId="19" fillId="0" borderId="15" xfId="0" applyNumberFormat="1" applyFont="1" applyBorder="1" applyAlignment="1">
      <alignment horizontal="right" vertical="center"/>
    </xf>
    <xf numFmtId="3" fontId="19" fillId="0" borderId="33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0" fontId="49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41" fillId="0" borderId="0" xfId="0" applyFont="1" applyAlignment="1">
      <alignment horizontal="justify"/>
    </xf>
    <xf numFmtId="0" fontId="49" fillId="0" borderId="0" xfId="0" applyFont="1" applyAlignment="1">
      <alignment/>
    </xf>
    <xf numFmtId="0" fontId="41" fillId="0" borderId="14" xfId="0" applyFont="1" applyBorder="1" applyAlignment="1">
      <alignment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9" fillId="0" borderId="34" xfId="0" applyFont="1" applyBorder="1" applyAlignment="1">
      <alignment/>
    </xf>
    <xf numFmtId="0" fontId="31" fillId="0" borderId="25" xfId="0" applyFont="1" applyBorder="1" applyAlignment="1">
      <alignment wrapText="1"/>
    </xf>
    <xf numFmtId="3" fontId="31" fillId="0" borderId="35" xfId="40" applyNumberFormat="1" applyFont="1" applyFill="1" applyBorder="1" applyAlignment="1" applyProtection="1">
      <alignment/>
      <protection/>
    </xf>
    <xf numFmtId="3" fontId="31" fillId="0" borderId="25" xfId="0" applyNumberFormat="1" applyFont="1" applyBorder="1" applyAlignment="1">
      <alignment/>
    </xf>
    <xf numFmtId="3" fontId="31" fillId="0" borderId="36" xfId="0" applyNumberFormat="1" applyFont="1" applyBorder="1" applyAlignment="1">
      <alignment/>
    </xf>
    <xf numFmtId="3" fontId="31" fillId="0" borderId="10" xfId="40" applyNumberFormat="1" applyFont="1" applyFill="1" applyBorder="1" applyAlignment="1" applyProtection="1">
      <alignment/>
      <protection/>
    </xf>
    <xf numFmtId="3" fontId="31" fillId="0" borderId="25" xfId="40" applyNumberFormat="1" applyFont="1" applyFill="1" applyBorder="1" applyAlignment="1" applyProtection="1">
      <alignment/>
      <protection/>
    </xf>
    <xf numFmtId="0" fontId="19" fillId="0" borderId="34" xfId="0" applyFont="1" applyBorder="1" applyAlignment="1">
      <alignment wrapText="1"/>
    </xf>
    <xf numFmtId="0" fontId="46" fillId="0" borderId="0" xfId="0" applyFont="1" applyBorder="1" applyAlignment="1">
      <alignment/>
    </xf>
    <xf numFmtId="3" fontId="46" fillId="0" borderId="0" xfId="40" applyNumberFormat="1" applyFont="1" applyFill="1" applyBorder="1" applyAlignment="1" applyProtection="1">
      <alignment/>
      <protection/>
    </xf>
    <xf numFmtId="0" fontId="24" fillId="0" borderId="37" xfId="0" applyFont="1" applyBorder="1" applyAlignment="1">
      <alignment horizontal="center"/>
    </xf>
    <xf numFmtId="3" fontId="31" fillId="0" borderId="36" xfId="40" applyNumberFormat="1" applyFont="1" applyFill="1" applyBorder="1" applyAlignment="1" applyProtection="1">
      <alignment/>
      <protection/>
    </xf>
    <xf numFmtId="0" fontId="47" fillId="0" borderId="0" xfId="0" applyFont="1" applyAlignment="1">
      <alignment horizontal="right"/>
    </xf>
    <xf numFmtId="0" fontId="24" fillId="0" borderId="38" xfId="0" applyFont="1" applyBorder="1" applyAlignment="1">
      <alignment horizontal="center" vertical="center"/>
    </xf>
    <xf numFmtId="3" fontId="19" fillId="0" borderId="25" xfId="0" applyNumberFormat="1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4" fillId="0" borderId="40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35" fillId="0" borderId="0" xfId="0" applyFont="1" applyAlignment="1">
      <alignment/>
    </xf>
    <xf numFmtId="0" fontId="22" fillId="0" borderId="25" xfId="0" applyFont="1" applyBorder="1" applyAlignment="1">
      <alignment/>
    </xf>
    <xf numFmtId="3" fontId="32" fillId="0" borderId="25" xfId="0" applyNumberFormat="1" applyFont="1" applyBorder="1" applyAlignment="1">
      <alignment/>
    </xf>
    <xf numFmtId="0" fontId="45" fillId="0" borderId="0" xfId="0" applyFont="1" applyAlignment="1">
      <alignment/>
    </xf>
    <xf numFmtId="0" fontId="22" fillId="0" borderId="25" xfId="0" applyFont="1" applyBorder="1" applyAlignment="1">
      <alignment horizontal="center"/>
    </xf>
    <xf numFmtId="0" fontId="22" fillId="0" borderId="25" xfId="0" applyFont="1" applyBorder="1" applyAlignment="1">
      <alignment horizontal="center" wrapText="1"/>
    </xf>
    <xf numFmtId="10" fontId="32" fillId="0" borderId="25" xfId="0" applyNumberFormat="1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25" xfId="0" applyFont="1" applyBorder="1" applyAlignment="1">
      <alignment horizontal="justify"/>
    </xf>
    <xf numFmtId="3" fontId="32" fillId="0" borderId="25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3" fontId="19" fillId="0" borderId="41" xfId="0" applyNumberFormat="1" applyFont="1" applyBorder="1" applyAlignment="1">
      <alignment/>
    </xf>
    <xf numFmtId="3" fontId="19" fillId="24" borderId="18" xfId="0" applyNumberFormat="1" applyFont="1" applyFill="1" applyBorder="1" applyAlignment="1">
      <alignment/>
    </xf>
    <xf numFmtId="0" fontId="24" fillId="0" borderId="42" xfId="0" applyFont="1" applyBorder="1" applyAlignment="1">
      <alignment/>
    </xf>
    <xf numFmtId="3" fontId="24" fillId="0" borderId="43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3" fontId="19" fillId="24" borderId="45" xfId="0" applyNumberFormat="1" applyFont="1" applyFill="1" applyBorder="1" applyAlignment="1">
      <alignment/>
    </xf>
    <xf numFmtId="3" fontId="19" fillId="0" borderId="47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3" fontId="24" fillId="0" borderId="51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0" fontId="19" fillId="0" borderId="53" xfId="0" applyFont="1" applyBorder="1" applyAlignment="1">
      <alignment/>
    </xf>
    <xf numFmtId="3" fontId="19" fillId="0" borderId="54" xfId="0" applyNumberFormat="1" applyFont="1" applyBorder="1" applyAlignment="1">
      <alignment/>
    </xf>
    <xf numFmtId="3" fontId="24" fillId="24" borderId="51" xfId="0" applyNumberFormat="1" applyFont="1" applyFill="1" applyBorder="1" applyAlignment="1">
      <alignment/>
    </xf>
    <xf numFmtId="3" fontId="24" fillId="24" borderId="55" xfId="0" applyNumberFormat="1" applyFont="1" applyFill="1" applyBorder="1" applyAlignment="1">
      <alignment/>
    </xf>
    <xf numFmtId="0" fontId="22" fillId="0" borderId="56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0" fillId="0" borderId="59" xfId="0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0" fontId="24" fillId="0" borderId="62" xfId="0" applyFont="1" applyBorder="1" applyAlignment="1">
      <alignment/>
    </xf>
    <xf numFmtId="0" fontId="24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63" xfId="0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66" xfId="0" applyFont="1" applyBorder="1" applyAlignment="1">
      <alignment/>
    </xf>
    <xf numFmtId="0" fontId="24" fillId="0" borderId="67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68" xfId="0" applyFont="1" applyBorder="1" applyAlignment="1">
      <alignment/>
    </xf>
    <xf numFmtId="0" fontId="24" fillId="0" borderId="69" xfId="0" applyFont="1" applyBorder="1" applyAlignment="1">
      <alignment wrapText="1"/>
    </xf>
    <xf numFmtId="0" fontId="24" fillId="0" borderId="68" xfId="0" applyFont="1" applyBorder="1" applyAlignment="1">
      <alignment wrapText="1"/>
    </xf>
    <xf numFmtId="0" fontId="24" fillId="0" borderId="66" xfId="0" applyFont="1" applyBorder="1" applyAlignment="1">
      <alignment/>
    </xf>
    <xf numFmtId="0" fontId="19" fillId="24" borderId="66" xfId="0" applyFont="1" applyFill="1" applyBorder="1" applyAlignment="1">
      <alignment/>
    </xf>
    <xf numFmtId="0" fontId="24" fillId="0" borderId="70" xfId="0" applyFont="1" applyBorder="1" applyAlignment="1">
      <alignment/>
    </xf>
    <xf numFmtId="0" fontId="24" fillId="0" borderId="67" xfId="0" applyFont="1" applyBorder="1" applyAlignment="1">
      <alignment wrapText="1"/>
    </xf>
    <xf numFmtId="3" fontId="24" fillId="0" borderId="71" xfId="0" applyNumberFormat="1" applyFont="1" applyBorder="1" applyAlignment="1">
      <alignment/>
    </xf>
    <xf numFmtId="3" fontId="19" fillId="0" borderId="72" xfId="0" applyNumberFormat="1" applyFont="1" applyBorder="1" applyAlignment="1">
      <alignment/>
    </xf>
    <xf numFmtId="3" fontId="24" fillId="0" borderId="73" xfId="0" applyNumberFormat="1" applyFont="1" applyBorder="1" applyAlignment="1">
      <alignment/>
    </xf>
    <xf numFmtId="3" fontId="19" fillId="0" borderId="74" xfId="0" applyNumberFormat="1" applyFont="1" applyBorder="1" applyAlignment="1">
      <alignment/>
    </xf>
    <xf numFmtId="3" fontId="24" fillId="0" borderId="72" xfId="0" applyNumberFormat="1" applyFont="1" applyBorder="1" applyAlignment="1">
      <alignment/>
    </xf>
    <xf numFmtId="3" fontId="19" fillId="0" borderId="73" xfId="0" applyNumberFormat="1" applyFont="1" applyBorder="1" applyAlignment="1">
      <alignment/>
    </xf>
    <xf numFmtId="3" fontId="24" fillId="0" borderId="74" xfId="0" applyNumberFormat="1" applyFont="1" applyBorder="1" applyAlignment="1">
      <alignment/>
    </xf>
    <xf numFmtId="3" fontId="19" fillId="0" borderId="75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24" fillId="0" borderId="76" xfId="0" applyNumberFormat="1" applyFont="1" applyBorder="1" applyAlignment="1">
      <alignment/>
    </xf>
    <xf numFmtId="3" fontId="19" fillId="0" borderId="77" xfId="0" applyNumberFormat="1" applyFont="1" applyBorder="1" applyAlignment="1">
      <alignment/>
    </xf>
    <xf numFmtId="3" fontId="19" fillId="0" borderId="78" xfId="0" applyNumberFormat="1" applyFont="1" applyBorder="1" applyAlignment="1">
      <alignment/>
    </xf>
    <xf numFmtId="3" fontId="24" fillId="0" borderId="63" xfId="0" applyNumberFormat="1" applyFont="1" applyBorder="1" applyAlignment="1">
      <alignment/>
    </xf>
    <xf numFmtId="3" fontId="19" fillId="0" borderId="76" xfId="0" applyNumberFormat="1" applyFont="1" applyBorder="1" applyAlignment="1">
      <alignment/>
    </xf>
    <xf numFmtId="3" fontId="24" fillId="0" borderId="78" xfId="0" applyNumberFormat="1" applyFont="1" applyBorder="1" applyAlignment="1">
      <alignment/>
    </xf>
    <xf numFmtId="3" fontId="24" fillId="0" borderId="77" xfId="0" applyNumberFormat="1" applyFont="1" applyBorder="1" applyAlignment="1">
      <alignment/>
    </xf>
    <xf numFmtId="3" fontId="19" fillId="0" borderId="79" xfId="0" applyNumberFormat="1" applyFont="1" applyBorder="1" applyAlignment="1">
      <alignment/>
    </xf>
    <xf numFmtId="3" fontId="19" fillId="0" borderId="80" xfId="0" applyNumberFormat="1" applyFont="1" applyBorder="1" applyAlignment="1">
      <alignment/>
    </xf>
    <xf numFmtId="0" fontId="19" fillId="0" borderId="69" xfId="0" applyFont="1" applyBorder="1" applyAlignment="1">
      <alignment/>
    </xf>
    <xf numFmtId="3" fontId="19" fillId="24" borderId="63" xfId="0" applyNumberFormat="1" applyFont="1" applyFill="1" applyBorder="1" applyAlignment="1">
      <alignment/>
    </xf>
    <xf numFmtId="0" fontId="24" fillId="0" borderId="77" xfId="0" applyFont="1" applyBorder="1" applyAlignment="1">
      <alignment horizontal="center" vertical="center" wrapText="1"/>
    </xf>
    <xf numFmtId="0" fontId="24" fillId="0" borderId="63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46" xfId="0" applyFont="1" applyBorder="1" applyAlignment="1">
      <alignment/>
    </xf>
    <xf numFmtId="3" fontId="19" fillId="24" borderId="79" xfId="0" applyNumberFormat="1" applyFont="1" applyFill="1" applyBorder="1" applyAlignment="1">
      <alignment/>
    </xf>
    <xf numFmtId="3" fontId="19" fillId="0" borderId="21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9" fillId="0" borderId="81" xfId="0" applyFont="1" applyBorder="1" applyAlignment="1">
      <alignment/>
    </xf>
    <xf numFmtId="0" fontId="19" fillId="0" borderId="82" xfId="0" applyFont="1" applyBorder="1" applyAlignment="1">
      <alignment/>
    </xf>
    <xf numFmtId="0" fontId="24" fillId="0" borderId="77" xfId="0" applyFont="1" applyBorder="1" applyAlignment="1">
      <alignment/>
    </xf>
    <xf numFmtId="0" fontId="19" fillId="0" borderId="83" xfId="0" applyFont="1" applyBorder="1" applyAlignment="1">
      <alignment/>
    </xf>
    <xf numFmtId="0" fontId="24" fillId="0" borderId="84" xfId="0" applyFont="1" applyBorder="1" applyAlignment="1">
      <alignment horizontal="center"/>
    </xf>
    <xf numFmtId="0" fontId="24" fillId="0" borderId="79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3" fontId="19" fillId="0" borderId="85" xfId="0" applyNumberFormat="1" applyFont="1" applyBorder="1" applyAlignment="1">
      <alignment/>
    </xf>
    <xf numFmtId="3" fontId="24" fillId="0" borderId="85" xfId="0" applyNumberFormat="1" applyFont="1" applyBorder="1" applyAlignment="1">
      <alignment/>
    </xf>
    <xf numFmtId="3" fontId="19" fillId="0" borderId="86" xfId="0" applyNumberFormat="1" applyFont="1" applyBorder="1" applyAlignment="1">
      <alignment/>
    </xf>
    <xf numFmtId="3" fontId="24" fillId="0" borderId="87" xfId="0" applyNumberFormat="1" applyFont="1" applyBorder="1" applyAlignment="1">
      <alignment/>
    </xf>
    <xf numFmtId="0" fontId="22" fillId="0" borderId="58" xfId="0" applyFont="1" applyBorder="1" applyAlignment="1">
      <alignment horizontal="center"/>
    </xf>
    <xf numFmtId="0" fontId="24" fillId="0" borderId="69" xfId="0" applyFont="1" applyBorder="1" applyAlignment="1">
      <alignment/>
    </xf>
    <xf numFmtId="0" fontId="24" fillId="0" borderId="65" xfId="0" applyFont="1" applyBorder="1" applyAlignment="1">
      <alignment/>
    </xf>
    <xf numFmtId="0" fontId="19" fillId="0" borderId="88" xfId="0" applyFont="1" applyBorder="1" applyAlignment="1">
      <alignment/>
    </xf>
    <xf numFmtId="0" fontId="19" fillId="0" borderId="89" xfId="0" applyFont="1" applyBorder="1" applyAlignment="1">
      <alignment/>
    </xf>
    <xf numFmtId="0" fontId="24" fillId="0" borderId="90" xfId="0" applyFont="1" applyBorder="1" applyAlignment="1">
      <alignment/>
    </xf>
    <xf numFmtId="0" fontId="45" fillId="0" borderId="0" xfId="0" applyFont="1" applyAlignment="1">
      <alignment horizontal="center"/>
    </xf>
    <xf numFmtId="0" fontId="47" fillId="0" borderId="3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/>
    </xf>
    <xf numFmtId="0" fontId="47" fillId="0" borderId="11" xfId="0" applyFont="1" applyBorder="1" applyAlignment="1">
      <alignment/>
    </xf>
    <xf numFmtId="0" fontId="45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1" xfId="0" applyFont="1" applyBorder="1" applyAlignment="1">
      <alignment wrapText="1"/>
    </xf>
    <xf numFmtId="0" fontId="32" fillId="0" borderId="26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32" fillId="0" borderId="13" xfId="0" applyFont="1" applyBorder="1" applyAlignment="1">
      <alignment/>
    </xf>
    <xf numFmtId="0" fontId="22" fillId="0" borderId="0" xfId="0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19" fillId="0" borderId="91" xfId="0" applyFont="1" applyBorder="1" applyAlignment="1">
      <alignment/>
    </xf>
    <xf numFmtId="0" fontId="32" fillId="0" borderId="15" xfId="0" applyFont="1" applyBorder="1" applyAlignment="1">
      <alignment vertical="center"/>
    </xf>
    <xf numFmtId="0" fontId="19" fillId="0" borderId="19" xfId="0" applyFont="1" applyBorder="1" applyAlignment="1">
      <alignment/>
    </xf>
    <xf numFmtId="0" fontId="31" fillId="0" borderId="0" xfId="0" applyFont="1" applyAlignment="1">
      <alignment/>
    </xf>
    <xf numFmtId="0" fontId="19" fillId="0" borderId="84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19" fillId="0" borderId="78" xfId="0" applyFont="1" applyBorder="1" applyAlignment="1">
      <alignment/>
    </xf>
    <xf numFmtId="0" fontId="31" fillId="0" borderId="71" xfId="0" applyFont="1" applyBorder="1" applyAlignment="1">
      <alignment horizontal="center"/>
    </xf>
    <xf numFmtId="0" fontId="31" fillId="0" borderId="92" xfId="0" applyFont="1" applyBorder="1" applyAlignment="1">
      <alignment horizontal="center"/>
    </xf>
    <xf numFmtId="0" fontId="32" fillId="0" borderId="93" xfId="0" applyFont="1" applyBorder="1" applyAlignment="1">
      <alignment horizontal="center"/>
    </xf>
    <xf numFmtId="0" fontId="31" fillId="0" borderId="94" xfId="0" applyFont="1" applyBorder="1" applyAlignment="1">
      <alignment/>
    </xf>
    <xf numFmtId="0" fontId="31" fillId="0" borderId="57" xfId="0" applyFont="1" applyBorder="1" applyAlignment="1">
      <alignment/>
    </xf>
    <xf numFmtId="0" fontId="31" fillId="0" borderId="95" xfId="0" applyFont="1" applyBorder="1" applyAlignment="1">
      <alignment/>
    </xf>
    <xf numFmtId="0" fontId="46" fillId="0" borderId="67" xfId="0" applyFont="1" applyBorder="1" applyAlignment="1">
      <alignment/>
    </xf>
    <xf numFmtId="0" fontId="46" fillId="0" borderId="92" xfId="0" applyFont="1" applyBorder="1" applyAlignment="1">
      <alignment/>
    </xf>
    <xf numFmtId="0" fontId="31" fillId="0" borderId="67" xfId="0" applyFont="1" applyBorder="1" applyAlignment="1">
      <alignment/>
    </xf>
    <xf numFmtId="0" fontId="31" fillId="0" borderId="66" xfId="0" applyFont="1" applyBorder="1" applyAlignment="1">
      <alignment/>
    </xf>
    <xf numFmtId="0" fontId="58" fillId="0" borderId="69" xfId="0" applyFont="1" applyBorder="1" applyAlignment="1">
      <alignment/>
    </xf>
    <xf numFmtId="0" fontId="31" fillId="0" borderId="69" xfId="0" applyFont="1" applyFill="1" applyBorder="1" applyAlignment="1">
      <alignment/>
    </xf>
    <xf numFmtId="0" fontId="31" fillId="0" borderId="66" xfId="0" applyFont="1" applyFill="1" applyBorder="1" applyAlignment="1">
      <alignment/>
    </xf>
    <xf numFmtId="0" fontId="46" fillId="0" borderId="67" xfId="0" applyFont="1" applyBorder="1" applyAlignment="1">
      <alignment/>
    </xf>
    <xf numFmtId="3" fontId="31" fillId="0" borderId="57" xfId="0" applyNumberFormat="1" applyFont="1" applyBorder="1" applyAlignment="1">
      <alignment/>
    </xf>
    <xf numFmtId="3" fontId="31" fillId="0" borderId="57" xfId="40" applyNumberFormat="1" applyFont="1" applyFill="1" applyBorder="1" applyAlignment="1" applyProtection="1">
      <alignment/>
      <protection/>
    </xf>
    <xf numFmtId="0" fontId="19" fillId="0" borderId="96" xfId="0" applyFont="1" applyBorder="1" applyAlignment="1">
      <alignment/>
    </xf>
    <xf numFmtId="0" fontId="19" fillId="0" borderId="96" xfId="0" applyFont="1" applyBorder="1" applyAlignment="1">
      <alignment wrapText="1"/>
    </xf>
    <xf numFmtId="0" fontId="46" fillId="0" borderId="97" xfId="0" applyFont="1" applyBorder="1" applyAlignment="1">
      <alignment/>
    </xf>
    <xf numFmtId="0" fontId="46" fillId="0" borderId="98" xfId="0" applyFont="1" applyBorder="1" applyAlignment="1">
      <alignment/>
    </xf>
    <xf numFmtId="3" fontId="24" fillId="0" borderId="98" xfId="40" applyNumberFormat="1" applyFont="1" applyFill="1" applyBorder="1" applyAlignment="1" applyProtection="1">
      <alignment/>
      <protection/>
    </xf>
    <xf numFmtId="3" fontId="46" fillId="0" borderId="98" xfId="40" applyNumberFormat="1" applyFont="1" applyFill="1" applyBorder="1" applyAlignment="1" applyProtection="1">
      <alignment/>
      <protection/>
    </xf>
    <xf numFmtId="3" fontId="24" fillId="0" borderId="99" xfId="40" applyNumberFormat="1" applyFont="1" applyFill="1" applyBorder="1" applyAlignment="1" applyProtection="1">
      <alignment/>
      <protection/>
    </xf>
    <xf numFmtId="3" fontId="46" fillId="0" borderId="100" xfId="40" applyNumberFormat="1" applyFont="1" applyFill="1" applyBorder="1" applyAlignment="1" applyProtection="1">
      <alignment/>
      <protection/>
    </xf>
    <xf numFmtId="0" fontId="0" fillId="0" borderId="101" xfId="0" applyBorder="1" applyAlignment="1">
      <alignment/>
    </xf>
    <xf numFmtId="3" fontId="31" fillId="0" borderId="102" xfId="0" applyNumberFormat="1" applyFont="1" applyBorder="1" applyAlignment="1">
      <alignment/>
    </xf>
    <xf numFmtId="3" fontId="31" fillId="0" borderId="102" xfId="40" applyNumberFormat="1" applyFont="1" applyFill="1" applyBorder="1" applyAlignment="1" applyProtection="1">
      <alignment/>
      <protection/>
    </xf>
    <xf numFmtId="3" fontId="19" fillId="0" borderId="102" xfId="0" applyNumberFormat="1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19" fillId="0" borderId="13" xfId="0" applyFont="1" applyFill="1" applyBorder="1" applyAlignment="1">
      <alignment/>
    </xf>
    <xf numFmtId="0" fontId="19" fillId="0" borderId="103" xfId="0" applyFont="1" applyBorder="1" applyAlignment="1">
      <alignment/>
    </xf>
    <xf numFmtId="3" fontId="24" fillId="0" borderId="28" xfId="0" applyNumberFormat="1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9" xfId="0" applyFont="1" applyBorder="1" applyAlignment="1">
      <alignment/>
    </xf>
    <xf numFmtId="3" fontId="19" fillId="0" borderId="36" xfId="0" applyNumberFormat="1" applyFont="1" applyBorder="1" applyAlignment="1">
      <alignment vertical="center"/>
    </xf>
    <xf numFmtId="3" fontId="19" fillId="0" borderId="104" xfId="0" applyNumberFormat="1" applyFont="1" applyBorder="1" applyAlignment="1">
      <alignment vertical="center"/>
    </xf>
    <xf numFmtId="3" fontId="24" fillId="0" borderId="105" xfId="0" applyNumberFormat="1" applyFont="1" applyBorder="1" applyAlignment="1">
      <alignment horizontal="right" vertical="center"/>
    </xf>
    <xf numFmtId="3" fontId="19" fillId="0" borderId="106" xfId="0" applyNumberFormat="1" applyFont="1" applyBorder="1" applyAlignment="1">
      <alignment vertical="center"/>
    </xf>
    <xf numFmtId="0" fontId="47" fillId="0" borderId="0" xfId="0" applyFont="1" applyAlignment="1">
      <alignment/>
    </xf>
    <xf numFmtId="3" fontId="32" fillId="0" borderId="18" xfId="0" applyNumberFormat="1" applyFont="1" applyBorder="1" applyAlignment="1">
      <alignment horizontal="right" vertical="center"/>
    </xf>
    <xf numFmtId="3" fontId="32" fillId="0" borderId="13" xfId="0" applyNumberFormat="1" applyFont="1" applyBorder="1" applyAlignment="1">
      <alignment horizontal="right" vertical="center"/>
    </xf>
    <xf numFmtId="3" fontId="32" fillId="0" borderId="16" xfId="0" applyNumberFormat="1" applyFont="1" applyBorder="1" applyAlignment="1">
      <alignment horizontal="right" vertical="center"/>
    </xf>
    <xf numFmtId="0" fontId="52" fillId="0" borderId="59" xfId="0" applyFont="1" applyBorder="1" applyAlignment="1">
      <alignment horizontal="center" vertical="center" wrapText="1"/>
    </xf>
    <xf numFmtId="3" fontId="41" fillId="0" borderId="59" xfId="40" applyNumberFormat="1" applyFont="1" applyFill="1" applyBorder="1" applyAlignment="1" applyProtection="1">
      <alignment horizontal="right"/>
      <protection/>
    </xf>
    <xf numFmtId="3" fontId="42" fillId="0" borderId="59" xfId="40" applyNumberFormat="1" applyFont="1" applyFill="1" applyBorder="1" applyAlignment="1" applyProtection="1">
      <alignment horizontal="right"/>
      <protection/>
    </xf>
    <xf numFmtId="3" fontId="51" fillId="0" borderId="101" xfId="40" applyNumberFormat="1" applyFont="1" applyFill="1" applyBorder="1" applyAlignment="1" applyProtection="1">
      <alignment horizontal="right"/>
      <protection/>
    </xf>
    <xf numFmtId="3" fontId="19" fillId="0" borderId="26" xfId="0" applyNumberFormat="1" applyFont="1" applyBorder="1" applyAlignment="1">
      <alignment/>
    </xf>
    <xf numFmtId="3" fontId="24" fillId="0" borderId="56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37" fillId="0" borderId="26" xfId="0" applyNumberFormat="1" applyFont="1" applyBorder="1" applyAlignment="1">
      <alignment/>
    </xf>
    <xf numFmtId="3" fontId="24" fillId="0" borderId="17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32" fillId="0" borderId="16" xfId="0" applyNumberFormat="1" applyFont="1" applyBorder="1" applyAlignment="1">
      <alignment horizontal="right"/>
    </xf>
    <xf numFmtId="3" fontId="32" fillId="0" borderId="41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24" fillId="0" borderId="14" xfId="0" applyNumberFormat="1" applyFont="1" applyBorder="1" applyAlignment="1">
      <alignment/>
    </xf>
    <xf numFmtId="3" fontId="36" fillId="0" borderId="107" xfId="0" applyNumberFormat="1" applyFont="1" applyBorder="1" applyAlignment="1">
      <alignment/>
    </xf>
    <xf numFmtId="3" fontId="24" fillId="0" borderId="108" xfId="0" applyNumberFormat="1" applyFont="1" applyBorder="1" applyAlignment="1">
      <alignment/>
    </xf>
    <xf numFmtId="3" fontId="19" fillId="0" borderId="108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3" fontId="24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24" fillId="0" borderId="93" xfId="0" applyNumberFormat="1" applyFont="1" applyBorder="1" applyAlignment="1">
      <alignment/>
    </xf>
    <xf numFmtId="0" fontId="33" fillId="0" borderId="67" xfId="0" applyFont="1" applyBorder="1" applyAlignment="1">
      <alignment/>
    </xf>
    <xf numFmtId="3" fontId="19" fillId="0" borderId="109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19" fillId="24" borderId="66" xfId="0" applyNumberFormat="1" applyFont="1" applyFill="1" applyBorder="1" applyAlignment="1">
      <alignment/>
    </xf>
    <xf numFmtId="3" fontId="19" fillId="0" borderId="112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113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3" fontId="24" fillId="0" borderId="114" xfId="0" applyNumberFormat="1" applyFont="1" applyBorder="1" applyAlignment="1">
      <alignment/>
    </xf>
    <xf numFmtId="3" fontId="24" fillId="0" borderId="69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36" fillId="0" borderId="65" xfId="0" applyNumberFormat="1" applyFont="1" applyBorder="1" applyAlignment="1">
      <alignment/>
    </xf>
    <xf numFmtId="3" fontId="36" fillId="0" borderId="88" xfId="0" applyNumberFormat="1" applyFont="1" applyBorder="1" applyAlignment="1">
      <alignment/>
    </xf>
    <xf numFmtId="3" fontId="36" fillId="0" borderId="66" xfId="0" applyNumberFormat="1" applyFont="1" applyBorder="1" applyAlignment="1">
      <alignment/>
    </xf>
    <xf numFmtId="3" fontId="24" fillId="0" borderId="67" xfId="0" applyNumberFormat="1" applyFont="1" applyBorder="1" applyAlignment="1">
      <alignment/>
    </xf>
    <xf numFmtId="3" fontId="24" fillId="0" borderId="53" xfId="0" applyNumberFormat="1" applyFont="1" applyBorder="1" applyAlignment="1">
      <alignment/>
    </xf>
    <xf numFmtId="3" fontId="19" fillId="0" borderId="115" xfId="0" applyNumberFormat="1" applyFont="1" applyBorder="1" applyAlignment="1">
      <alignment/>
    </xf>
    <xf numFmtId="3" fontId="19" fillId="0" borderId="116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88" xfId="0" applyNumberFormat="1" applyFont="1" applyBorder="1" applyAlignment="1">
      <alignment/>
    </xf>
    <xf numFmtId="3" fontId="37" fillId="0" borderId="75" xfId="0" applyNumberFormat="1" applyFont="1" applyBorder="1" applyAlignment="1">
      <alignment/>
    </xf>
    <xf numFmtId="3" fontId="24" fillId="0" borderId="66" xfId="0" applyNumberFormat="1" applyFont="1" applyBorder="1" applyAlignment="1">
      <alignment/>
    </xf>
    <xf numFmtId="3" fontId="24" fillId="0" borderId="75" xfId="0" applyNumberFormat="1" applyFont="1" applyBorder="1" applyAlignment="1">
      <alignment/>
    </xf>
    <xf numFmtId="3" fontId="24" fillId="0" borderId="117" xfId="0" applyNumberFormat="1" applyFont="1" applyBorder="1" applyAlignment="1">
      <alignment/>
    </xf>
    <xf numFmtId="3" fontId="24" fillId="0" borderId="118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24" fillId="0" borderId="119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37" fillId="0" borderId="79" xfId="0" applyNumberFormat="1" applyFont="1" applyBorder="1" applyAlignment="1">
      <alignment/>
    </xf>
    <xf numFmtId="3" fontId="24" fillId="0" borderId="79" xfId="0" applyNumberFormat="1" applyFont="1" applyBorder="1" applyAlignment="1">
      <alignment/>
    </xf>
    <xf numFmtId="0" fontId="36" fillId="0" borderId="78" xfId="0" applyFont="1" applyBorder="1" applyAlignment="1">
      <alignment horizontal="center" vertical="center" wrapText="1"/>
    </xf>
    <xf numFmtId="3" fontId="36" fillId="0" borderId="77" xfId="0" applyNumberFormat="1" applyFont="1" applyBorder="1" applyAlignment="1">
      <alignment horizontal="right" vertical="center" wrapText="1"/>
    </xf>
    <xf numFmtId="3" fontId="19" fillId="0" borderId="93" xfId="0" applyNumberFormat="1" applyFont="1" applyBorder="1" applyAlignment="1">
      <alignment/>
    </xf>
    <xf numFmtId="0" fontId="33" fillId="0" borderId="67" xfId="0" applyFont="1" applyBorder="1" applyAlignment="1">
      <alignment wrapText="1"/>
    </xf>
    <xf numFmtId="3" fontId="37" fillId="0" borderId="109" xfId="0" applyNumberFormat="1" applyFont="1" applyBorder="1" applyAlignment="1">
      <alignment/>
    </xf>
    <xf numFmtId="3" fontId="24" fillId="0" borderId="121" xfId="0" applyNumberFormat="1" applyFont="1" applyBorder="1" applyAlignment="1">
      <alignment/>
    </xf>
    <xf numFmtId="3" fontId="24" fillId="0" borderId="122" xfId="0" applyNumberFormat="1" applyFont="1" applyBorder="1" applyAlignment="1">
      <alignment/>
    </xf>
    <xf numFmtId="3" fontId="24" fillId="0" borderId="123" xfId="0" applyNumberFormat="1" applyFont="1" applyBorder="1" applyAlignment="1">
      <alignment/>
    </xf>
    <xf numFmtId="3" fontId="24" fillId="0" borderId="124" xfId="0" applyNumberFormat="1" applyFont="1" applyBorder="1" applyAlignment="1">
      <alignment/>
    </xf>
    <xf numFmtId="0" fontId="24" fillId="0" borderId="70" xfId="0" applyFont="1" applyBorder="1" applyAlignment="1">
      <alignment vertical="center"/>
    </xf>
    <xf numFmtId="0" fontId="19" fillId="0" borderId="65" xfId="0" applyFont="1" applyFill="1" applyBorder="1" applyAlignment="1">
      <alignment/>
    </xf>
    <xf numFmtId="0" fontId="19" fillId="0" borderId="53" xfId="0" applyNumberFormat="1" applyFont="1" applyBorder="1" applyAlignment="1">
      <alignment/>
    </xf>
    <xf numFmtId="0" fontId="36" fillId="0" borderId="65" xfId="0" applyFont="1" applyBorder="1" applyAlignment="1">
      <alignment/>
    </xf>
    <xf numFmtId="0" fontId="36" fillId="0" borderId="88" xfId="0" applyFont="1" applyBorder="1" applyAlignment="1">
      <alignment/>
    </xf>
    <xf numFmtId="0" fontId="36" fillId="0" borderId="66" xfId="0" applyFont="1" applyBorder="1" applyAlignment="1">
      <alignment/>
    </xf>
    <xf numFmtId="0" fontId="37" fillId="0" borderId="66" xfId="0" applyFont="1" applyBorder="1" applyAlignment="1">
      <alignment/>
    </xf>
    <xf numFmtId="0" fontId="19" fillId="0" borderId="115" xfId="0" applyFont="1" applyBorder="1" applyAlignment="1">
      <alignment/>
    </xf>
    <xf numFmtId="0" fontId="19" fillId="0" borderId="121" xfId="0" applyFont="1" applyBorder="1" applyAlignment="1">
      <alignment wrapText="1"/>
    </xf>
    <xf numFmtId="0" fontId="56" fillId="0" borderId="53" xfId="0" applyFont="1" applyBorder="1" applyAlignment="1">
      <alignment/>
    </xf>
    <xf numFmtId="0" fontId="36" fillId="0" borderId="74" xfId="0" applyFont="1" applyBorder="1" applyAlignment="1">
      <alignment horizontal="center" vertical="center" wrapText="1"/>
    </xf>
    <xf numFmtId="3" fontId="24" fillId="0" borderId="112" xfId="0" applyNumberFormat="1" applyFont="1" applyBorder="1" applyAlignment="1">
      <alignment/>
    </xf>
    <xf numFmtId="0" fontId="24" fillId="0" borderId="125" xfId="0" applyFont="1" applyBorder="1" applyAlignment="1">
      <alignment/>
    </xf>
    <xf numFmtId="3" fontId="24" fillId="0" borderId="126" xfId="0" applyNumberFormat="1" applyFont="1" applyBorder="1" applyAlignment="1">
      <alignment/>
    </xf>
    <xf numFmtId="0" fontId="39" fillId="0" borderId="115" xfId="0" applyFont="1" applyBorder="1" applyAlignment="1">
      <alignment/>
    </xf>
    <xf numFmtId="0" fontId="22" fillId="0" borderId="58" xfId="0" applyFont="1" applyBorder="1" applyAlignment="1">
      <alignment/>
    </xf>
    <xf numFmtId="0" fontId="24" fillId="0" borderId="127" xfId="0" applyFont="1" applyBorder="1" applyAlignment="1">
      <alignment/>
    </xf>
    <xf numFmtId="0" fontId="24" fillId="0" borderId="128" xfId="0" applyFont="1" applyBorder="1" applyAlignment="1">
      <alignment/>
    </xf>
    <xf numFmtId="0" fontId="19" fillId="0" borderId="89" xfId="0" applyFont="1" applyBorder="1" applyAlignment="1">
      <alignment/>
    </xf>
    <xf numFmtId="0" fontId="24" fillId="24" borderId="68" xfId="0" applyFont="1" applyFill="1" applyBorder="1" applyAlignment="1">
      <alignment/>
    </xf>
    <xf numFmtId="0" fontId="33" fillId="0" borderId="68" xfId="0" applyFont="1" applyBorder="1" applyAlignment="1">
      <alignment/>
    </xf>
    <xf numFmtId="164" fontId="33" fillId="0" borderId="129" xfId="0" applyNumberFormat="1" applyFont="1" applyBorder="1" applyAlignment="1">
      <alignment/>
    </xf>
    <xf numFmtId="164" fontId="36" fillId="0" borderId="130" xfId="0" applyNumberFormat="1" applyFont="1" applyBorder="1" applyAlignment="1">
      <alignment/>
    </xf>
    <xf numFmtId="164" fontId="36" fillId="0" borderId="65" xfId="0" applyNumberFormat="1" applyFont="1" applyBorder="1" applyAlignment="1">
      <alignment/>
    </xf>
    <xf numFmtId="164" fontId="36" fillId="0" borderId="115" xfId="0" applyNumberFormat="1" applyFont="1" applyBorder="1" applyAlignment="1">
      <alignment/>
    </xf>
    <xf numFmtId="0" fontId="36" fillId="0" borderId="130" xfId="0" applyFont="1" applyBorder="1" applyAlignment="1">
      <alignment/>
    </xf>
    <xf numFmtId="164" fontId="36" fillId="0" borderId="65" xfId="0" applyNumberFormat="1" applyFont="1" applyBorder="1" applyAlignment="1">
      <alignment wrapText="1"/>
    </xf>
    <xf numFmtId="0" fontId="36" fillId="0" borderId="65" xfId="0" applyFont="1" applyBorder="1" applyAlignment="1">
      <alignment/>
    </xf>
    <xf numFmtId="0" fontId="36" fillId="0" borderId="129" xfId="0" applyFont="1" applyFill="1" applyBorder="1" applyAlignment="1">
      <alignment/>
    </xf>
    <xf numFmtId="3" fontId="19" fillId="24" borderId="17" xfId="0" applyNumberFormat="1" applyFont="1" applyFill="1" applyBorder="1" applyAlignment="1">
      <alignment/>
    </xf>
    <xf numFmtId="3" fontId="19" fillId="0" borderId="50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24" borderId="75" xfId="0" applyNumberFormat="1" applyFont="1" applyFill="1" applyBorder="1" applyAlignment="1">
      <alignment/>
    </xf>
    <xf numFmtId="3" fontId="19" fillId="0" borderId="131" xfId="0" applyNumberFormat="1" applyFont="1" applyBorder="1" applyAlignment="1">
      <alignment/>
    </xf>
    <xf numFmtId="3" fontId="19" fillId="24" borderId="72" xfId="0" applyNumberFormat="1" applyFont="1" applyFill="1" applyBorder="1" applyAlignment="1">
      <alignment/>
    </xf>
    <xf numFmtId="3" fontId="24" fillId="0" borderId="13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33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24" fillId="24" borderId="23" xfId="0" applyNumberFormat="1" applyFont="1" applyFill="1" applyBorder="1" applyAlignment="1">
      <alignment/>
    </xf>
    <xf numFmtId="3" fontId="24" fillId="24" borderId="134" xfId="0" applyNumberFormat="1" applyFont="1" applyFill="1" applyBorder="1" applyAlignment="1">
      <alignment/>
    </xf>
    <xf numFmtId="3" fontId="24" fillId="24" borderId="135" xfId="0" applyNumberFormat="1" applyFont="1" applyFill="1" applyBorder="1" applyAlignment="1">
      <alignment/>
    </xf>
    <xf numFmtId="0" fontId="39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5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4" fillId="0" borderId="136" xfId="0" applyFont="1" applyBorder="1" applyAlignment="1">
      <alignment/>
    </xf>
    <xf numFmtId="0" fontId="24" fillId="0" borderId="137" xfId="0" applyFont="1" applyBorder="1" applyAlignment="1">
      <alignment/>
    </xf>
    <xf numFmtId="0" fontId="19" fillId="24" borderId="138" xfId="0" applyFont="1" applyFill="1" applyBorder="1" applyAlignment="1">
      <alignment/>
    </xf>
    <xf numFmtId="0" fontId="22" fillId="0" borderId="7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39" xfId="0" applyFont="1" applyBorder="1" applyAlignment="1">
      <alignment horizontal="center"/>
    </xf>
    <xf numFmtId="0" fontId="24" fillId="0" borderId="132" xfId="0" applyFont="1" applyBorder="1" applyAlignment="1">
      <alignment horizontal="center"/>
    </xf>
    <xf numFmtId="3" fontId="19" fillId="0" borderId="52" xfId="0" applyNumberFormat="1" applyFont="1" applyBorder="1" applyAlignment="1">
      <alignment horizontal="right"/>
    </xf>
    <xf numFmtId="3" fontId="19" fillId="0" borderId="48" xfId="0" applyNumberFormat="1" applyFont="1" applyBorder="1" applyAlignment="1">
      <alignment horizontal="right"/>
    </xf>
    <xf numFmtId="3" fontId="19" fillId="0" borderId="140" xfId="0" applyNumberFormat="1" applyFont="1" applyBorder="1" applyAlignment="1">
      <alignment horizontal="right"/>
    </xf>
    <xf numFmtId="3" fontId="19" fillId="0" borderId="52" xfId="0" applyNumberFormat="1" applyFont="1" applyBorder="1" applyAlignment="1">
      <alignment/>
    </xf>
    <xf numFmtId="0" fontId="0" fillId="0" borderId="66" xfId="0" applyBorder="1" applyAlignment="1">
      <alignment/>
    </xf>
    <xf numFmtId="3" fontId="19" fillId="0" borderId="77" xfId="0" applyNumberFormat="1" applyFont="1" applyBorder="1" applyAlignment="1">
      <alignment horizontal="right"/>
    </xf>
    <xf numFmtId="3" fontId="19" fillId="0" borderId="2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35" xfId="0" applyFont="1" applyBorder="1" applyAlignment="1">
      <alignment horizontal="center" vertical="center"/>
    </xf>
    <xf numFmtId="0" fontId="19" fillId="0" borderId="66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55" fillId="0" borderId="141" xfId="0" applyFont="1" applyBorder="1" applyAlignment="1">
      <alignment/>
    </xf>
    <xf numFmtId="3" fontId="24" fillId="0" borderId="142" xfId="0" applyNumberFormat="1" applyFont="1" applyBorder="1" applyAlignment="1">
      <alignment horizontal="right"/>
    </xf>
    <xf numFmtId="3" fontId="24" fillId="0" borderId="142" xfId="0" applyNumberFormat="1" applyFont="1" applyBorder="1" applyAlignment="1">
      <alignment/>
    </xf>
    <xf numFmtId="0" fontId="19" fillId="0" borderId="143" xfId="0" applyFont="1" applyBorder="1" applyAlignment="1">
      <alignment/>
    </xf>
    <xf numFmtId="16" fontId="19" fillId="0" borderId="143" xfId="0" applyNumberFormat="1" applyFont="1" applyBorder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0" fontId="36" fillId="0" borderId="70" xfId="0" applyFont="1" applyBorder="1" applyAlignment="1">
      <alignment horizontal="center" vertical="center" wrapText="1"/>
    </xf>
    <xf numFmtId="3" fontId="24" fillId="0" borderId="144" xfId="0" applyNumberFormat="1" applyFont="1" applyBorder="1" applyAlignment="1">
      <alignment/>
    </xf>
    <xf numFmtId="3" fontId="24" fillId="0" borderId="145" xfId="0" applyNumberFormat="1" applyFont="1" applyBorder="1" applyAlignment="1">
      <alignment/>
    </xf>
    <xf numFmtId="3" fontId="37" fillId="0" borderId="77" xfId="0" applyNumberFormat="1" applyFont="1" applyBorder="1" applyAlignment="1">
      <alignment/>
    </xf>
    <xf numFmtId="3" fontId="24" fillId="0" borderId="146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24" fillId="0" borderId="117" xfId="0" applyFont="1" applyBorder="1" applyAlignment="1">
      <alignment/>
    </xf>
    <xf numFmtId="0" fontId="24" fillId="0" borderId="46" xfId="0" applyFont="1" applyBorder="1" applyAlignment="1">
      <alignment wrapText="1"/>
    </xf>
    <xf numFmtId="0" fontId="19" fillId="0" borderId="147" xfId="0" applyFont="1" applyBorder="1" applyAlignment="1">
      <alignment/>
    </xf>
    <xf numFmtId="0" fontId="24" fillId="0" borderId="46" xfId="0" applyFont="1" applyBorder="1" applyAlignment="1">
      <alignment/>
    </xf>
    <xf numFmtId="3" fontId="24" fillId="0" borderId="77" xfId="0" applyNumberFormat="1" applyFont="1" applyBorder="1" applyAlignment="1">
      <alignment horizontal="right"/>
    </xf>
    <xf numFmtId="0" fontId="55" fillId="0" borderId="1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19" fillId="0" borderId="138" xfId="0" applyFont="1" applyBorder="1" applyAlignment="1">
      <alignment/>
    </xf>
    <xf numFmtId="0" fontId="19" fillId="0" borderId="148" xfId="0" applyFont="1" applyBorder="1" applyAlignment="1">
      <alignment/>
    </xf>
    <xf numFmtId="0" fontId="19" fillId="0" borderId="33" xfId="0" applyFont="1" applyBorder="1" applyAlignment="1">
      <alignment/>
    </xf>
    <xf numFmtId="0" fontId="36" fillId="0" borderId="13" xfId="54" applyFont="1" applyBorder="1" applyProtection="1">
      <alignment/>
      <protection/>
    </xf>
    <xf numFmtId="0" fontId="24" fillId="0" borderId="149" xfId="54" applyFont="1" applyBorder="1" applyProtection="1">
      <alignment/>
      <protection/>
    </xf>
    <xf numFmtId="3" fontId="24" fillId="0" borderId="150" xfId="54" applyNumberFormat="1" applyFont="1" applyBorder="1" applyProtection="1">
      <alignment/>
      <protection/>
    </xf>
    <xf numFmtId="0" fontId="24" fillId="0" borderId="150" xfId="54" applyFont="1" applyBorder="1" applyProtection="1">
      <alignment/>
      <protection/>
    </xf>
    <xf numFmtId="0" fontId="24" fillId="0" borderId="45" xfId="54" applyFont="1" applyBorder="1" applyProtection="1">
      <alignment/>
      <protection/>
    </xf>
    <xf numFmtId="0" fontId="36" fillId="0" borderId="13" xfId="54" applyFont="1" applyBorder="1" applyAlignment="1" applyProtection="1">
      <alignment wrapText="1"/>
      <protection/>
    </xf>
    <xf numFmtId="3" fontId="24" fillId="0" borderId="133" xfId="54" applyNumberFormat="1" applyFont="1" applyBorder="1" applyProtection="1">
      <alignment/>
      <protection/>
    </xf>
    <xf numFmtId="0" fontId="24" fillId="0" borderId="133" xfId="54" applyFont="1" applyBorder="1" applyProtection="1">
      <alignment/>
      <protection/>
    </xf>
    <xf numFmtId="0" fontId="55" fillId="0" borderId="27" xfId="54" applyFont="1" applyBorder="1" applyProtection="1">
      <alignment/>
      <protection/>
    </xf>
    <xf numFmtId="0" fontId="74" fillId="0" borderId="57" xfId="0" applyFont="1" applyBorder="1" applyAlignment="1">
      <alignment/>
    </xf>
    <xf numFmtId="0" fontId="75" fillId="0" borderId="57" xfId="0" applyFont="1" applyBorder="1" applyAlignment="1">
      <alignment/>
    </xf>
    <xf numFmtId="3" fontId="75" fillId="0" borderId="57" xfId="0" applyNumberFormat="1" applyFont="1" applyBorder="1" applyAlignment="1">
      <alignment/>
    </xf>
    <xf numFmtId="3" fontId="74" fillId="0" borderId="57" xfId="0" applyNumberFormat="1" applyFont="1" applyBorder="1" applyAlignment="1">
      <alignment/>
    </xf>
    <xf numFmtId="0" fontId="75" fillId="0" borderId="57" xfId="0" applyFont="1" applyFill="1" applyBorder="1" applyAlignment="1">
      <alignment/>
    </xf>
    <xf numFmtId="3" fontId="75" fillId="0" borderId="145" xfId="0" applyNumberFormat="1" applyFont="1" applyBorder="1" applyAlignment="1">
      <alignment/>
    </xf>
    <xf numFmtId="0" fontId="75" fillId="0" borderId="0" xfId="0" applyFont="1" applyBorder="1" applyAlignment="1">
      <alignment/>
    </xf>
    <xf numFmtId="3" fontId="75" fillId="0" borderId="0" xfId="0" applyNumberFormat="1" applyFont="1" applyBorder="1" applyAlignment="1">
      <alignment/>
    </xf>
    <xf numFmtId="0" fontId="75" fillId="0" borderId="95" xfId="0" applyFont="1" applyBorder="1" applyAlignment="1">
      <alignment/>
    </xf>
    <xf numFmtId="3" fontId="75" fillId="0" borderId="57" xfId="40" applyNumberFormat="1" applyFont="1" applyBorder="1" applyAlignment="1">
      <alignment/>
    </xf>
    <xf numFmtId="3" fontId="75" fillId="0" borderId="57" xfId="40" applyNumberFormat="1" applyFont="1" applyBorder="1" applyAlignment="1">
      <alignment horizontal="right"/>
    </xf>
    <xf numFmtId="3" fontId="75" fillId="0" borderId="151" xfId="0" applyNumberFormat="1" applyFont="1" applyBorder="1" applyAlignment="1">
      <alignment/>
    </xf>
    <xf numFmtId="3" fontId="24" fillId="0" borderId="152" xfId="0" applyNumberFormat="1" applyFont="1" applyBorder="1" applyAlignment="1">
      <alignment/>
    </xf>
    <xf numFmtId="0" fontId="19" fillId="0" borderId="76" xfId="0" applyFont="1" applyBorder="1" applyAlignment="1">
      <alignment/>
    </xf>
    <xf numFmtId="0" fontId="24" fillId="0" borderId="153" xfId="0" applyFont="1" applyBorder="1" applyAlignment="1">
      <alignment horizontal="center" vertical="center" wrapText="1"/>
    </xf>
    <xf numFmtId="1" fontId="74" fillId="0" borderId="57" xfId="0" applyNumberFormat="1" applyFont="1" applyBorder="1" applyAlignment="1">
      <alignment/>
    </xf>
    <xf numFmtId="0" fontId="74" fillId="0" borderId="95" xfId="0" applyFont="1" applyBorder="1" applyAlignment="1">
      <alignment/>
    </xf>
    <xf numFmtId="0" fontId="75" fillId="0" borderId="151" xfId="0" applyFont="1" applyBorder="1" applyAlignment="1">
      <alignment/>
    </xf>
    <xf numFmtId="14" fontId="75" fillId="0" borderId="151" xfId="0" applyNumberFormat="1" applyFont="1" applyBorder="1" applyAlignment="1">
      <alignment/>
    </xf>
    <xf numFmtId="0" fontId="74" fillId="0" borderId="0" xfId="0" applyFont="1" applyBorder="1" applyAlignment="1">
      <alignment/>
    </xf>
    <xf numFmtId="3" fontId="74" fillId="0" borderId="0" xfId="0" applyNumberFormat="1" applyFont="1" applyBorder="1" applyAlignment="1">
      <alignment/>
    </xf>
    <xf numFmtId="3" fontId="19" fillId="0" borderId="154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155" xfId="0" applyFont="1" applyBorder="1" applyAlignment="1">
      <alignment/>
    </xf>
    <xf numFmtId="0" fontId="32" fillId="0" borderId="151" xfId="0" applyFont="1" applyFill="1" applyBorder="1" applyAlignment="1">
      <alignment/>
    </xf>
    <xf numFmtId="3" fontId="32" fillId="0" borderId="57" xfId="0" applyNumberFormat="1" applyFont="1" applyFill="1" applyBorder="1" applyAlignment="1">
      <alignment/>
    </xf>
    <xf numFmtId="3" fontId="20" fillId="0" borderId="57" xfId="0" applyNumberFormat="1" applyFont="1" applyFill="1" applyBorder="1" applyAlignment="1">
      <alignment/>
    </xf>
    <xf numFmtId="0" fontId="75" fillId="0" borderId="57" xfId="0" applyFont="1" applyFill="1" applyBorder="1" applyAlignment="1">
      <alignment horizontal="left"/>
    </xf>
    <xf numFmtId="0" fontId="75" fillId="0" borderId="95" xfId="0" applyFont="1" applyFill="1" applyBorder="1" applyAlignment="1">
      <alignment/>
    </xf>
    <xf numFmtId="3" fontId="75" fillId="0" borderId="57" xfId="0" applyNumberFormat="1" applyFont="1" applyFill="1" applyBorder="1" applyAlignment="1">
      <alignment/>
    </xf>
    <xf numFmtId="3" fontId="76" fillId="0" borderId="57" xfId="0" applyNumberFormat="1" applyFont="1" applyFill="1" applyBorder="1" applyAlignment="1">
      <alignment/>
    </xf>
    <xf numFmtId="3" fontId="77" fillId="0" borderId="57" xfId="0" applyNumberFormat="1" applyFont="1" applyFill="1" applyBorder="1" applyAlignment="1">
      <alignment/>
    </xf>
    <xf numFmtId="0" fontId="0" fillId="0" borderId="75" xfId="0" applyBorder="1" applyAlignment="1">
      <alignment/>
    </xf>
    <xf numFmtId="3" fontId="19" fillId="0" borderId="69" xfId="0" applyNumberFormat="1" applyFont="1" applyBorder="1" applyAlignment="1">
      <alignment/>
    </xf>
    <xf numFmtId="3" fontId="19" fillId="0" borderId="147" xfId="0" applyNumberFormat="1" applyFont="1" applyBorder="1" applyAlignment="1">
      <alignment/>
    </xf>
    <xf numFmtId="3" fontId="19" fillId="0" borderId="70" xfId="0" applyNumberFormat="1" applyFont="1" applyBorder="1" applyAlignment="1">
      <alignment/>
    </xf>
    <xf numFmtId="3" fontId="24" fillId="0" borderId="147" xfId="0" applyNumberFormat="1" applyFont="1" applyBorder="1" applyAlignment="1">
      <alignment/>
    </xf>
    <xf numFmtId="3" fontId="24" fillId="0" borderId="70" xfId="0" applyNumberFormat="1" applyFont="1" applyBorder="1" applyAlignment="1">
      <alignment/>
    </xf>
    <xf numFmtId="3" fontId="19" fillId="24" borderId="69" xfId="0" applyNumberFormat="1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9" xfId="0" applyBorder="1" applyAlignment="1">
      <alignment/>
    </xf>
    <xf numFmtId="3" fontId="24" fillId="0" borderId="64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28" xfId="0" applyFont="1" applyBorder="1" applyAlignment="1">
      <alignment/>
    </xf>
    <xf numFmtId="0" fontId="24" fillId="0" borderId="43" xfId="0" applyFont="1" applyBorder="1" applyAlignment="1">
      <alignment/>
    </xf>
    <xf numFmtId="3" fontId="31" fillId="0" borderId="156" xfId="0" applyNumberFormat="1" applyFont="1" applyBorder="1" applyAlignment="1">
      <alignment/>
    </xf>
    <xf numFmtId="3" fontId="46" fillId="0" borderId="71" xfId="0" applyNumberFormat="1" applyFont="1" applyBorder="1" applyAlignment="1">
      <alignment/>
    </xf>
    <xf numFmtId="0" fontId="32" fillId="0" borderId="157" xfId="0" applyFont="1" applyBorder="1" applyAlignment="1">
      <alignment/>
    </xf>
    <xf numFmtId="3" fontId="31" fillId="0" borderId="94" xfId="0" applyNumberFormat="1" applyFont="1" applyBorder="1" applyAlignment="1">
      <alignment/>
    </xf>
    <xf numFmtId="0" fontId="32" fillId="0" borderId="158" xfId="0" applyFont="1" applyBorder="1" applyAlignment="1">
      <alignment/>
    </xf>
    <xf numFmtId="3" fontId="31" fillId="0" borderId="95" xfId="0" applyNumberFormat="1" applyFont="1" applyBorder="1" applyAlignment="1">
      <alignment/>
    </xf>
    <xf numFmtId="0" fontId="32" fillId="0" borderId="159" xfId="0" applyFont="1" applyBorder="1" applyAlignment="1">
      <alignment/>
    </xf>
    <xf numFmtId="3" fontId="46" fillId="0" borderId="92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19" fillId="0" borderId="35" xfId="0" applyNumberFormat="1" applyFont="1" applyBorder="1" applyAlignment="1">
      <alignment vertical="center"/>
    </xf>
    <xf numFmtId="3" fontId="24" fillId="0" borderId="160" xfId="0" applyNumberFormat="1" applyFont="1" applyBorder="1" applyAlignment="1">
      <alignment horizontal="center" vertical="center"/>
    </xf>
    <xf numFmtId="3" fontId="19" fillId="0" borderId="160" xfId="0" applyNumberFormat="1" applyFont="1" applyBorder="1" applyAlignment="1">
      <alignment vertical="center"/>
    </xf>
    <xf numFmtId="3" fontId="19" fillId="0" borderId="161" xfId="0" applyNumberFormat="1" applyFont="1" applyBorder="1" applyAlignment="1">
      <alignment vertical="center"/>
    </xf>
    <xf numFmtId="3" fontId="24" fillId="0" borderId="162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/>
    </xf>
    <xf numFmtId="0" fontId="31" fillId="0" borderId="163" xfId="0" applyFont="1" applyFill="1" applyBorder="1" applyAlignment="1">
      <alignment/>
    </xf>
    <xf numFmtId="0" fontId="31" fillId="0" borderId="100" xfId="0" applyFont="1" applyBorder="1" applyAlignment="1">
      <alignment/>
    </xf>
    <xf numFmtId="0" fontId="31" fillId="0" borderId="164" xfId="0" applyFont="1" applyBorder="1" applyAlignment="1">
      <alignment horizontal="center"/>
    </xf>
    <xf numFmtId="0" fontId="32" fillId="0" borderId="65" xfId="0" applyFont="1" applyBorder="1" applyAlignment="1">
      <alignment/>
    </xf>
    <xf numFmtId="0" fontId="32" fillId="0" borderId="53" xfId="0" applyFont="1" applyBorder="1" applyAlignment="1">
      <alignment/>
    </xf>
    <xf numFmtId="0" fontId="31" fillId="0" borderId="165" xfId="0" applyFont="1" applyBorder="1" applyAlignment="1">
      <alignment/>
    </xf>
    <xf numFmtId="0" fontId="31" fillId="0" borderId="166" xfId="0" applyFont="1" applyBorder="1" applyAlignment="1">
      <alignment/>
    </xf>
    <xf numFmtId="3" fontId="31" fillId="0" borderId="59" xfId="0" applyNumberFormat="1" applyFont="1" applyBorder="1" applyAlignment="1">
      <alignment/>
    </xf>
    <xf numFmtId="3" fontId="31" fillId="0" borderId="166" xfId="0" applyNumberFormat="1" applyFont="1" applyBorder="1" applyAlignment="1">
      <alignment/>
    </xf>
    <xf numFmtId="0" fontId="19" fillId="0" borderId="151" xfId="0" applyFont="1" applyBorder="1" applyAlignment="1">
      <alignment/>
    </xf>
    <xf numFmtId="0" fontId="19" fillId="0" borderId="167" xfId="0" applyFont="1" applyBorder="1" applyAlignment="1">
      <alignment/>
    </xf>
    <xf numFmtId="0" fontId="19" fillId="0" borderId="168" xfId="0" applyFont="1" applyBorder="1" applyAlignment="1">
      <alignment/>
    </xf>
    <xf numFmtId="0" fontId="19" fillId="0" borderId="169" xfId="0" applyFont="1" applyBorder="1" applyAlignment="1">
      <alignment/>
    </xf>
    <xf numFmtId="0" fontId="24" fillId="0" borderId="71" xfId="0" applyFont="1" applyBorder="1" applyAlignment="1">
      <alignment/>
    </xf>
    <xf numFmtId="0" fontId="24" fillId="0" borderId="21" xfId="0" applyFont="1" applyBorder="1" applyAlignment="1">
      <alignment vertical="center"/>
    </xf>
    <xf numFmtId="0" fontId="19" fillId="0" borderId="70" xfId="0" applyFont="1" applyBorder="1" applyAlignment="1">
      <alignment vertical="center"/>
    </xf>
    <xf numFmtId="0" fontId="24" fillId="0" borderId="170" xfId="0" applyFont="1" applyBorder="1" applyAlignment="1">
      <alignment vertical="center"/>
    </xf>
    <xf numFmtId="0" fontId="24" fillId="0" borderId="78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4" fillId="0" borderId="111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55" fillId="0" borderId="46" xfId="0" applyFont="1" applyBorder="1" applyAlignment="1">
      <alignment wrapText="1"/>
    </xf>
    <xf numFmtId="0" fontId="19" fillId="0" borderId="41" xfId="0" applyFont="1" applyBorder="1" applyAlignment="1">
      <alignment/>
    </xf>
    <xf numFmtId="0" fontId="39" fillId="0" borderId="63" xfId="0" applyFont="1" applyBorder="1" applyAlignment="1">
      <alignment horizontal="right"/>
    </xf>
    <xf numFmtId="0" fontId="39" fillId="0" borderId="78" xfId="0" applyFont="1" applyBorder="1" applyAlignment="1">
      <alignment horizontal="right"/>
    </xf>
    <xf numFmtId="0" fontId="55" fillId="0" borderId="77" xfId="0" applyFont="1" applyBorder="1" applyAlignment="1">
      <alignment horizontal="center" wrapText="1"/>
    </xf>
    <xf numFmtId="0" fontId="64" fillId="0" borderId="0" xfId="0" applyFont="1" applyAlignment="1">
      <alignment/>
    </xf>
    <xf numFmtId="0" fontId="55" fillId="0" borderId="133" xfId="0" applyFont="1" applyBorder="1" applyAlignment="1">
      <alignment horizontal="center"/>
    </xf>
    <xf numFmtId="0" fontId="55" fillId="0" borderId="80" xfId="0" applyFont="1" applyBorder="1" applyAlignment="1">
      <alignment horizontal="center"/>
    </xf>
    <xf numFmtId="0" fontId="55" fillId="0" borderId="131" xfId="0" applyFont="1" applyBorder="1" applyAlignment="1">
      <alignment horizontal="center"/>
    </xf>
    <xf numFmtId="0" fontId="55" fillId="0" borderId="171" xfId="0" applyFont="1" applyBorder="1" applyAlignment="1">
      <alignment horizontal="center"/>
    </xf>
    <xf numFmtId="0" fontId="24" fillId="0" borderId="32" xfId="0" applyFont="1" applyBorder="1" applyAlignment="1">
      <alignment/>
    </xf>
    <xf numFmtId="0" fontId="36" fillId="0" borderId="30" xfId="0" applyFont="1" applyBorder="1" applyAlignment="1">
      <alignment/>
    </xf>
    <xf numFmtId="0" fontId="24" fillId="0" borderId="30" xfId="0" applyFont="1" applyBorder="1" applyAlignment="1">
      <alignment/>
    </xf>
    <xf numFmtId="0" fontId="36" fillId="0" borderId="75" xfId="0" applyFont="1" applyBorder="1" applyAlignment="1">
      <alignment/>
    </xf>
    <xf numFmtId="0" fontId="36" fillId="0" borderId="72" xfId="0" applyFont="1" applyBorder="1" applyAlignment="1">
      <alignment/>
    </xf>
    <xf numFmtId="0" fontId="36" fillId="0" borderId="126" xfId="0" applyFont="1" applyBorder="1" applyAlignment="1">
      <alignment/>
    </xf>
    <xf numFmtId="0" fontId="19" fillId="24" borderId="170" xfId="0" applyFont="1" applyFill="1" applyBorder="1" applyAlignment="1">
      <alignment/>
    </xf>
    <xf numFmtId="0" fontId="19" fillId="24" borderId="172" xfId="0" applyFont="1" applyFill="1" applyBorder="1" applyAlignment="1">
      <alignment/>
    </xf>
    <xf numFmtId="0" fontId="39" fillId="0" borderId="173" xfId="0" applyFont="1" applyBorder="1" applyAlignment="1">
      <alignment/>
    </xf>
    <xf numFmtId="0" fontId="39" fillId="0" borderId="32" xfId="0" applyFont="1" applyBorder="1" applyAlignment="1">
      <alignment/>
    </xf>
    <xf numFmtId="0" fontId="39" fillId="0" borderId="154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9" fillId="0" borderId="123" xfId="0" applyFont="1" applyBorder="1" applyAlignment="1">
      <alignment horizontal="center"/>
    </xf>
    <xf numFmtId="0" fontId="22" fillId="0" borderId="67" xfId="0" applyFont="1" applyBorder="1" applyAlignment="1">
      <alignment/>
    </xf>
    <xf numFmtId="0" fontId="33" fillId="0" borderId="67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wrapText="1"/>
    </xf>
    <xf numFmtId="0" fontId="39" fillId="0" borderId="77" xfId="0" applyFont="1" applyBorder="1" applyAlignment="1">
      <alignment wrapText="1"/>
    </xf>
    <xf numFmtId="0" fontId="24" fillId="0" borderId="77" xfId="0" applyFont="1" applyBorder="1" applyAlignment="1">
      <alignment horizontal="center" wrapText="1"/>
    </xf>
    <xf numFmtId="0" fontId="24" fillId="0" borderId="1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/>
    </xf>
    <xf numFmtId="0" fontId="24" fillId="0" borderId="174" xfId="0" applyFont="1" applyBorder="1" applyAlignment="1">
      <alignment horizontal="center" wrapText="1"/>
    </xf>
    <xf numFmtId="0" fontId="39" fillId="0" borderId="77" xfId="0" applyFont="1" applyBorder="1" applyAlignment="1">
      <alignment horizontal="right"/>
    </xf>
    <xf numFmtId="3" fontId="31" fillId="0" borderId="57" xfId="0" applyNumberFormat="1" applyFont="1" applyBorder="1" applyAlignment="1">
      <alignment horizontal="right"/>
    </xf>
    <xf numFmtId="3" fontId="31" fillId="0" borderId="60" xfId="0" applyNumberFormat="1" applyFont="1" applyBorder="1" applyAlignment="1">
      <alignment horizontal="right"/>
    </xf>
    <xf numFmtId="3" fontId="46" fillId="0" borderId="71" xfId="0" applyNumberFormat="1" applyFont="1" applyBorder="1" applyAlignment="1">
      <alignment horizontal="right"/>
    </xf>
    <xf numFmtId="3" fontId="19" fillId="0" borderId="175" xfId="0" applyNumberFormat="1" applyFont="1" applyBorder="1" applyAlignment="1">
      <alignment/>
    </xf>
    <xf numFmtId="0" fontId="39" fillId="0" borderId="84" xfId="0" applyFont="1" applyBorder="1" applyAlignment="1">
      <alignment wrapText="1"/>
    </xf>
    <xf numFmtId="0" fontId="19" fillId="0" borderId="117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0" fontId="39" fillId="0" borderId="78" xfId="0" applyFont="1" applyBorder="1" applyAlignment="1">
      <alignment horizontal="center"/>
    </xf>
    <xf numFmtId="0" fontId="55" fillId="0" borderId="176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9" fillId="0" borderId="67" xfId="0" applyFont="1" applyBorder="1" applyAlignment="1">
      <alignment horizontal="right"/>
    </xf>
    <xf numFmtId="3" fontId="24" fillId="0" borderId="117" xfId="0" applyNumberFormat="1" applyFont="1" applyBorder="1" applyAlignment="1">
      <alignment horizontal="right"/>
    </xf>
    <xf numFmtId="0" fontId="24" fillId="0" borderId="117" xfId="0" applyFont="1" applyBorder="1" applyAlignment="1">
      <alignment horizontal="center" wrapText="1"/>
    </xf>
    <xf numFmtId="0" fontId="24" fillId="0" borderId="24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39" fillId="0" borderId="143" xfId="0" applyFont="1" applyBorder="1" applyAlignment="1">
      <alignment horizontal="right"/>
    </xf>
    <xf numFmtId="0" fontId="24" fillId="0" borderId="177" xfId="0" applyFont="1" applyBorder="1" applyAlignment="1">
      <alignment/>
    </xf>
    <xf numFmtId="0" fontId="24" fillId="0" borderId="178" xfId="0" applyFont="1" applyBorder="1" applyAlignment="1">
      <alignment horizontal="center" wrapText="1"/>
    </xf>
    <xf numFmtId="0" fontId="39" fillId="0" borderId="179" xfId="0" applyFont="1" applyBorder="1" applyAlignment="1">
      <alignment horizontal="right"/>
    </xf>
    <xf numFmtId="0" fontId="24" fillId="0" borderId="180" xfId="0" applyFont="1" applyBorder="1" applyAlignment="1">
      <alignment/>
    </xf>
    <xf numFmtId="3" fontId="24" fillId="0" borderId="181" xfId="0" applyNumberFormat="1" applyFont="1" applyBorder="1" applyAlignment="1">
      <alignment/>
    </xf>
    <xf numFmtId="0" fontId="37" fillId="0" borderId="0" xfId="0" applyFont="1" applyAlignment="1">
      <alignment/>
    </xf>
    <xf numFmtId="0" fontId="19" fillId="0" borderId="23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49" xfId="0" applyFont="1" applyBorder="1" applyAlignment="1">
      <alignment/>
    </xf>
    <xf numFmtId="0" fontId="19" fillId="0" borderId="134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9" fillId="0" borderId="182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39" fillId="0" borderId="171" xfId="0" applyFont="1" applyBorder="1" applyAlignment="1">
      <alignment horizontal="right"/>
    </xf>
    <xf numFmtId="0" fontId="24" fillId="0" borderId="43" xfId="0" applyFont="1" applyBorder="1" applyAlignment="1">
      <alignment horizontal="center"/>
    </xf>
    <xf numFmtId="0" fontId="39" fillId="0" borderId="76" xfId="0" applyFont="1" applyBorder="1" applyAlignment="1">
      <alignment horizontal="right"/>
    </xf>
    <xf numFmtId="0" fontId="39" fillId="0" borderId="183" xfId="0" applyFont="1" applyBorder="1" applyAlignment="1">
      <alignment horizontal="right"/>
    </xf>
    <xf numFmtId="0" fontId="24" fillId="0" borderId="72" xfId="0" applyFont="1" applyBorder="1" applyAlignment="1">
      <alignment horizontal="right"/>
    </xf>
    <xf numFmtId="0" fontId="24" fillId="0" borderId="72" xfId="0" applyFont="1" applyBorder="1" applyAlignment="1">
      <alignment horizontal="center"/>
    </xf>
    <xf numFmtId="3" fontId="24" fillId="0" borderId="113" xfId="0" applyNumberFormat="1" applyFont="1" applyBorder="1" applyAlignment="1">
      <alignment/>
    </xf>
    <xf numFmtId="3" fontId="19" fillId="0" borderId="184" xfId="0" applyNumberFormat="1" applyFont="1" applyBorder="1" applyAlignment="1">
      <alignment/>
    </xf>
    <xf numFmtId="0" fontId="22" fillId="0" borderId="67" xfId="0" applyFont="1" applyBorder="1" applyAlignment="1">
      <alignment horizontal="center"/>
    </xf>
    <xf numFmtId="0" fontId="19" fillId="0" borderId="62" xfId="0" applyFont="1" applyBorder="1" applyAlignment="1">
      <alignment horizontal="right"/>
    </xf>
    <xf numFmtId="0" fontId="39" fillId="0" borderId="66" xfId="0" applyFont="1" applyBorder="1" applyAlignment="1">
      <alignment horizontal="center"/>
    </xf>
    <xf numFmtId="0" fontId="19" fillId="0" borderId="69" xfId="0" applyFont="1" applyBorder="1" applyAlignment="1">
      <alignment horizontal="right"/>
    </xf>
    <xf numFmtId="0" fontId="19" fillId="0" borderId="147" xfId="0" applyFont="1" applyBorder="1" applyAlignment="1">
      <alignment horizontal="right"/>
    </xf>
    <xf numFmtId="0" fontId="19" fillId="0" borderId="112" xfId="0" applyFont="1" applyBorder="1" applyAlignment="1">
      <alignment horizontal="center"/>
    </xf>
    <xf numFmtId="0" fontId="24" fillId="0" borderId="63" xfId="0" applyFont="1" applyBorder="1" applyAlignment="1">
      <alignment/>
    </xf>
    <xf numFmtId="0" fontId="19" fillId="0" borderId="154" xfId="0" applyFont="1" applyBorder="1" applyAlignment="1">
      <alignment/>
    </xf>
    <xf numFmtId="0" fontId="0" fillId="0" borderId="185" xfId="0" applyBorder="1" applyAlignment="1">
      <alignment/>
    </xf>
    <xf numFmtId="0" fontId="22" fillId="0" borderId="109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4" fillId="0" borderId="186" xfId="0" applyFont="1" applyBorder="1" applyAlignment="1">
      <alignment/>
    </xf>
    <xf numFmtId="0" fontId="19" fillId="0" borderId="119" xfId="0" applyFont="1" applyBorder="1" applyAlignment="1">
      <alignment horizontal="center"/>
    </xf>
    <xf numFmtId="0" fontId="19" fillId="0" borderId="120" xfId="0" applyFont="1" applyBorder="1" applyAlignment="1">
      <alignment/>
    </xf>
    <xf numFmtId="0" fontId="24" fillId="0" borderId="118" xfId="0" applyFont="1" applyBorder="1" applyAlignment="1">
      <alignment/>
    </xf>
    <xf numFmtId="0" fontId="19" fillId="0" borderId="119" xfId="0" applyFont="1" applyBorder="1" applyAlignment="1">
      <alignment/>
    </xf>
    <xf numFmtId="0" fontId="19" fillId="0" borderId="85" xfId="0" applyFont="1" applyBorder="1" applyAlignment="1">
      <alignment/>
    </xf>
    <xf numFmtId="0" fontId="33" fillId="0" borderId="117" xfId="0" applyFont="1" applyBorder="1" applyAlignment="1">
      <alignment wrapText="1"/>
    </xf>
    <xf numFmtId="0" fontId="19" fillId="0" borderId="176" xfId="0" applyFont="1" applyBorder="1" applyAlignment="1">
      <alignment wrapText="1"/>
    </xf>
    <xf numFmtId="0" fontId="37" fillId="0" borderId="0" xfId="0" applyFont="1" applyBorder="1" applyAlignment="1">
      <alignment/>
    </xf>
    <xf numFmtId="0" fontId="19" fillId="0" borderId="95" xfId="0" applyFont="1" applyBorder="1" applyAlignment="1">
      <alignment/>
    </xf>
    <xf numFmtId="0" fontId="19" fillId="0" borderId="84" xfId="0" applyFont="1" applyBorder="1" applyAlignment="1">
      <alignment wrapText="1"/>
    </xf>
    <xf numFmtId="0" fontId="39" fillId="0" borderId="187" xfId="0" applyFont="1" applyBorder="1" applyAlignment="1">
      <alignment horizontal="right"/>
    </xf>
    <xf numFmtId="0" fontId="39" fillId="0" borderId="187" xfId="0" applyFont="1" applyFill="1" applyBorder="1" applyAlignment="1">
      <alignment horizontal="right"/>
    </xf>
    <xf numFmtId="0" fontId="19" fillId="0" borderId="77" xfId="0" applyFont="1" applyBorder="1" applyAlignment="1">
      <alignment horizontal="center" wrapText="1"/>
    </xf>
    <xf numFmtId="0" fontId="39" fillId="0" borderId="188" xfId="0" applyFont="1" applyBorder="1" applyAlignment="1">
      <alignment horizontal="right"/>
    </xf>
    <xf numFmtId="0" fontId="39" fillId="0" borderId="159" xfId="0" applyFont="1" applyFill="1" applyBorder="1" applyAlignment="1">
      <alignment horizontal="right"/>
    </xf>
    <xf numFmtId="0" fontId="39" fillId="0" borderId="159" xfId="0" applyFont="1" applyBorder="1" applyAlignment="1">
      <alignment horizontal="right"/>
    </xf>
    <xf numFmtId="0" fontId="39" fillId="0" borderId="189" xfId="0" applyFont="1" applyBorder="1" applyAlignment="1">
      <alignment horizontal="right"/>
    </xf>
    <xf numFmtId="3" fontId="19" fillId="24" borderId="110" xfId="0" applyNumberFormat="1" applyFont="1" applyFill="1" applyBorder="1" applyAlignment="1">
      <alignment/>
    </xf>
    <xf numFmtId="0" fontId="24" fillId="0" borderId="77" xfId="0" applyFont="1" applyBorder="1" applyAlignment="1">
      <alignment wrapText="1"/>
    </xf>
    <xf numFmtId="0" fontId="24" fillId="0" borderId="178" xfId="0" applyFont="1" applyBorder="1" applyAlignment="1">
      <alignment wrapText="1"/>
    </xf>
    <xf numFmtId="3" fontId="24" fillId="0" borderId="180" xfId="0" applyNumberFormat="1" applyFont="1" applyBorder="1" applyAlignment="1">
      <alignment/>
    </xf>
    <xf numFmtId="0" fontId="39" fillId="0" borderId="64" xfId="0" applyFont="1" applyBorder="1" applyAlignment="1">
      <alignment horizontal="right"/>
    </xf>
    <xf numFmtId="0" fontId="39" fillId="0" borderId="77" xfId="0" applyFont="1" applyBorder="1" applyAlignment="1">
      <alignment horizontal="center"/>
    </xf>
    <xf numFmtId="0" fontId="24" fillId="0" borderId="111" xfId="0" applyFont="1" applyBorder="1" applyAlignment="1">
      <alignment wrapText="1"/>
    </xf>
    <xf numFmtId="0" fontId="22" fillId="0" borderId="190" xfId="0" applyFont="1" applyBorder="1" applyAlignment="1">
      <alignment/>
    </xf>
    <xf numFmtId="0" fontId="24" fillId="0" borderId="139" xfId="0" applyFont="1" applyBorder="1" applyAlignment="1">
      <alignment/>
    </xf>
    <xf numFmtId="0" fontId="24" fillId="0" borderId="132" xfId="0" applyFont="1" applyBorder="1" applyAlignment="1">
      <alignment/>
    </xf>
    <xf numFmtId="3" fontId="24" fillId="0" borderId="135" xfId="0" applyNumberFormat="1" applyFont="1" applyBorder="1" applyAlignment="1">
      <alignment/>
    </xf>
    <xf numFmtId="3" fontId="24" fillId="0" borderId="54" xfId="0" applyNumberFormat="1" applyFont="1" applyBorder="1" applyAlignment="1">
      <alignment/>
    </xf>
    <xf numFmtId="0" fontId="24" fillId="0" borderId="191" xfId="0" applyFont="1" applyBorder="1" applyAlignment="1">
      <alignment/>
    </xf>
    <xf numFmtId="0" fontId="19" fillId="0" borderId="79" xfId="0" applyFont="1" applyBorder="1" applyAlignment="1">
      <alignment horizontal="center"/>
    </xf>
    <xf numFmtId="0" fontId="39" fillId="0" borderId="67" xfId="0" applyFont="1" applyBorder="1" applyAlignment="1">
      <alignment wrapText="1"/>
    </xf>
    <xf numFmtId="0" fontId="24" fillId="0" borderId="93" xfId="0" applyFont="1" applyBorder="1" applyAlignment="1">
      <alignment horizontal="center" vertical="center" wrapText="1"/>
    </xf>
    <xf numFmtId="3" fontId="19" fillId="0" borderId="72" xfId="0" applyNumberFormat="1" applyFont="1" applyFill="1" applyBorder="1" applyAlignment="1">
      <alignment/>
    </xf>
    <xf numFmtId="0" fontId="24" fillId="0" borderId="77" xfId="0" applyFont="1" applyBorder="1" applyAlignment="1">
      <alignment horizontal="left" vertical="center"/>
    </xf>
    <xf numFmtId="0" fontId="19" fillId="0" borderId="63" xfId="0" applyFont="1" applyFill="1" applyBorder="1" applyAlignment="1">
      <alignment/>
    </xf>
    <xf numFmtId="0" fontId="24" fillId="0" borderId="105" xfId="0" applyFont="1" applyBorder="1" applyAlignment="1">
      <alignment/>
    </xf>
    <xf numFmtId="3" fontId="24" fillId="0" borderId="192" xfId="0" applyNumberFormat="1" applyFont="1" applyBorder="1" applyAlignment="1">
      <alignment/>
    </xf>
    <xf numFmtId="0" fontId="24" fillId="0" borderId="62" xfId="0" applyFont="1" applyBorder="1" applyAlignment="1">
      <alignment horizontal="right"/>
    </xf>
    <xf numFmtId="0" fontId="19" fillId="0" borderId="70" xfId="0" applyFont="1" applyBorder="1" applyAlignment="1">
      <alignment horizontal="right"/>
    </xf>
    <xf numFmtId="0" fontId="19" fillId="0" borderId="77" xfId="0" applyFont="1" applyBorder="1" applyAlignment="1">
      <alignment horizontal="right"/>
    </xf>
    <xf numFmtId="0" fontId="24" fillId="0" borderId="193" xfId="0" applyFont="1" applyBorder="1" applyAlignment="1">
      <alignment horizontal="left" vertical="center"/>
    </xf>
    <xf numFmtId="0" fontId="24" fillId="0" borderId="194" xfId="0" applyFont="1" applyBorder="1" applyAlignment="1">
      <alignment/>
    </xf>
    <xf numFmtId="0" fontId="24" fillId="0" borderId="85" xfId="0" applyFont="1" applyBorder="1" applyAlignment="1">
      <alignment/>
    </xf>
    <xf numFmtId="0" fontId="24" fillId="0" borderId="54" xfId="0" applyFont="1" applyBorder="1" applyAlignment="1">
      <alignment horizontal="center"/>
    </xf>
    <xf numFmtId="3" fontId="19" fillId="0" borderId="181" xfId="0" applyNumberFormat="1" applyFont="1" applyBorder="1" applyAlignment="1">
      <alignment horizontal="right"/>
    </xf>
    <xf numFmtId="3" fontId="19" fillId="0" borderId="50" xfId="0" applyNumberFormat="1" applyFont="1" applyBorder="1" applyAlignment="1">
      <alignment horizontal="right"/>
    </xf>
    <xf numFmtId="0" fontId="24" fillId="0" borderId="70" xfId="0" applyFont="1" applyBorder="1" applyAlignment="1">
      <alignment horizontal="center" vertical="center" wrapText="1"/>
    </xf>
    <xf numFmtId="0" fontId="24" fillId="0" borderId="133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5" fillId="0" borderId="117" xfId="0" applyFont="1" applyBorder="1" applyAlignment="1">
      <alignment horizontal="center"/>
    </xf>
    <xf numFmtId="3" fontId="31" fillId="0" borderId="151" xfId="0" applyNumberFormat="1" applyFont="1" applyBorder="1" applyAlignment="1">
      <alignment horizontal="right"/>
    </xf>
    <xf numFmtId="0" fontId="24" fillId="0" borderId="93" xfId="0" applyFont="1" applyBorder="1" applyAlignment="1">
      <alignment horizontal="center" vertical="center"/>
    </xf>
    <xf numFmtId="0" fontId="24" fillId="0" borderId="186" xfId="0" applyFont="1" applyBorder="1" applyAlignment="1">
      <alignment horizontal="center" vertical="center"/>
    </xf>
    <xf numFmtId="0" fontId="24" fillId="0" borderId="181" xfId="0" applyFont="1" applyBorder="1" applyAlignment="1">
      <alignment horizontal="center" vertical="center"/>
    </xf>
    <xf numFmtId="0" fontId="55" fillId="0" borderId="111" xfId="0" applyFont="1" applyBorder="1" applyAlignment="1">
      <alignment horizontal="center"/>
    </xf>
    <xf numFmtId="0" fontId="22" fillId="0" borderId="195" xfId="0" applyFont="1" applyBorder="1" applyAlignment="1">
      <alignment/>
    </xf>
    <xf numFmtId="0" fontId="24" fillId="0" borderId="190" xfId="0" applyFont="1" applyBorder="1" applyAlignment="1">
      <alignment/>
    </xf>
    <xf numFmtId="0" fontId="24" fillId="0" borderId="77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/>
    </xf>
    <xf numFmtId="0" fontId="24" fillId="0" borderId="84" xfId="0" applyFont="1" applyBorder="1" applyAlignment="1">
      <alignment/>
    </xf>
    <xf numFmtId="0" fontId="24" fillId="0" borderId="79" xfId="0" applyFont="1" applyBorder="1" applyAlignment="1">
      <alignment/>
    </xf>
    <xf numFmtId="0" fontId="55" fillId="0" borderId="77" xfId="0" applyFont="1" applyBorder="1" applyAlignment="1">
      <alignment horizontal="center"/>
    </xf>
    <xf numFmtId="0" fontId="24" fillId="0" borderId="75" xfId="0" applyFont="1" applyBorder="1" applyAlignment="1">
      <alignment/>
    </xf>
    <xf numFmtId="3" fontId="31" fillId="0" borderId="63" xfId="0" applyNumberFormat="1" applyFont="1" applyBorder="1" applyAlignment="1">
      <alignment horizontal="right"/>
    </xf>
    <xf numFmtId="3" fontId="31" fillId="0" borderId="76" xfId="0" applyNumberFormat="1" applyFont="1" applyBorder="1" applyAlignment="1">
      <alignment horizontal="right"/>
    </xf>
    <xf numFmtId="3" fontId="46" fillId="0" borderId="77" xfId="0" applyNumberFormat="1" applyFont="1" applyBorder="1" applyAlignment="1">
      <alignment horizontal="right"/>
    </xf>
    <xf numFmtId="0" fontId="24" fillId="0" borderId="78" xfId="0" applyFont="1" applyBorder="1" applyAlignment="1">
      <alignment horizontal="right"/>
    </xf>
    <xf numFmtId="0" fontId="19" fillId="0" borderId="125" xfId="0" applyFont="1" applyBorder="1" applyAlignment="1">
      <alignment/>
    </xf>
    <xf numFmtId="3" fontId="19" fillId="0" borderId="64" xfId="0" applyNumberFormat="1" applyFont="1" applyBorder="1" applyAlignment="1">
      <alignment/>
    </xf>
    <xf numFmtId="0" fontId="24" fillId="0" borderId="21" xfId="0" applyFont="1" applyBorder="1" applyAlignment="1">
      <alignment/>
    </xf>
    <xf numFmtId="0" fontId="19" fillId="0" borderId="84" xfId="0" applyFont="1" applyBorder="1" applyAlignment="1">
      <alignment horizontal="center" wrapText="1"/>
    </xf>
    <xf numFmtId="0" fontId="39" fillId="0" borderId="196" xfId="0" applyFont="1" applyBorder="1" applyAlignment="1">
      <alignment horizontal="right"/>
    </xf>
    <xf numFmtId="0" fontId="19" fillId="0" borderId="0" xfId="0" applyFont="1" applyAlignment="1">
      <alignment/>
    </xf>
    <xf numFmtId="0" fontId="22" fillId="0" borderId="177" xfId="0" applyFont="1" applyBorder="1" applyAlignment="1">
      <alignment horizontal="center" vertical="center"/>
    </xf>
    <xf numFmtId="0" fontId="22" fillId="0" borderId="197" xfId="0" applyFont="1" applyBorder="1" applyAlignment="1">
      <alignment horizontal="center" vertical="center" wrapText="1"/>
    </xf>
    <xf numFmtId="3" fontId="22" fillId="0" borderId="51" xfId="0" applyNumberFormat="1" applyFont="1" applyBorder="1" applyAlignment="1">
      <alignment horizontal="right" vertical="center" wrapText="1"/>
    </xf>
    <xf numFmtId="3" fontId="32" fillId="0" borderId="50" xfId="40" applyNumberFormat="1" applyFont="1" applyFill="1" applyBorder="1" applyAlignment="1" applyProtection="1">
      <alignment horizontal="right" vertical="center"/>
      <protection/>
    </xf>
    <xf numFmtId="3" fontId="32" fillId="0" borderId="48" xfId="40" applyNumberFormat="1" applyFont="1" applyFill="1" applyBorder="1" applyAlignment="1" applyProtection="1">
      <alignment horizontal="right" vertical="center"/>
      <protection/>
    </xf>
    <xf numFmtId="3" fontId="22" fillId="0" borderId="48" xfId="40" applyNumberFormat="1" applyFont="1" applyFill="1" applyBorder="1" applyAlignment="1" applyProtection="1">
      <alignment horizontal="right" vertical="center"/>
      <protection/>
    </xf>
    <xf numFmtId="3" fontId="22" fillId="0" borderId="49" xfId="40" applyNumberFormat="1" applyFont="1" applyFill="1" applyBorder="1" applyAlignment="1" applyProtection="1">
      <alignment horizontal="right" vertical="center"/>
      <protection/>
    </xf>
    <xf numFmtId="3" fontId="22" fillId="0" borderId="51" xfId="40" applyNumberFormat="1" applyFont="1" applyFill="1" applyBorder="1" applyAlignment="1" applyProtection="1">
      <alignment horizontal="right" vertical="center"/>
      <protection/>
    </xf>
    <xf numFmtId="3" fontId="22" fillId="0" borderId="135" xfId="40" applyNumberFormat="1" applyFont="1" applyFill="1" applyBorder="1" applyAlignment="1" applyProtection="1">
      <alignment horizontal="right" vertical="center"/>
      <protection/>
    </xf>
    <xf numFmtId="3" fontId="22" fillId="0" borderId="181" xfId="40" applyNumberFormat="1" applyFont="1" applyFill="1" applyBorder="1" applyAlignment="1" applyProtection="1">
      <alignment horizontal="right" vertical="center"/>
      <protection/>
    </xf>
    <xf numFmtId="0" fontId="22" fillId="0" borderId="198" xfId="0" applyFont="1" applyBorder="1" applyAlignment="1">
      <alignment vertical="center"/>
    </xf>
    <xf numFmtId="3" fontId="22" fillId="0" borderId="199" xfId="0" applyNumberFormat="1" applyFont="1" applyBorder="1" applyAlignment="1">
      <alignment horizontal="right" vertical="center" wrapText="1"/>
    </xf>
    <xf numFmtId="0" fontId="39" fillId="0" borderId="123" xfId="0" applyFont="1" applyBorder="1" applyAlignment="1">
      <alignment horizontal="right"/>
    </xf>
    <xf numFmtId="0" fontId="39" fillId="0" borderId="185" xfId="0" applyFont="1" applyBorder="1" applyAlignment="1">
      <alignment horizontal="right"/>
    </xf>
    <xf numFmtId="0" fontId="22" fillId="0" borderId="24" xfId="0" applyFont="1" applyBorder="1" applyAlignment="1">
      <alignment vertical="center"/>
    </xf>
    <xf numFmtId="0" fontId="39" fillId="0" borderId="42" xfId="0" applyFont="1" applyBorder="1" applyAlignment="1">
      <alignment horizontal="right"/>
    </xf>
    <xf numFmtId="0" fontId="22" fillId="0" borderId="200" xfId="0" applyFont="1" applyBorder="1" applyAlignment="1">
      <alignment horizontal="center" vertical="center"/>
    </xf>
    <xf numFmtId="0" fontId="24" fillId="0" borderId="197" xfId="0" applyFont="1" applyBorder="1" applyAlignment="1">
      <alignment horizontal="center" vertical="center" wrapText="1"/>
    </xf>
    <xf numFmtId="3" fontId="24" fillId="0" borderId="50" xfId="40" applyNumberFormat="1" applyFont="1" applyFill="1" applyBorder="1" applyAlignment="1" applyProtection="1">
      <alignment/>
      <protection/>
    </xf>
    <xf numFmtId="0" fontId="24" fillId="0" borderId="52" xfId="0" applyFont="1" applyBorder="1" applyAlignment="1">
      <alignment horizontal="center" vertical="center" wrapText="1"/>
    </xf>
    <xf numFmtId="3" fontId="19" fillId="0" borderId="49" xfId="0" applyNumberFormat="1" applyFont="1" applyBorder="1" applyAlignment="1">
      <alignment horizontal="right"/>
    </xf>
    <xf numFmtId="3" fontId="24" fillId="0" borderId="51" xfId="0" applyNumberFormat="1" applyFont="1" applyBorder="1" applyAlignment="1">
      <alignment horizontal="right"/>
    </xf>
    <xf numFmtId="3" fontId="24" fillId="0" borderId="50" xfId="0" applyNumberFormat="1" applyFont="1" applyBorder="1" applyAlignment="1">
      <alignment horizontal="right"/>
    </xf>
    <xf numFmtId="166" fontId="19" fillId="0" borderId="50" xfId="40" applyNumberFormat="1" applyFont="1" applyFill="1" applyBorder="1" applyAlignment="1" applyProtection="1">
      <alignment horizontal="right"/>
      <protection/>
    </xf>
    <xf numFmtId="3" fontId="19" fillId="0" borderId="48" xfId="40" applyNumberFormat="1" applyFont="1" applyFill="1" applyBorder="1" applyAlignment="1" applyProtection="1">
      <alignment horizontal="right"/>
      <protection/>
    </xf>
    <xf numFmtId="3" fontId="19" fillId="0" borderId="49" xfId="40" applyNumberFormat="1" applyFont="1" applyFill="1" applyBorder="1" applyAlignment="1" applyProtection="1">
      <alignment horizontal="right"/>
      <protection/>
    </xf>
    <xf numFmtId="3" fontId="24" fillId="0" borderId="51" xfId="40" applyNumberFormat="1" applyFont="1" applyFill="1" applyBorder="1" applyAlignment="1" applyProtection="1">
      <alignment horizontal="right"/>
      <protection/>
    </xf>
    <xf numFmtId="3" fontId="24" fillId="0" borderId="50" xfId="40" applyNumberFormat="1" applyFont="1" applyFill="1" applyBorder="1" applyAlignment="1" applyProtection="1">
      <alignment horizontal="right"/>
      <protection/>
    </xf>
    <xf numFmtId="3" fontId="19" fillId="0" borderId="50" xfId="40" applyNumberFormat="1" applyFont="1" applyFill="1" applyBorder="1" applyAlignment="1" applyProtection="1">
      <alignment horizontal="right"/>
      <protection/>
    </xf>
    <xf numFmtId="3" fontId="24" fillId="0" borderId="51" xfId="40" applyNumberFormat="1" applyFont="1" applyFill="1" applyBorder="1" applyAlignment="1" applyProtection="1">
      <alignment/>
      <protection/>
    </xf>
    <xf numFmtId="3" fontId="19" fillId="0" borderId="48" xfId="40" applyNumberFormat="1" applyFont="1" applyFill="1" applyBorder="1" applyAlignment="1" applyProtection="1">
      <alignment/>
      <protection/>
    </xf>
    <xf numFmtId="3" fontId="24" fillId="0" borderId="48" xfId="40" applyNumberFormat="1" applyFont="1" applyFill="1" applyBorder="1" applyAlignment="1" applyProtection="1">
      <alignment/>
      <protection/>
    </xf>
    <xf numFmtId="3" fontId="19" fillId="0" borderId="50" xfId="40" applyNumberFormat="1" applyFont="1" applyFill="1" applyBorder="1" applyAlignment="1" applyProtection="1">
      <alignment/>
      <protection/>
    </xf>
    <xf numFmtId="3" fontId="24" fillId="0" borderId="201" xfId="40" applyNumberFormat="1" applyFont="1" applyFill="1" applyBorder="1" applyAlignment="1" applyProtection="1">
      <alignment/>
      <protection/>
    </xf>
    <xf numFmtId="0" fontId="22" fillId="0" borderId="24" xfId="0" applyFont="1" applyBorder="1" applyAlignment="1">
      <alignment wrapText="1"/>
    </xf>
    <xf numFmtId="0" fontId="22" fillId="0" borderId="197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3" fontId="32" fillId="0" borderId="50" xfId="0" applyNumberFormat="1" applyFont="1" applyBorder="1" applyAlignment="1">
      <alignment horizontal="right" wrapText="1"/>
    </xf>
    <xf numFmtId="3" fontId="32" fillId="0" borderId="48" xfId="40" applyNumberFormat="1" applyFont="1" applyFill="1" applyBorder="1" applyAlignment="1" applyProtection="1">
      <alignment/>
      <protection/>
    </xf>
    <xf numFmtId="3" fontId="32" fillId="0" borderId="49" xfId="40" applyNumberFormat="1" applyFont="1" applyFill="1" applyBorder="1" applyAlignment="1" applyProtection="1">
      <alignment/>
      <protection/>
    </xf>
    <xf numFmtId="3" fontId="32" fillId="0" borderId="54" xfId="40" applyNumberFormat="1" applyFont="1" applyFill="1" applyBorder="1" applyAlignment="1" applyProtection="1">
      <alignment/>
      <protection/>
    </xf>
    <xf numFmtId="3" fontId="22" fillId="0" borderId="51" xfId="40" applyNumberFormat="1" applyFont="1" applyFill="1" applyBorder="1" applyAlignment="1" applyProtection="1">
      <alignment/>
      <protection/>
    </xf>
    <xf numFmtId="3" fontId="32" fillId="0" borderId="50" xfId="40" applyNumberFormat="1" applyFont="1" applyFill="1" applyBorder="1" applyAlignment="1" applyProtection="1">
      <alignment/>
      <protection/>
    </xf>
    <xf numFmtId="3" fontId="57" fillId="0" borderId="48" xfId="40" applyNumberFormat="1" applyFont="1" applyFill="1" applyBorder="1" applyAlignment="1" applyProtection="1">
      <alignment/>
      <protection/>
    </xf>
    <xf numFmtId="3" fontId="22" fillId="0" borderId="51" xfId="0" applyNumberFormat="1" applyFont="1" applyBorder="1" applyAlignment="1">
      <alignment/>
    </xf>
    <xf numFmtId="0" fontId="22" fillId="0" borderId="186" xfId="0" applyFont="1" applyBorder="1" applyAlignment="1">
      <alignment/>
    </xf>
    <xf numFmtId="3" fontId="22" fillId="0" borderId="181" xfId="0" applyNumberFormat="1" applyFont="1" applyBorder="1" applyAlignment="1">
      <alignment/>
    </xf>
    <xf numFmtId="0" fontId="22" fillId="0" borderId="153" xfId="0" applyFont="1" applyBorder="1" applyAlignment="1">
      <alignment horizontal="center" vertical="center" wrapText="1"/>
    </xf>
    <xf numFmtId="167" fontId="32" fillId="0" borderId="113" xfId="0" applyNumberFormat="1" applyFont="1" applyBorder="1" applyAlignment="1">
      <alignment horizontal="right"/>
    </xf>
    <xf numFmtId="0" fontId="22" fillId="0" borderId="202" xfId="0" applyFont="1" applyBorder="1" applyAlignment="1">
      <alignment/>
    </xf>
    <xf numFmtId="167" fontId="22" fillId="0" borderId="203" xfId="0" applyNumberFormat="1" applyFont="1" applyBorder="1" applyAlignment="1">
      <alignment horizontal="right"/>
    </xf>
    <xf numFmtId="0" fontId="39" fillId="0" borderId="84" xfId="0" applyFont="1" applyBorder="1" applyAlignment="1">
      <alignment horizontal="right"/>
    </xf>
    <xf numFmtId="0" fontId="19" fillId="0" borderId="145" xfId="0" applyFont="1" applyBorder="1" applyAlignment="1">
      <alignment/>
    </xf>
    <xf numFmtId="0" fontId="19" fillId="0" borderId="204" xfId="0" applyFont="1" applyBorder="1" applyAlignment="1">
      <alignment/>
    </xf>
    <xf numFmtId="0" fontId="19" fillId="0" borderId="205" xfId="0" applyFont="1" applyBorder="1" applyAlignment="1">
      <alignment/>
    </xf>
    <xf numFmtId="0" fontId="56" fillId="0" borderId="149" xfId="54" applyFont="1" applyBorder="1" applyAlignment="1" applyProtection="1">
      <alignment wrapText="1"/>
      <protection/>
    </xf>
    <xf numFmtId="0" fontId="55" fillId="0" borderId="0" xfId="54" applyFont="1" applyBorder="1" applyAlignment="1" applyProtection="1">
      <alignment wrapText="1"/>
      <protection/>
    </xf>
    <xf numFmtId="0" fontId="19" fillId="0" borderId="206" xfId="0" applyFont="1" applyBorder="1" applyAlignment="1">
      <alignment wrapText="1"/>
    </xf>
    <xf numFmtId="0" fontId="24" fillId="0" borderId="112" xfId="54" applyFont="1" applyBorder="1" applyAlignment="1" applyProtection="1">
      <alignment horizontal="center" vertical="center" wrapText="1"/>
      <protection/>
    </xf>
    <xf numFmtId="3" fontId="19" fillId="0" borderId="112" xfId="54" applyNumberFormat="1" applyFont="1" applyBorder="1" applyProtection="1">
      <alignment/>
      <protection/>
    </xf>
    <xf numFmtId="3" fontId="19" fillId="0" borderId="113" xfId="54" applyNumberFormat="1" applyFont="1" applyBorder="1" applyProtection="1">
      <alignment/>
      <protection/>
    </xf>
    <xf numFmtId="3" fontId="24" fillId="0" borderId="114" xfId="54" applyNumberFormat="1" applyFont="1" applyBorder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22" xfId="54" applyFont="1" applyBorder="1" applyProtection="1">
      <alignment/>
      <protection/>
    </xf>
    <xf numFmtId="0" fontId="24" fillId="0" borderId="24" xfId="54" applyFont="1" applyBorder="1" applyProtection="1">
      <alignment/>
      <protection/>
    </xf>
    <xf numFmtId="0" fontId="56" fillId="0" borderId="207" xfId="54" applyFont="1" applyBorder="1" applyAlignment="1" applyProtection="1">
      <alignment wrapText="1"/>
      <protection/>
    </xf>
    <xf numFmtId="0" fontId="19" fillId="0" borderId="46" xfId="54" applyFont="1" applyBorder="1" applyProtection="1">
      <alignment/>
      <protection/>
    </xf>
    <xf numFmtId="0" fontId="56" fillId="0" borderId="80" xfId="54" applyFont="1" applyBorder="1" applyAlignment="1" applyProtection="1">
      <alignment wrapText="1"/>
      <protection/>
    </xf>
    <xf numFmtId="0" fontId="55" fillId="0" borderId="46" xfId="54" applyFont="1" applyBorder="1" applyAlignment="1" applyProtection="1">
      <alignment wrapText="1"/>
      <protection/>
    </xf>
    <xf numFmtId="0" fontId="36" fillId="0" borderId="30" xfId="54" applyFont="1" applyBorder="1" applyProtection="1">
      <alignment/>
      <protection/>
    </xf>
    <xf numFmtId="0" fontId="19" fillId="0" borderId="24" xfId="54" applyFont="1" applyBorder="1" applyProtection="1">
      <alignment/>
      <protection/>
    </xf>
    <xf numFmtId="0" fontId="55" fillId="0" borderId="21" xfId="54" applyFont="1" applyBorder="1" applyProtection="1">
      <alignment/>
      <protection/>
    </xf>
    <xf numFmtId="0" fontId="24" fillId="0" borderId="114" xfId="54" applyFont="1" applyBorder="1" applyAlignment="1" applyProtection="1">
      <alignment horizontal="center" vertical="center" wrapText="1"/>
      <protection/>
    </xf>
    <xf numFmtId="3" fontId="24" fillId="0" borderId="208" xfId="54" applyNumberFormat="1" applyFont="1" applyBorder="1" applyProtection="1">
      <alignment/>
      <protection/>
    </xf>
    <xf numFmtId="3" fontId="24" fillId="0" borderId="72" xfId="54" applyNumberFormat="1" applyFont="1" applyBorder="1" applyProtection="1">
      <alignment/>
      <protection/>
    </xf>
    <xf numFmtId="3" fontId="24" fillId="0" borderId="74" xfId="54" applyNumberFormat="1" applyFont="1" applyBorder="1" applyProtection="1">
      <alignment/>
      <protection/>
    </xf>
    <xf numFmtId="3" fontId="19" fillId="0" borderId="75" xfId="54" applyNumberFormat="1" applyFont="1" applyBorder="1" applyProtection="1">
      <alignment/>
      <protection/>
    </xf>
    <xf numFmtId="3" fontId="19" fillId="0" borderId="114" xfId="54" applyNumberFormat="1" applyFont="1" applyBorder="1" applyProtection="1">
      <alignment/>
      <protection/>
    </xf>
    <xf numFmtId="3" fontId="24" fillId="0" borderId="112" xfId="54" applyNumberFormat="1" applyFont="1" applyBorder="1" applyProtection="1">
      <alignment/>
      <protection/>
    </xf>
    <xf numFmtId="0" fontId="32" fillId="0" borderId="125" xfId="0" applyFont="1" applyBorder="1" applyAlignment="1">
      <alignment/>
    </xf>
    <xf numFmtId="0" fontId="31" fillId="0" borderId="93" xfId="0" applyFont="1" applyBorder="1" applyAlignment="1">
      <alignment horizontal="center"/>
    </xf>
    <xf numFmtId="0" fontId="31" fillId="0" borderId="74" xfId="0" applyFont="1" applyBorder="1" applyAlignment="1">
      <alignment/>
    </xf>
    <xf numFmtId="0" fontId="31" fillId="0" borderId="72" xfId="0" applyFont="1" applyBorder="1" applyAlignment="1">
      <alignment/>
    </xf>
    <xf numFmtId="0" fontId="31" fillId="0" borderId="209" xfId="0" applyFont="1" applyBorder="1" applyAlignment="1">
      <alignment/>
    </xf>
    <xf numFmtId="0" fontId="46" fillId="0" borderId="93" xfId="0" applyFont="1" applyBorder="1" applyAlignment="1">
      <alignment/>
    </xf>
    <xf numFmtId="0" fontId="31" fillId="0" borderId="75" xfId="0" applyFont="1" applyBorder="1" applyAlignment="1">
      <alignment/>
    </xf>
    <xf numFmtId="3" fontId="31" fillId="0" borderId="72" xfId="0" applyNumberFormat="1" applyFont="1" applyBorder="1" applyAlignment="1">
      <alignment/>
    </xf>
    <xf numFmtId="0" fontId="31" fillId="0" borderId="77" xfId="0" applyFont="1" applyBorder="1" applyAlignment="1">
      <alignment horizontal="center"/>
    </xf>
    <xf numFmtId="0" fontId="31" fillId="0" borderId="79" xfId="0" applyFont="1" applyBorder="1" applyAlignment="1">
      <alignment/>
    </xf>
    <xf numFmtId="0" fontId="31" fillId="0" borderId="63" xfId="0" applyFont="1" applyBorder="1" applyAlignment="1">
      <alignment/>
    </xf>
    <xf numFmtId="0" fontId="31" fillId="0" borderId="154" xfId="0" applyFont="1" applyBorder="1" applyAlignment="1">
      <alignment/>
    </xf>
    <xf numFmtId="0" fontId="46" fillId="0" borderId="77" xfId="0" applyFont="1" applyBorder="1" applyAlignment="1">
      <alignment/>
    </xf>
    <xf numFmtId="0" fontId="31" fillId="0" borderId="84" xfId="0" applyFont="1" applyBorder="1" applyAlignment="1">
      <alignment/>
    </xf>
    <xf numFmtId="3" fontId="31" fillId="0" borderId="79" xfId="0" applyNumberFormat="1" applyFont="1" applyBorder="1" applyAlignment="1">
      <alignment/>
    </xf>
    <xf numFmtId="0" fontId="31" fillId="0" borderId="117" xfId="0" applyFont="1" applyBorder="1" applyAlignment="1">
      <alignment/>
    </xf>
    <xf numFmtId="0" fontId="32" fillId="0" borderId="210" xfId="0" applyFont="1" applyBorder="1" applyAlignment="1">
      <alignment/>
    </xf>
    <xf numFmtId="0" fontId="32" fillId="0" borderId="211" xfId="0" applyFont="1" applyBorder="1" applyAlignment="1">
      <alignment/>
    </xf>
    <xf numFmtId="0" fontId="32" fillId="0" borderId="212" xfId="0" applyFont="1" applyBorder="1" applyAlignment="1">
      <alignment/>
    </xf>
    <xf numFmtId="0" fontId="46" fillId="0" borderId="117" xfId="0" applyFont="1" applyBorder="1" applyAlignment="1">
      <alignment/>
    </xf>
    <xf numFmtId="3" fontId="46" fillId="0" borderId="164" xfId="0" applyNumberFormat="1" applyFont="1" applyBorder="1" applyAlignment="1">
      <alignment/>
    </xf>
    <xf numFmtId="0" fontId="32" fillId="0" borderId="213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80" xfId="0" applyFont="1" applyBorder="1" applyAlignment="1">
      <alignment/>
    </xf>
    <xf numFmtId="3" fontId="31" fillId="0" borderId="75" xfId="0" applyNumberFormat="1" applyFont="1" applyBorder="1" applyAlignment="1">
      <alignment/>
    </xf>
    <xf numFmtId="3" fontId="46" fillId="0" borderId="93" xfId="0" applyNumberFormat="1" applyFont="1" applyBorder="1" applyAlignment="1">
      <alignment/>
    </xf>
    <xf numFmtId="3" fontId="31" fillId="0" borderId="66" xfId="0" applyNumberFormat="1" applyFont="1" applyBorder="1" applyAlignment="1">
      <alignment/>
    </xf>
    <xf numFmtId="3" fontId="31" fillId="0" borderId="69" xfId="0" applyNumberFormat="1" applyFont="1" applyBorder="1" applyAlignment="1">
      <alignment/>
    </xf>
    <xf numFmtId="3" fontId="46" fillId="0" borderId="67" xfId="0" applyNumberFormat="1" applyFont="1" applyBorder="1" applyAlignment="1">
      <alignment/>
    </xf>
    <xf numFmtId="3" fontId="31" fillId="0" borderId="163" xfId="0" applyNumberFormat="1" applyFont="1" applyBorder="1" applyAlignment="1">
      <alignment/>
    </xf>
    <xf numFmtId="3" fontId="31" fillId="0" borderId="63" xfId="0" applyNumberFormat="1" applyFont="1" applyBorder="1" applyAlignment="1">
      <alignment/>
    </xf>
    <xf numFmtId="3" fontId="31" fillId="0" borderId="154" xfId="0" applyNumberFormat="1" applyFont="1" applyBorder="1" applyAlignment="1">
      <alignment/>
    </xf>
    <xf numFmtId="0" fontId="24" fillId="0" borderId="67" xfId="0" applyFont="1" applyBorder="1" applyAlignment="1">
      <alignment horizontal="center" vertical="center"/>
    </xf>
    <xf numFmtId="0" fontId="24" fillId="0" borderId="109" xfId="0" applyFont="1" applyBorder="1" applyAlignment="1">
      <alignment horizontal="center"/>
    </xf>
    <xf numFmtId="0" fontId="24" fillId="0" borderId="93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19" fillId="0" borderId="113" xfId="0" applyFont="1" applyBorder="1" applyAlignment="1">
      <alignment/>
    </xf>
    <xf numFmtId="0" fontId="19" fillId="0" borderId="214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215" xfId="0" applyFont="1" applyFill="1" applyBorder="1" applyAlignment="1">
      <alignment horizontal="left" vertical="center"/>
    </xf>
    <xf numFmtId="0" fontId="52" fillId="0" borderId="177" xfId="0" applyFont="1" applyBorder="1" applyAlignment="1">
      <alignment vertical="center"/>
    </xf>
    <xf numFmtId="0" fontId="52" fillId="0" borderId="197" xfId="0" applyFont="1" applyBorder="1" applyAlignment="1">
      <alignment horizontal="center" vertical="center"/>
    </xf>
    <xf numFmtId="0" fontId="24" fillId="0" borderId="111" xfId="0" applyFont="1" applyBorder="1" applyAlignment="1">
      <alignment horizontal="center"/>
    </xf>
    <xf numFmtId="166" fontId="41" fillId="0" borderId="52" xfId="40" applyNumberFormat="1" applyFont="1" applyFill="1" applyBorder="1" applyAlignment="1" applyProtection="1">
      <alignment/>
      <protection/>
    </xf>
    <xf numFmtId="166" fontId="41" fillId="0" borderId="50" xfId="40" applyNumberFormat="1" applyFont="1" applyFill="1" applyBorder="1" applyAlignment="1" applyProtection="1">
      <alignment/>
      <protection/>
    </xf>
    <xf numFmtId="166" fontId="41" fillId="0" borderId="54" xfId="40" applyNumberFormat="1" applyFont="1" applyFill="1" applyBorder="1" applyAlignment="1" applyProtection="1">
      <alignment/>
      <protection/>
    </xf>
    <xf numFmtId="0" fontId="41" fillId="0" borderId="216" xfId="0" applyFont="1" applyBorder="1" applyAlignment="1">
      <alignment/>
    </xf>
    <xf numFmtId="166" fontId="41" fillId="0" borderId="217" xfId="40" applyNumberFormat="1" applyFont="1" applyFill="1" applyBorder="1" applyAlignment="1" applyProtection="1">
      <alignment/>
      <protection/>
    </xf>
    <xf numFmtId="0" fontId="24" fillId="0" borderId="200" xfId="0" applyFont="1" applyBorder="1" applyAlignment="1">
      <alignment horizontal="center" vertical="center" wrapText="1"/>
    </xf>
    <xf numFmtId="0" fontId="22" fillId="0" borderId="153" xfId="0" applyFont="1" applyBorder="1" applyAlignment="1">
      <alignment horizontal="center" vertical="center"/>
    </xf>
    <xf numFmtId="0" fontId="32" fillId="0" borderId="112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32" fillId="0" borderId="116" xfId="0" applyFont="1" applyBorder="1" applyAlignment="1">
      <alignment horizontal="center" vertical="center"/>
    </xf>
    <xf numFmtId="0" fontId="19" fillId="0" borderId="116" xfId="0" applyFont="1" applyBorder="1" applyAlignment="1">
      <alignment/>
    </xf>
    <xf numFmtId="3" fontId="22" fillId="0" borderId="55" xfId="40" applyNumberFormat="1" applyFont="1" applyFill="1" applyBorder="1" applyAlignment="1" applyProtection="1">
      <alignment horizontal="right" vertical="center"/>
      <protection/>
    </xf>
    <xf numFmtId="0" fontId="19" fillId="0" borderId="203" xfId="0" applyFont="1" applyBorder="1" applyAlignment="1">
      <alignment/>
    </xf>
    <xf numFmtId="0" fontId="22" fillId="0" borderId="180" xfId="0" applyFont="1" applyBorder="1" applyAlignment="1">
      <alignment vertical="center"/>
    </xf>
    <xf numFmtId="0" fontId="19" fillId="0" borderId="43" xfId="0" applyFont="1" applyBorder="1" applyAlignment="1">
      <alignment horizontal="center"/>
    </xf>
    <xf numFmtId="0" fontId="19" fillId="0" borderId="127" xfId="0" applyFont="1" applyBorder="1" applyAlignment="1">
      <alignment horizontal="center"/>
    </xf>
    <xf numFmtId="0" fontId="19" fillId="0" borderId="190" xfId="0" applyFont="1" applyBorder="1" applyAlignment="1">
      <alignment horizontal="center"/>
    </xf>
    <xf numFmtId="0" fontId="19" fillId="0" borderId="128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109" xfId="0" applyFont="1" applyBorder="1" applyAlignment="1">
      <alignment/>
    </xf>
    <xf numFmtId="0" fontId="19" fillId="0" borderId="218" xfId="0" applyFont="1" applyBorder="1" applyAlignment="1">
      <alignment horizontal="center"/>
    </xf>
    <xf numFmtId="0" fontId="19" fillId="0" borderId="202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31" fillId="0" borderId="37" xfId="0" applyFont="1" applyBorder="1" applyAlignment="1">
      <alignment wrapText="1"/>
    </xf>
    <xf numFmtId="3" fontId="31" fillId="0" borderId="37" xfId="0" applyNumberFormat="1" applyFont="1" applyBorder="1" applyAlignment="1">
      <alignment/>
    </xf>
    <xf numFmtId="3" fontId="31" fillId="0" borderId="219" xfId="0" applyNumberFormat="1" applyFont="1" applyBorder="1" applyAlignment="1">
      <alignment/>
    </xf>
    <xf numFmtId="3" fontId="31" fillId="0" borderId="21" xfId="40" applyNumberFormat="1" applyFont="1" applyFill="1" applyBorder="1" applyAlignment="1" applyProtection="1">
      <alignment/>
      <protection/>
    </xf>
    <xf numFmtId="0" fontId="19" fillId="0" borderId="219" xfId="0" applyFont="1" applyBorder="1" applyAlignment="1">
      <alignment/>
    </xf>
    <xf numFmtId="3" fontId="31" fillId="0" borderId="220" xfId="0" applyNumberFormat="1" applyFont="1" applyBorder="1" applyAlignment="1">
      <alignment/>
    </xf>
    <xf numFmtId="0" fontId="24" fillId="0" borderId="71" xfId="0" applyFont="1" applyBorder="1" applyAlignment="1">
      <alignment horizontal="center"/>
    </xf>
    <xf numFmtId="3" fontId="31" fillId="0" borderId="112" xfId="0" applyNumberFormat="1" applyFont="1" applyBorder="1" applyAlignment="1">
      <alignment/>
    </xf>
    <xf numFmtId="3" fontId="31" fillId="0" borderId="113" xfId="0" applyNumberFormat="1" applyFont="1" applyBorder="1" applyAlignment="1">
      <alignment/>
    </xf>
    <xf numFmtId="3" fontId="31" fillId="0" borderId="113" xfId="40" applyNumberFormat="1" applyFont="1" applyFill="1" applyBorder="1" applyAlignment="1" applyProtection="1">
      <alignment/>
      <protection/>
    </xf>
    <xf numFmtId="0" fontId="46" fillId="0" borderId="221" xfId="0" applyFont="1" applyBorder="1" applyAlignment="1">
      <alignment/>
    </xf>
    <xf numFmtId="3" fontId="24" fillId="0" borderId="221" xfId="40" applyNumberFormat="1" applyFont="1" applyFill="1" applyBorder="1" applyAlignment="1" applyProtection="1">
      <alignment/>
      <protection/>
    </xf>
    <xf numFmtId="3" fontId="46" fillId="0" borderId="221" xfId="40" applyNumberFormat="1" applyFont="1" applyFill="1" applyBorder="1" applyAlignment="1" applyProtection="1">
      <alignment/>
      <protection/>
    </xf>
    <xf numFmtId="3" fontId="46" fillId="0" borderId="222" xfId="40" applyNumberFormat="1" applyFont="1" applyFill="1" applyBorder="1" applyAlignment="1" applyProtection="1">
      <alignment/>
      <protection/>
    </xf>
    <xf numFmtId="3" fontId="46" fillId="0" borderId="167" xfId="40" applyNumberFormat="1" applyFont="1" applyFill="1" applyBorder="1" applyAlignment="1" applyProtection="1">
      <alignment/>
      <protection/>
    </xf>
    <xf numFmtId="3" fontId="46" fillId="0" borderId="126" xfId="40" applyNumberFormat="1" applyFont="1" applyFill="1" applyBorder="1" applyAlignment="1" applyProtection="1">
      <alignment/>
      <protection/>
    </xf>
    <xf numFmtId="0" fontId="24" fillId="0" borderId="223" xfId="0" applyFont="1" applyBorder="1" applyAlignment="1">
      <alignment/>
    </xf>
    <xf numFmtId="0" fontId="24" fillId="0" borderId="224" xfId="0" applyFont="1" applyBorder="1" applyAlignment="1">
      <alignment horizontal="center"/>
    </xf>
    <xf numFmtId="3" fontId="31" fillId="0" borderId="106" xfId="0" applyNumberFormat="1" applyFont="1" applyBorder="1" applyAlignment="1">
      <alignment/>
    </xf>
    <xf numFmtId="3" fontId="31" fillId="0" borderId="106" xfId="40" applyNumberFormat="1" applyFont="1" applyFill="1" applyBorder="1" applyAlignment="1" applyProtection="1">
      <alignment/>
      <protection/>
    </xf>
    <xf numFmtId="3" fontId="46" fillId="0" borderId="225" xfId="4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vertical="center"/>
    </xf>
    <xf numFmtId="3" fontId="24" fillId="0" borderId="0" xfId="40" applyNumberFormat="1" applyFont="1" applyFill="1" applyBorder="1" applyAlignment="1" applyProtection="1">
      <alignment/>
      <protection/>
    </xf>
    <xf numFmtId="0" fontId="42" fillId="0" borderId="95" xfId="0" applyFont="1" applyBorder="1" applyAlignment="1">
      <alignment horizontal="justify" vertical="center"/>
    </xf>
    <xf numFmtId="0" fontId="42" fillId="0" borderId="95" xfId="0" applyFont="1" applyBorder="1" applyAlignment="1">
      <alignment/>
    </xf>
    <xf numFmtId="0" fontId="34" fillId="0" borderId="95" xfId="0" applyFont="1" applyBorder="1" applyAlignment="1">
      <alignment/>
    </xf>
    <xf numFmtId="0" fontId="42" fillId="0" borderId="95" xfId="0" applyFont="1" applyBorder="1" applyAlignment="1">
      <alignment wrapText="1"/>
    </xf>
    <xf numFmtId="0" fontId="41" fillId="0" borderId="95" xfId="0" applyFont="1" applyBorder="1" applyAlignment="1">
      <alignment wrapText="1"/>
    </xf>
    <xf numFmtId="0" fontId="51" fillId="0" borderId="226" xfId="0" applyFont="1" applyBorder="1" applyAlignment="1">
      <alignment/>
    </xf>
    <xf numFmtId="0" fontId="25" fillId="0" borderId="227" xfId="0" applyFont="1" applyBorder="1" applyAlignment="1">
      <alignment/>
    </xf>
    <xf numFmtId="0" fontId="29" fillId="0" borderId="228" xfId="0" applyFont="1" applyBorder="1" applyAlignment="1">
      <alignment horizontal="center"/>
    </xf>
    <xf numFmtId="0" fontId="32" fillId="0" borderId="96" xfId="0" applyFont="1" applyBorder="1" applyAlignment="1">
      <alignment/>
    </xf>
    <xf numFmtId="3" fontId="32" fillId="0" borderId="106" xfId="0" applyNumberFormat="1" applyFont="1" applyBorder="1" applyAlignment="1">
      <alignment/>
    </xf>
    <xf numFmtId="0" fontId="22" fillId="0" borderId="96" xfId="0" applyFont="1" applyBorder="1" applyAlignment="1">
      <alignment/>
    </xf>
    <xf numFmtId="3" fontId="22" fillId="0" borderId="106" xfId="0" applyNumberFormat="1" applyFont="1" applyBorder="1" applyAlignment="1">
      <alignment/>
    </xf>
    <xf numFmtId="0" fontId="27" fillId="0" borderId="96" xfId="0" applyFont="1" applyBorder="1" applyAlignment="1">
      <alignment vertical="center"/>
    </xf>
    <xf numFmtId="168" fontId="27" fillId="0" borderId="106" xfId="40" applyNumberFormat="1" applyFont="1" applyFill="1" applyBorder="1" applyAlignment="1" applyProtection="1">
      <alignment horizontal="right" vertical="center"/>
      <protection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39" fillId="0" borderId="229" xfId="0" applyFont="1" applyBorder="1" applyAlignment="1">
      <alignment horizontal="right"/>
    </xf>
    <xf numFmtId="0" fontId="46" fillId="0" borderId="75" xfId="0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46" xfId="0" applyNumberFormat="1" applyFont="1" applyBorder="1" applyAlignment="1">
      <alignment horizontal="right"/>
    </xf>
    <xf numFmtId="3" fontId="19" fillId="0" borderId="69" xfId="0" applyNumberFormat="1" applyFont="1" applyBorder="1" applyAlignment="1">
      <alignment horizontal="right"/>
    </xf>
    <xf numFmtId="0" fontId="24" fillId="0" borderId="230" xfId="0" applyFont="1" applyBorder="1" applyAlignment="1">
      <alignment horizontal="center" vertical="center"/>
    </xf>
    <xf numFmtId="0" fontId="24" fillId="0" borderId="231" xfId="0" applyFont="1" applyBorder="1" applyAlignment="1">
      <alignment horizontal="center" vertical="center"/>
    </xf>
    <xf numFmtId="3" fontId="19" fillId="0" borderId="37" xfId="0" applyNumberFormat="1" applyFont="1" applyBorder="1" applyAlignment="1">
      <alignment vertical="center"/>
    </xf>
    <xf numFmtId="3" fontId="24" fillId="0" borderId="219" xfId="0" applyNumberFormat="1" applyFont="1" applyBorder="1" applyAlignment="1">
      <alignment horizontal="center" vertical="center"/>
    </xf>
    <xf numFmtId="0" fontId="0" fillId="0" borderId="232" xfId="0" applyBorder="1" applyAlignment="1">
      <alignment/>
    </xf>
    <xf numFmtId="0" fontId="24" fillId="0" borderId="233" xfId="0" applyFont="1" applyBorder="1" applyAlignment="1">
      <alignment horizontal="center" vertical="center"/>
    </xf>
    <xf numFmtId="0" fontId="24" fillId="0" borderId="234" xfId="0" applyFont="1" applyBorder="1" applyAlignment="1">
      <alignment horizontal="center" vertical="center"/>
    </xf>
    <xf numFmtId="0" fontId="19" fillId="0" borderId="235" xfId="0" applyFont="1" applyBorder="1" applyAlignment="1">
      <alignment vertical="center" wrapText="1"/>
    </xf>
    <xf numFmtId="0" fontId="19" fillId="0" borderId="236" xfId="0" applyFont="1" applyBorder="1" applyAlignment="1">
      <alignment vertical="center" wrapText="1"/>
    </xf>
    <xf numFmtId="0" fontId="19" fillId="0" borderId="237" xfId="0" applyFont="1" applyBorder="1" applyAlignment="1">
      <alignment vertical="center" wrapText="1"/>
    </xf>
    <xf numFmtId="0" fontId="24" fillId="0" borderId="238" xfId="0" applyFont="1" applyBorder="1" applyAlignment="1">
      <alignment vertical="center"/>
    </xf>
    <xf numFmtId="0" fontId="24" fillId="0" borderId="9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24" fillId="0" borderId="0" xfId="0" applyFont="1" applyBorder="1" applyAlignment="1">
      <alignment wrapText="1"/>
    </xf>
    <xf numFmtId="0" fontId="24" fillId="0" borderId="80" xfId="0" applyFont="1" applyBorder="1" applyAlignment="1">
      <alignment wrapText="1"/>
    </xf>
    <xf numFmtId="0" fontId="19" fillId="0" borderId="46" xfId="0" applyFont="1" applyBorder="1" applyAlignment="1">
      <alignment wrapText="1"/>
    </xf>
    <xf numFmtId="0" fontId="19" fillId="0" borderId="47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41" xfId="0" applyFont="1" applyBorder="1" applyAlignment="1">
      <alignment wrapText="1"/>
    </xf>
    <xf numFmtId="0" fontId="19" fillId="0" borderId="41" xfId="0" applyFont="1" applyBorder="1" applyAlignment="1">
      <alignment wrapText="1"/>
    </xf>
    <xf numFmtId="0" fontId="55" fillId="0" borderId="93" xfId="0" applyFont="1" applyBorder="1" applyAlignment="1">
      <alignment horizontal="center" wrapText="1"/>
    </xf>
    <xf numFmtId="0" fontId="24" fillId="0" borderId="180" xfId="0" applyFont="1" applyBorder="1" applyAlignment="1">
      <alignment horizontal="center"/>
    </xf>
    <xf numFmtId="0" fontId="24" fillId="0" borderId="47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3" fontId="24" fillId="0" borderId="74" xfId="0" applyNumberFormat="1" applyFont="1" applyBorder="1" applyAlignment="1">
      <alignment horizontal="right"/>
    </xf>
    <xf numFmtId="3" fontId="24" fillId="0" borderId="72" xfId="0" applyNumberFormat="1" applyFont="1" applyBorder="1" applyAlignment="1">
      <alignment horizontal="right"/>
    </xf>
    <xf numFmtId="3" fontId="24" fillId="0" borderId="73" xfId="0" applyNumberFormat="1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24" fillId="0" borderId="80" xfId="0" applyFont="1" applyBorder="1" applyAlignment="1">
      <alignment horizontal="left" wrapText="1"/>
    </xf>
    <xf numFmtId="0" fontId="63" fillId="0" borderId="77" xfId="0" applyFont="1" applyBorder="1" applyAlignment="1">
      <alignment horizontal="center" wrapText="1"/>
    </xf>
    <xf numFmtId="0" fontId="46" fillId="0" borderId="144" xfId="0" applyFont="1" applyBorder="1" applyAlignment="1">
      <alignment wrapText="1"/>
    </xf>
    <xf numFmtId="0" fontId="0" fillId="0" borderId="77" xfId="0" applyBorder="1" applyAlignment="1">
      <alignment/>
    </xf>
    <xf numFmtId="0" fontId="24" fillId="0" borderId="149" xfId="0" applyFont="1" applyBorder="1" applyAlignment="1">
      <alignment horizontal="center"/>
    </xf>
    <xf numFmtId="0" fontId="55" fillId="0" borderId="58" xfId="0" applyFont="1" applyBorder="1" applyAlignment="1">
      <alignment horizontal="center" wrapText="1"/>
    </xf>
    <xf numFmtId="0" fontId="55" fillId="0" borderId="84" xfId="0" applyFont="1" applyBorder="1" applyAlignment="1">
      <alignment horizontal="center" wrapText="1"/>
    </xf>
    <xf numFmtId="0" fontId="55" fillId="0" borderId="128" xfId="0" applyFont="1" applyBorder="1" applyAlignment="1">
      <alignment horizontal="center" wrapText="1"/>
    </xf>
    <xf numFmtId="0" fontId="55" fillId="0" borderId="149" xfId="0" applyFont="1" applyBorder="1" applyAlignment="1">
      <alignment horizontal="center"/>
    </xf>
    <xf numFmtId="0" fontId="63" fillId="0" borderId="67" xfId="0" applyFont="1" applyBorder="1" applyAlignment="1">
      <alignment horizontal="center"/>
    </xf>
    <xf numFmtId="0" fontId="63" fillId="0" borderId="77" xfId="0" applyFont="1" applyBorder="1" applyAlignment="1">
      <alignment horizontal="center"/>
    </xf>
    <xf numFmtId="0" fontId="63" fillId="0" borderId="93" xfId="0" applyFont="1" applyBorder="1" applyAlignment="1">
      <alignment horizontal="center"/>
    </xf>
    <xf numFmtId="0" fontId="63" fillId="0" borderId="117" xfId="0" applyFont="1" applyBorder="1" applyAlignment="1">
      <alignment horizontal="center"/>
    </xf>
    <xf numFmtId="0" fontId="19" fillId="0" borderId="69" xfId="0" applyFont="1" applyBorder="1" applyAlignment="1">
      <alignment wrapText="1"/>
    </xf>
    <xf numFmtId="0" fontId="55" fillId="0" borderId="67" xfId="0" applyFont="1" applyBorder="1" applyAlignment="1">
      <alignment horizontal="center" wrapText="1"/>
    </xf>
    <xf numFmtId="0" fontId="24" fillId="0" borderId="78" xfId="0" applyFont="1" applyBorder="1" applyAlignment="1">
      <alignment wrapText="1"/>
    </xf>
    <xf numFmtId="0" fontId="39" fillId="0" borderId="79" xfId="0" applyFont="1" applyBorder="1" applyAlignment="1">
      <alignment horizontal="right"/>
    </xf>
    <xf numFmtId="0" fontId="24" fillId="0" borderId="144" xfId="0" applyFont="1" applyBorder="1" applyAlignment="1">
      <alignment wrapText="1"/>
    </xf>
    <xf numFmtId="0" fontId="24" fillId="0" borderId="117" xfId="0" applyFont="1" applyBorder="1" applyAlignment="1">
      <alignment wrapText="1"/>
    </xf>
    <xf numFmtId="0" fontId="0" fillId="0" borderId="78" xfId="0" applyBorder="1" applyAlignment="1">
      <alignment/>
    </xf>
    <xf numFmtId="0" fontId="0" fillId="0" borderId="123" xfId="0" applyBorder="1" applyAlignment="1">
      <alignment/>
    </xf>
    <xf numFmtId="3" fontId="19" fillId="24" borderId="133" xfId="0" applyNumberFormat="1" applyFont="1" applyFill="1" applyBorder="1" applyAlignment="1">
      <alignment/>
    </xf>
    <xf numFmtId="0" fontId="56" fillId="24" borderId="171" xfId="0" applyFont="1" applyFill="1" applyBorder="1" applyAlignment="1">
      <alignment/>
    </xf>
    <xf numFmtId="0" fontId="19" fillId="24" borderId="239" xfId="0" applyFont="1" applyFill="1" applyBorder="1" applyAlignment="1">
      <alignment/>
    </xf>
    <xf numFmtId="0" fontId="22" fillId="0" borderId="77" xfId="0" applyFont="1" applyBorder="1" applyAlignment="1">
      <alignment wrapText="1"/>
    </xf>
    <xf numFmtId="3" fontId="24" fillId="0" borderId="240" xfId="0" applyNumberFormat="1" applyFont="1" applyBorder="1" applyAlignment="1">
      <alignment/>
    </xf>
    <xf numFmtId="0" fontId="19" fillId="24" borderId="179" xfId="0" applyFont="1" applyFill="1" applyBorder="1" applyAlignment="1">
      <alignment/>
    </xf>
    <xf numFmtId="0" fontId="68" fillId="0" borderId="123" xfId="0" applyFont="1" applyBorder="1" applyAlignment="1">
      <alignment horizontal="center"/>
    </xf>
    <xf numFmtId="0" fontId="69" fillId="0" borderId="171" xfId="0" applyFont="1" applyBorder="1" applyAlignment="1">
      <alignment horizontal="center"/>
    </xf>
    <xf numFmtId="0" fontId="69" fillId="0" borderId="133" xfId="0" applyFont="1" applyBorder="1" applyAlignment="1">
      <alignment horizontal="center"/>
    </xf>
    <xf numFmtId="0" fontId="69" fillId="0" borderId="80" xfId="0" applyFont="1" applyBorder="1" applyAlignment="1">
      <alignment horizontal="center"/>
    </xf>
    <xf numFmtId="0" fontId="69" fillId="0" borderId="110" xfId="0" applyFont="1" applyBorder="1" applyAlignment="1">
      <alignment horizontal="center"/>
    </xf>
    <xf numFmtId="0" fontId="69" fillId="0" borderId="78" xfId="0" applyFont="1" applyBorder="1" applyAlignment="1">
      <alignment horizontal="center"/>
    </xf>
    <xf numFmtId="0" fontId="39" fillId="0" borderId="241" xfId="0" applyFont="1" applyBorder="1" applyAlignment="1">
      <alignment horizontal="right"/>
    </xf>
    <xf numFmtId="0" fontId="24" fillId="0" borderId="242" xfId="0" applyFont="1" applyBorder="1" applyAlignment="1">
      <alignment/>
    </xf>
    <xf numFmtId="3" fontId="24" fillId="0" borderId="243" xfId="0" applyNumberFormat="1" applyFont="1" applyBorder="1" applyAlignment="1">
      <alignment/>
    </xf>
    <xf numFmtId="3" fontId="24" fillId="0" borderId="244" xfId="0" applyNumberFormat="1" applyFont="1" applyBorder="1" applyAlignment="1">
      <alignment/>
    </xf>
    <xf numFmtId="3" fontId="19" fillId="0" borderId="171" xfId="0" applyNumberFormat="1" applyFont="1" applyBorder="1" applyAlignment="1">
      <alignment/>
    </xf>
    <xf numFmtId="0" fontId="24" fillId="0" borderId="245" xfId="0" applyFont="1" applyBorder="1" applyAlignment="1">
      <alignment wrapText="1"/>
    </xf>
    <xf numFmtId="3" fontId="24" fillId="0" borderId="246" xfId="0" applyNumberFormat="1" applyFont="1" applyBorder="1" applyAlignment="1">
      <alignment/>
    </xf>
    <xf numFmtId="3" fontId="24" fillId="0" borderId="247" xfId="0" applyNumberFormat="1" applyFont="1" applyBorder="1" applyAlignment="1">
      <alignment/>
    </xf>
    <xf numFmtId="0" fontId="24" fillId="0" borderId="245" xfId="0" applyFont="1" applyBorder="1" applyAlignment="1">
      <alignment/>
    </xf>
    <xf numFmtId="0" fontId="55" fillId="24" borderId="248" xfId="0" applyFont="1" applyFill="1" applyBorder="1" applyAlignment="1">
      <alignment/>
    </xf>
    <xf numFmtId="3" fontId="19" fillId="24" borderId="142" xfId="0" applyNumberFormat="1" applyFont="1" applyFill="1" applyBorder="1" applyAlignment="1">
      <alignment/>
    </xf>
    <xf numFmtId="3" fontId="19" fillId="0" borderId="249" xfId="0" applyNumberFormat="1" applyFont="1" applyBorder="1" applyAlignment="1">
      <alignment/>
    </xf>
    <xf numFmtId="3" fontId="19" fillId="24" borderId="216" xfId="0" applyNumberFormat="1" applyFont="1" applyFill="1" applyBorder="1" applyAlignment="1">
      <alignment/>
    </xf>
    <xf numFmtId="0" fontId="24" fillId="24" borderId="242" xfId="0" applyFont="1" applyFill="1" applyBorder="1" applyAlignment="1">
      <alignment/>
    </xf>
    <xf numFmtId="3" fontId="19" fillId="24" borderId="243" xfId="0" applyNumberFormat="1" applyFont="1" applyFill="1" applyBorder="1" applyAlignment="1">
      <alignment/>
    </xf>
    <xf numFmtId="3" fontId="19" fillId="24" borderId="244" xfId="0" applyNumberFormat="1" applyFont="1" applyFill="1" applyBorder="1" applyAlignment="1">
      <alignment/>
    </xf>
    <xf numFmtId="0" fontId="55" fillId="0" borderId="182" xfId="0" applyFont="1" applyBorder="1" applyAlignment="1">
      <alignment wrapText="1"/>
    </xf>
    <xf numFmtId="0" fontId="39" fillId="0" borderId="250" xfId="0" applyFont="1" applyBorder="1" applyAlignment="1">
      <alignment wrapText="1"/>
    </xf>
    <xf numFmtId="0" fontId="39" fillId="0" borderId="251" xfId="0" applyFont="1" applyBorder="1" applyAlignment="1">
      <alignment horizontal="right"/>
    </xf>
    <xf numFmtId="0" fontId="24" fillId="24" borderId="252" xfId="0" applyFont="1" applyFill="1" applyBorder="1" applyAlignment="1">
      <alignment/>
    </xf>
    <xf numFmtId="3" fontId="24" fillId="24" borderId="253" xfId="0" applyNumberFormat="1" applyFont="1" applyFill="1" applyBorder="1" applyAlignment="1">
      <alignment/>
    </xf>
    <xf numFmtId="3" fontId="24" fillId="24" borderId="254" xfId="0" applyNumberFormat="1" applyFont="1" applyFill="1" applyBorder="1" applyAlignment="1">
      <alignment/>
    </xf>
    <xf numFmtId="0" fontId="24" fillId="24" borderId="252" xfId="0" applyFont="1" applyFill="1" applyBorder="1" applyAlignment="1">
      <alignment wrapText="1"/>
    </xf>
    <xf numFmtId="3" fontId="68" fillId="0" borderId="69" xfId="0" applyNumberFormat="1" applyFont="1" applyBorder="1" applyAlignment="1">
      <alignment horizontal="center"/>
    </xf>
    <xf numFmtId="3" fontId="68" fillId="0" borderId="63" xfId="0" applyNumberFormat="1" applyFont="1" applyBorder="1" applyAlignment="1">
      <alignment horizontal="center"/>
    </xf>
    <xf numFmtId="3" fontId="68" fillId="0" borderId="72" xfId="0" applyNumberFormat="1" applyFont="1" applyBorder="1" applyAlignment="1">
      <alignment horizontal="center"/>
    </xf>
    <xf numFmtId="3" fontId="19" fillId="0" borderId="255" xfId="0" applyNumberFormat="1" applyFont="1" applyBorder="1" applyAlignment="1">
      <alignment/>
    </xf>
    <xf numFmtId="3" fontId="19" fillId="0" borderId="241" xfId="0" applyNumberFormat="1" applyFont="1" applyBorder="1" applyAlignment="1">
      <alignment/>
    </xf>
    <xf numFmtId="0" fontId="24" fillId="0" borderId="242" xfId="0" applyFont="1" applyBorder="1" applyAlignment="1">
      <alignment wrapText="1"/>
    </xf>
    <xf numFmtId="3" fontId="19" fillId="24" borderId="70" xfId="0" applyNumberFormat="1" applyFont="1" applyFill="1" applyBorder="1" applyAlignment="1">
      <alignment/>
    </xf>
    <xf numFmtId="3" fontId="24" fillId="0" borderId="256" xfId="0" applyNumberFormat="1" applyFont="1" applyBorder="1" applyAlignment="1">
      <alignment/>
    </xf>
    <xf numFmtId="3" fontId="24" fillId="0" borderId="251" xfId="0" applyNumberFormat="1" applyFont="1" applyBorder="1" applyAlignment="1">
      <alignment/>
    </xf>
    <xf numFmtId="0" fontId="55" fillId="24" borderId="239" xfId="0" applyFont="1" applyFill="1" applyBorder="1" applyAlignment="1">
      <alignment/>
    </xf>
    <xf numFmtId="3" fontId="24" fillId="0" borderId="125" xfId="0" applyNumberFormat="1" applyFont="1" applyBorder="1" applyAlignment="1">
      <alignment/>
    </xf>
    <xf numFmtId="0" fontId="24" fillId="24" borderId="257" xfId="0" applyFont="1" applyFill="1" applyBorder="1" applyAlignment="1">
      <alignment/>
    </xf>
    <xf numFmtId="3" fontId="24" fillId="0" borderId="255" xfId="0" applyNumberFormat="1" applyFont="1" applyBorder="1" applyAlignment="1">
      <alignment/>
    </xf>
    <xf numFmtId="3" fontId="24" fillId="0" borderId="241" xfId="0" applyNumberFormat="1" applyFont="1" applyBorder="1" applyAlignment="1">
      <alignment/>
    </xf>
    <xf numFmtId="0" fontId="24" fillId="0" borderId="258" xfId="0" applyFont="1" applyBorder="1" applyAlignment="1">
      <alignment/>
    </xf>
    <xf numFmtId="0" fontId="39" fillId="0" borderId="259" xfId="0" applyFont="1" applyBorder="1" applyAlignment="1">
      <alignment horizontal="right"/>
    </xf>
    <xf numFmtId="3" fontId="24" fillId="0" borderId="82" xfId="0" applyNumberFormat="1" applyFont="1" applyBorder="1" applyAlignment="1">
      <alignment/>
    </xf>
    <xf numFmtId="3" fontId="24" fillId="0" borderId="165" xfId="0" applyNumberFormat="1" applyFont="1" applyBorder="1" applyAlignment="1">
      <alignment/>
    </xf>
    <xf numFmtId="3" fontId="24" fillId="0" borderId="260" xfId="0" applyNumberFormat="1" applyFont="1" applyBorder="1" applyAlignment="1">
      <alignment/>
    </xf>
    <xf numFmtId="0" fontId="39" fillId="0" borderId="78" xfId="0" applyFont="1" applyBorder="1" applyAlignment="1">
      <alignment horizontal="center" wrapText="1"/>
    </xf>
    <xf numFmtId="0" fontId="39" fillId="0" borderId="79" xfId="0" applyFont="1" applyBorder="1" applyAlignment="1">
      <alignment horizontal="center" wrapText="1"/>
    </xf>
    <xf numFmtId="0" fontId="39" fillId="0" borderId="77" xfId="0" applyFont="1" applyBorder="1" applyAlignment="1">
      <alignment horizontal="center" wrapText="1"/>
    </xf>
    <xf numFmtId="0" fontId="68" fillId="0" borderId="78" xfId="0" applyFont="1" applyBorder="1" applyAlignment="1">
      <alignment horizontal="center"/>
    </xf>
    <xf numFmtId="3" fontId="68" fillId="0" borderId="70" xfId="0" applyNumberFormat="1" applyFont="1" applyBorder="1" applyAlignment="1">
      <alignment horizontal="center"/>
    </xf>
    <xf numFmtId="3" fontId="68" fillId="0" borderId="78" xfId="0" applyNumberFormat="1" applyFont="1" applyBorder="1" applyAlignment="1">
      <alignment horizontal="center"/>
    </xf>
    <xf numFmtId="3" fontId="68" fillId="0" borderId="74" xfId="0" applyNumberFormat="1" applyFont="1" applyBorder="1" applyAlignment="1">
      <alignment horizontal="center"/>
    </xf>
    <xf numFmtId="0" fontId="24" fillId="0" borderId="42" xfId="0" applyFont="1" applyBorder="1" applyAlignment="1">
      <alignment horizontal="center" vertical="center" wrapText="1"/>
    </xf>
    <xf numFmtId="0" fontId="39" fillId="0" borderId="144" xfId="0" applyFont="1" applyBorder="1" applyAlignment="1">
      <alignment wrapText="1"/>
    </xf>
    <xf numFmtId="3" fontId="19" fillId="0" borderId="117" xfId="0" applyNumberFormat="1" applyFont="1" applyBorder="1" applyAlignment="1">
      <alignment/>
    </xf>
    <xf numFmtId="0" fontId="24" fillId="0" borderId="123" xfId="0" applyFont="1" applyBorder="1" applyAlignment="1">
      <alignment horizontal="center" wrapText="1"/>
    </xf>
    <xf numFmtId="3" fontId="68" fillId="0" borderId="123" xfId="0" applyNumberFormat="1" applyFont="1" applyBorder="1" applyAlignment="1">
      <alignment horizontal="center"/>
    </xf>
    <xf numFmtId="3" fontId="19" fillId="0" borderId="123" xfId="0" applyNumberFormat="1" applyFont="1" applyBorder="1" applyAlignment="1">
      <alignment/>
    </xf>
    <xf numFmtId="3" fontId="24" fillId="24" borderId="251" xfId="0" applyNumberFormat="1" applyFont="1" applyFill="1" applyBorder="1" applyAlignment="1">
      <alignment/>
    </xf>
    <xf numFmtId="0" fontId="24" fillId="0" borderId="109" xfId="0" applyFont="1" applyBorder="1" applyAlignment="1">
      <alignment horizontal="center" wrapText="1"/>
    </xf>
    <xf numFmtId="3" fontId="24" fillId="0" borderId="154" xfId="0" applyNumberFormat="1" applyFont="1" applyBorder="1" applyAlignment="1">
      <alignment/>
    </xf>
    <xf numFmtId="0" fontId="24" fillId="24" borderId="0" xfId="0" applyFont="1" applyFill="1" applyBorder="1" applyAlignment="1">
      <alignment/>
    </xf>
    <xf numFmtId="3" fontId="24" fillId="0" borderId="261" xfId="0" applyNumberFormat="1" applyFont="1" applyBorder="1" applyAlignment="1">
      <alignment/>
    </xf>
    <xf numFmtId="0" fontId="33" fillId="0" borderId="62" xfId="0" applyFont="1" applyBorder="1" applyAlignment="1">
      <alignment wrapText="1"/>
    </xf>
    <xf numFmtId="0" fontId="33" fillId="0" borderId="262" xfId="0" applyFont="1" applyBorder="1" applyAlignment="1">
      <alignment wrapText="1"/>
    </xf>
    <xf numFmtId="0" fontId="19" fillId="0" borderId="82" xfId="0" applyFont="1" applyBorder="1" applyAlignment="1">
      <alignment wrapText="1"/>
    </xf>
    <xf numFmtId="0" fontId="19" fillId="0" borderId="263" xfId="0" applyFont="1" applyBorder="1" applyAlignment="1">
      <alignment/>
    </xf>
    <xf numFmtId="0" fontId="36" fillId="0" borderId="187" xfId="0" applyFont="1" applyBorder="1" applyAlignment="1">
      <alignment wrapText="1"/>
    </xf>
    <xf numFmtId="0" fontId="33" fillId="0" borderId="81" xfId="0" applyFont="1" applyBorder="1" applyAlignment="1">
      <alignment wrapText="1"/>
    </xf>
    <xf numFmtId="0" fontId="36" fillId="0" borderId="159" xfId="0" applyFont="1" applyBorder="1" applyAlignment="1">
      <alignment wrapText="1"/>
    </xf>
    <xf numFmtId="0" fontId="36" fillId="0" borderId="189" xfId="0" applyFont="1" applyBorder="1" applyAlignment="1">
      <alignment wrapText="1"/>
    </xf>
    <xf numFmtId="0" fontId="39" fillId="0" borderId="261" xfId="0" applyFont="1" applyBorder="1" applyAlignment="1">
      <alignment horizontal="right"/>
    </xf>
    <xf numFmtId="0" fontId="24" fillId="24" borderId="264" xfId="0" applyFont="1" applyFill="1" applyBorder="1" applyAlignment="1">
      <alignment/>
    </xf>
    <xf numFmtId="3" fontId="24" fillId="0" borderId="265" xfId="0" applyNumberFormat="1" applyFont="1" applyBorder="1" applyAlignment="1">
      <alignment/>
    </xf>
    <xf numFmtId="0" fontId="55" fillId="0" borderId="124" xfId="0" applyFont="1" applyBorder="1" applyAlignment="1">
      <alignment horizontal="center"/>
    </xf>
    <xf numFmtId="0" fontId="55" fillId="0" borderId="123" xfId="0" applyFont="1" applyBorder="1" applyAlignment="1">
      <alignment horizontal="center"/>
    </xf>
    <xf numFmtId="3" fontId="19" fillId="0" borderId="78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0" fontId="55" fillId="0" borderId="74" xfId="0" applyFont="1" applyBorder="1" applyAlignment="1">
      <alignment horizontal="center"/>
    </xf>
    <xf numFmtId="3" fontId="24" fillId="0" borderId="203" xfId="0" applyNumberFormat="1" applyFont="1" applyBorder="1" applyAlignment="1">
      <alignment/>
    </xf>
    <xf numFmtId="0" fontId="55" fillId="0" borderId="78" xfId="0" applyFont="1" applyBorder="1" applyAlignment="1">
      <alignment horizontal="center"/>
    </xf>
    <xf numFmtId="3" fontId="19" fillId="0" borderId="145" xfId="0" applyNumberFormat="1" applyFont="1" applyBorder="1" applyAlignment="1">
      <alignment/>
    </xf>
    <xf numFmtId="0" fontId="24" fillId="0" borderId="144" xfId="0" applyFont="1" applyBorder="1" applyAlignment="1">
      <alignment/>
    </xf>
    <xf numFmtId="3" fontId="19" fillId="0" borderId="205" xfId="0" applyNumberFormat="1" applyFont="1" applyBorder="1" applyAlignment="1">
      <alignment/>
    </xf>
    <xf numFmtId="3" fontId="19" fillId="0" borderId="250" xfId="0" applyNumberFormat="1" applyFont="1" applyBorder="1" applyAlignment="1">
      <alignment/>
    </xf>
    <xf numFmtId="0" fontId="24" fillId="0" borderId="93" xfId="0" applyFont="1" applyBorder="1" applyAlignment="1">
      <alignment/>
    </xf>
    <xf numFmtId="0" fontId="19" fillId="0" borderId="77" xfId="0" applyFont="1" applyBorder="1" applyAlignment="1">
      <alignment/>
    </xf>
    <xf numFmtId="0" fontId="55" fillId="0" borderId="70" xfId="0" applyFont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117" xfId="0" applyFont="1" applyBorder="1" applyAlignment="1">
      <alignment/>
    </xf>
    <xf numFmtId="3" fontId="19" fillId="0" borderId="266" xfId="0" applyNumberFormat="1" applyFont="1" applyBorder="1" applyAlignment="1">
      <alignment/>
    </xf>
    <xf numFmtId="0" fontId="24" fillId="0" borderId="67" xfId="0" applyFont="1" applyBorder="1" applyAlignment="1">
      <alignment horizontal="left"/>
    </xf>
    <xf numFmtId="0" fontId="19" fillId="0" borderId="69" xfId="0" applyFont="1" applyFill="1" applyBorder="1" applyAlignment="1">
      <alignment/>
    </xf>
    <xf numFmtId="0" fontId="19" fillId="0" borderId="63" xfId="0" applyFont="1" applyBorder="1" applyAlignment="1">
      <alignment horizontal="right"/>
    </xf>
    <xf numFmtId="0" fontId="19" fillId="0" borderId="84" xfId="0" applyFont="1" applyBorder="1" applyAlignment="1">
      <alignment horizontal="right"/>
    </xf>
    <xf numFmtId="0" fontId="19" fillId="0" borderId="78" xfId="0" applyFont="1" applyBorder="1" applyAlignment="1">
      <alignment horizontal="right"/>
    </xf>
    <xf numFmtId="0" fontId="24" fillId="0" borderId="149" xfId="0" applyFont="1" applyBorder="1" applyAlignment="1">
      <alignment/>
    </xf>
    <xf numFmtId="0" fontId="24" fillId="0" borderId="152" xfId="0" applyFont="1" applyBorder="1" applyAlignment="1">
      <alignment/>
    </xf>
    <xf numFmtId="0" fontId="24" fillId="0" borderId="84" xfId="0" applyFont="1" applyBorder="1" applyAlignment="1">
      <alignment horizontal="right"/>
    </xf>
    <xf numFmtId="0" fontId="24" fillId="0" borderId="77" xfId="0" applyFont="1" applyBorder="1" applyAlignment="1">
      <alignment horizontal="right"/>
    </xf>
    <xf numFmtId="0" fontId="19" fillId="0" borderId="79" xfId="0" applyFont="1" applyBorder="1" applyAlignment="1">
      <alignment horizontal="right"/>
    </xf>
    <xf numFmtId="0" fontId="39" fillId="0" borderId="185" xfId="0" applyFont="1" applyBorder="1" applyAlignment="1">
      <alignment horizontal="center"/>
    </xf>
    <xf numFmtId="0" fontId="24" fillId="0" borderId="89" xfId="0" applyFont="1" applyBorder="1" applyAlignment="1">
      <alignment horizontal="center"/>
    </xf>
    <xf numFmtId="0" fontId="24" fillId="0" borderId="28" xfId="0" applyFont="1" applyBorder="1" applyAlignment="1">
      <alignment horizontal="center" wrapText="1"/>
    </xf>
    <xf numFmtId="0" fontId="24" fillId="0" borderId="103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3" fontId="24" fillId="24" borderId="56" xfId="0" applyNumberFormat="1" applyFont="1" applyFill="1" applyBorder="1" applyAlignment="1">
      <alignment/>
    </xf>
    <xf numFmtId="3" fontId="19" fillId="0" borderId="56" xfId="0" applyNumberFormat="1" applyFont="1" applyBorder="1" applyAlignment="1">
      <alignment/>
    </xf>
    <xf numFmtId="3" fontId="19" fillId="24" borderId="56" xfId="0" applyNumberFormat="1" applyFont="1" applyFill="1" applyBorder="1" applyAlignment="1">
      <alignment/>
    </xf>
    <xf numFmtId="3" fontId="19" fillId="24" borderId="51" xfId="0" applyNumberFormat="1" applyFont="1" applyFill="1" applyBorder="1" applyAlignment="1">
      <alignment/>
    </xf>
    <xf numFmtId="0" fontId="24" fillId="0" borderId="123" xfId="0" applyFont="1" applyBorder="1" applyAlignment="1">
      <alignment horizontal="center"/>
    </xf>
    <xf numFmtId="0" fontId="24" fillId="0" borderId="154" xfId="0" applyFont="1" applyBorder="1" applyAlignment="1">
      <alignment horizontal="center"/>
    </xf>
    <xf numFmtId="3" fontId="24" fillId="0" borderId="17" xfId="0" applyNumberFormat="1" applyFont="1" applyBorder="1" applyAlignment="1">
      <alignment/>
    </xf>
    <xf numFmtId="3" fontId="24" fillId="0" borderId="56" xfId="0" applyNumberFormat="1" applyFont="1" applyBorder="1" applyAlignment="1">
      <alignment/>
    </xf>
    <xf numFmtId="3" fontId="24" fillId="24" borderId="51" xfId="0" applyNumberFormat="1" applyFont="1" applyFill="1" applyBorder="1" applyAlignment="1">
      <alignment/>
    </xf>
    <xf numFmtId="3" fontId="19" fillId="0" borderId="267" xfId="0" applyNumberFormat="1" applyFont="1" applyBorder="1" applyAlignment="1">
      <alignment/>
    </xf>
    <xf numFmtId="3" fontId="19" fillId="0" borderId="268" xfId="0" applyNumberFormat="1" applyFont="1" applyBorder="1" applyAlignment="1">
      <alignment/>
    </xf>
    <xf numFmtId="3" fontId="19" fillId="0" borderId="269" xfId="0" applyNumberFormat="1" applyFont="1" applyBorder="1" applyAlignment="1">
      <alignment/>
    </xf>
    <xf numFmtId="0" fontId="39" fillId="0" borderId="115" xfId="0" applyFont="1" applyBorder="1" applyAlignment="1">
      <alignment wrapText="1"/>
    </xf>
    <xf numFmtId="0" fontId="24" fillId="24" borderId="69" xfId="0" applyFont="1" applyFill="1" applyBorder="1" applyAlignment="1">
      <alignment/>
    </xf>
    <xf numFmtId="3" fontId="24" fillId="24" borderId="63" xfId="0" applyNumberFormat="1" applyFont="1" applyFill="1" applyBorder="1" applyAlignment="1">
      <alignment/>
    </xf>
    <xf numFmtId="3" fontId="24" fillId="24" borderId="46" xfId="0" applyNumberFormat="1" applyFont="1" applyFill="1" applyBorder="1" applyAlignment="1">
      <alignment/>
    </xf>
    <xf numFmtId="0" fontId="39" fillId="0" borderId="66" xfId="0" applyFont="1" applyBorder="1" applyAlignment="1">
      <alignment/>
    </xf>
    <xf numFmtId="3" fontId="19" fillId="0" borderId="86" xfId="0" applyNumberFormat="1" applyFont="1" applyBorder="1" applyAlignment="1">
      <alignment/>
    </xf>
    <xf numFmtId="3" fontId="19" fillId="0" borderId="269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24" fillId="0" borderId="103" xfId="0" applyNumberFormat="1" applyFont="1" applyBorder="1" applyAlignment="1">
      <alignment/>
    </xf>
    <xf numFmtId="3" fontId="24" fillId="24" borderId="149" xfId="0" applyNumberFormat="1" applyFont="1" applyFill="1" applyBorder="1" applyAlignment="1">
      <alignment/>
    </xf>
    <xf numFmtId="0" fontId="24" fillId="0" borderId="67" xfId="0" applyFont="1" applyBorder="1" applyAlignment="1">
      <alignment horizontal="center"/>
    </xf>
    <xf numFmtId="0" fontId="55" fillId="0" borderId="77" xfId="0" applyFont="1" applyBorder="1" applyAlignment="1">
      <alignment wrapText="1"/>
    </xf>
    <xf numFmtId="3" fontId="24" fillId="24" borderId="77" xfId="0" applyNumberFormat="1" applyFont="1" applyFill="1" applyBorder="1" applyAlignment="1">
      <alignment/>
    </xf>
    <xf numFmtId="3" fontId="24" fillId="24" borderId="93" xfId="0" applyNumberFormat="1" applyFont="1" applyFill="1" applyBorder="1" applyAlignment="1">
      <alignment/>
    </xf>
    <xf numFmtId="0" fontId="24" fillId="0" borderId="70" xfId="0" applyFont="1" applyBorder="1" applyAlignment="1">
      <alignment horizontal="center"/>
    </xf>
    <xf numFmtId="0" fontId="19" fillId="0" borderId="84" xfId="0" applyFont="1" applyBorder="1" applyAlignment="1">
      <alignment/>
    </xf>
    <xf numFmtId="3" fontId="24" fillId="24" borderId="79" xfId="0" applyNumberFormat="1" applyFont="1" applyFill="1" applyBorder="1" applyAlignment="1">
      <alignment/>
    </xf>
    <xf numFmtId="3" fontId="24" fillId="24" borderId="0" xfId="0" applyNumberFormat="1" applyFont="1" applyFill="1" applyBorder="1" applyAlignment="1">
      <alignment/>
    </xf>
    <xf numFmtId="3" fontId="24" fillId="24" borderId="123" xfId="0" applyNumberFormat="1" applyFont="1" applyFill="1" applyBorder="1" applyAlignment="1">
      <alignment/>
    </xf>
    <xf numFmtId="0" fontId="24" fillId="0" borderId="69" xfId="0" applyFont="1" applyBorder="1" applyAlignment="1">
      <alignment horizontal="center"/>
    </xf>
    <xf numFmtId="0" fontId="33" fillId="0" borderId="64" xfId="0" applyFont="1" applyBorder="1" applyAlignment="1">
      <alignment wrapText="1"/>
    </xf>
    <xf numFmtId="0" fontId="55" fillId="0" borderId="66" xfId="0" applyFont="1" applyBorder="1" applyAlignment="1">
      <alignment wrapText="1"/>
    </xf>
    <xf numFmtId="0" fontId="56" fillId="0" borderId="67" xfId="0" applyFont="1" applyBorder="1" applyAlignment="1">
      <alignment/>
    </xf>
    <xf numFmtId="3" fontId="19" fillId="0" borderId="270" xfId="0" applyNumberFormat="1" applyFont="1" applyBorder="1" applyAlignment="1">
      <alignment/>
    </xf>
    <xf numFmtId="3" fontId="19" fillId="0" borderId="176" xfId="0" applyNumberFormat="1" applyFont="1" applyBorder="1" applyAlignment="1">
      <alignment/>
    </xf>
    <xf numFmtId="0" fontId="55" fillId="0" borderId="163" xfId="0" applyFont="1" applyBorder="1" applyAlignment="1">
      <alignment wrapText="1"/>
    </xf>
    <xf numFmtId="0" fontId="3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0" fillId="0" borderId="0" xfId="0" applyFont="1" applyBorder="1" applyAlignment="1">
      <alignment horizontal="center"/>
    </xf>
    <xf numFmtId="0" fontId="19" fillId="0" borderId="125" xfId="0" applyFont="1" applyBorder="1" applyAlignment="1">
      <alignment/>
    </xf>
    <xf numFmtId="0" fontId="24" fillId="0" borderId="271" xfId="0" applyFont="1" applyBorder="1" applyAlignment="1">
      <alignment horizontal="center"/>
    </xf>
    <xf numFmtId="0" fontId="24" fillId="0" borderId="177" xfId="0" applyFont="1" applyBorder="1" applyAlignment="1">
      <alignment horizontal="center" wrapText="1"/>
    </xf>
    <xf numFmtId="0" fontId="24" fillId="0" borderId="193" xfId="0" applyFont="1" applyBorder="1" applyAlignment="1">
      <alignment horizontal="center"/>
    </xf>
    <xf numFmtId="0" fontId="24" fillId="0" borderId="178" xfId="0" applyFont="1" applyBorder="1" applyAlignment="1">
      <alignment horizontal="center"/>
    </xf>
    <xf numFmtId="0" fontId="24" fillId="0" borderId="197" xfId="0" applyFont="1" applyBorder="1" applyAlignment="1">
      <alignment horizontal="center"/>
    </xf>
    <xf numFmtId="0" fontId="19" fillId="0" borderId="70" xfId="0" applyFont="1" applyBorder="1" applyAlignment="1">
      <alignment/>
    </xf>
    <xf numFmtId="0" fontId="24" fillId="0" borderId="147" xfId="0" applyFont="1" applyBorder="1" applyAlignment="1">
      <alignment/>
    </xf>
    <xf numFmtId="3" fontId="19" fillId="0" borderId="240" xfId="0" applyNumberFormat="1" applyFont="1" applyBorder="1" applyAlignment="1">
      <alignment/>
    </xf>
    <xf numFmtId="0" fontId="19" fillId="0" borderId="80" xfId="0" applyFont="1" applyBorder="1" applyAlignment="1">
      <alignment/>
    </xf>
    <xf numFmtId="0" fontId="24" fillId="0" borderId="272" xfId="0" applyFont="1" applyBorder="1" applyAlignment="1">
      <alignment/>
    </xf>
    <xf numFmtId="3" fontId="24" fillId="0" borderId="272" xfId="0" applyNumberFormat="1" applyFont="1" applyBorder="1" applyAlignment="1">
      <alignment/>
    </xf>
    <xf numFmtId="3" fontId="19" fillId="0" borderId="273" xfId="0" applyNumberFormat="1" applyFont="1" applyBorder="1" applyAlignment="1">
      <alignment/>
    </xf>
    <xf numFmtId="3" fontId="19" fillId="24" borderId="112" xfId="0" applyNumberFormat="1" applyFont="1" applyFill="1" applyBorder="1" applyAlignment="1">
      <alignment/>
    </xf>
    <xf numFmtId="3" fontId="19" fillId="24" borderId="76" xfId="0" applyNumberFormat="1" applyFont="1" applyFill="1" applyBorder="1" applyAlignment="1">
      <alignment/>
    </xf>
    <xf numFmtId="3" fontId="19" fillId="24" borderId="78" xfId="0" applyNumberFormat="1" applyFont="1" applyFill="1" applyBorder="1" applyAlignment="1">
      <alignment/>
    </xf>
    <xf numFmtId="0" fontId="19" fillId="0" borderId="147" xfId="0" applyFont="1" applyBorder="1" applyAlignment="1">
      <alignment vertical="center"/>
    </xf>
    <xf numFmtId="0" fontId="24" fillId="0" borderId="274" xfId="0" applyFont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19" fillId="0" borderId="70" xfId="0" applyFont="1" applyBorder="1" applyAlignment="1">
      <alignment wrapText="1"/>
    </xf>
    <xf numFmtId="0" fontId="33" fillId="0" borderId="67" xfId="0" applyFont="1" applyBorder="1" applyAlignment="1">
      <alignment horizontal="justify" wrapText="1"/>
    </xf>
    <xf numFmtId="0" fontId="24" fillId="0" borderId="275" xfId="0" applyFont="1" applyBorder="1" applyAlignment="1">
      <alignment horizontal="center" vertical="center"/>
    </xf>
    <xf numFmtId="0" fontId="31" fillId="0" borderId="159" xfId="0" applyFont="1" applyBorder="1" applyAlignment="1">
      <alignment horizontal="right"/>
    </xf>
    <xf numFmtId="0" fontId="31" fillId="0" borderId="187" xfId="0" applyFont="1" applyBorder="1" applyAlignment="1">
      <alignment horizontal="right"/>
    </xf>
    <xf numFmtId="0" fontId="31" fillId="0" borderId="189" xfId="0" applyFont="1" applyBorder="1" applyAlignment="1">
      <alignment horizontal="right"/>
    </xf>
    <xf numFmtId="0" fontId="46" fillId="0" borderId="62" xfId="0" applyFont="1" applyBorder="1" applyAlignment="1">
      <alignment horizontal="right"/>
    </xf>
    <xf numFmtId="0" fontId="24" fillId="0" borderId="110" xfId="0" applyFont="1" applyBorder="1" applyAlignment="1">
      <alignment horizontal="center" vertical="center"/>
    </xf>
    <xf numFmtId="3" fontId="19" fillId="0" borderId="26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24" fillId="0" borderId="15" xfId="0" applyNumberFormat="1" applyFont="1" applyBorder="1" applyAlignment="1">
      <alignment horizontal="right" vertical="center"/>
    </xf>
    <xf numFmtId="3" fontId="24" fillId="0" borderId="216" xfId="0" applyNumberFormat="1" applyFont="1" applyBorder="1" applyAlignment="1">
      <alignment/>
    </xf>
    <xf numFmtId="0" fontId="24" fillId="0" borderId="2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3" fontId="32" fillId="0" borderId="2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19" fillId="0" borderId="43" xfId="0" applyNumberFormat="1" applyFont="1" applyBorder="1" applyAlignment="1">
      <alignment horizontal="right"/>
    </xf>
    <xf numFmtId="0" fontId="19" fillId="0" borderId="67" xfId="0" applyFont="1" applyBorder="1" applyAlignment="1">
      <alignment wrapText="1"/>
    </xf>
    <xf numFmtId="0" fontId="24" fillId="0" borderId="195" xfId="0" applyFont="1" applyBorder="1" applyAlignment="1">
      <alignment/>
    </xf>
    <xf numFmtId="0" fontId="24" fillId="0" borderId="26" xfId="0" applyFont="1" applyBorder="1" applyAlignment="1">
      <alignment/>
    </xf>
    <xf numFmtId="3" fontId="31" fillId="0" borderId="46" xfId="0" applyNumberFormat="1" applyFont="1" applyBorder="1" applyAlignment="1">
      <alignment horizontal="right"/>
    </xf>
    <xf numFmtId="3" fontId="31" fillId="0" borderId="47" xfId="0" applyNumberFormat="1" applyFont="1" applyBorder="1" applyAlignment="1">
      <alignment horizontal="right"/>
    </xf>
    <xf numFmtId="0" fontId="24" fillId="0" borderId="84" xfId="0" applyFont="1" applyBorder="1" applyAlignment="1">
      <alignment horizontal="center" vertical="center"/>
    </xf>
    <xf numFmtId="0" fontId="19" fillId="0" borderId="108" xfId="0" applyFont="1" applyBorder="1" applyAlignment="1">
      <alignment wrapText="1"/>
    </xf>
    <xf numFmtId="0" fontId="19" fillId="0" borderId="240" xfId="0" applyFont="1" applyBorder="1" applyAlignment="1">
      <alignment wrapText="1"/>
    </xf>
    <xf numFmtId="0" fontId="24" fillId="0" borderId="77" xfId="0" applyFont="1" applyBorder="1" applyAlignment="1">
      <alignment horizontal="center" wrapText="1" shrinkToFit="1"/>
    </xf>
    <xf numFmtId="0" fontId="24" fillId="0" borderId="77" xfId="0" applyFont="1" applyBorder="1" applyAlignment="1">
      <alignment vertical="center"/>
    </xf>
    <xf numFmtId="0" fontId="24" fillId="0" borderId="56" xfId="0" applyFont="1" applyBorder="1" applyAlignment="1">
      <alignment horizontal="center" wrapText="1"/>
    </xf>
    <xf numFmtId="0" fontId="24" fillId="0" borderId="118" xfId="0" applyFont="1" applyBorder="1" applyAlignment="1">
      <alignment horizontal="center" wrapText="1"/>
    </xf>
    <xf numFmtId="0" fontId="24" fillId="0" borderId="125" xfId="0" applyFont="1" applyBorder="1" applyAlignment="1">
      <alignment vertical="center"/>
    </xf>
    <xf numFmtId="3" fontId="36" fillId="0" borderId="64" xfId="0" applyNumberFormat="1" applyFont="1" applyBorder="1" applyAlignment="1">
      <alignment horizontal="right" vertical="center" wrapText="1"/>
    </xf>
    <xf numFmtId="0" fontId="24" fillId="0" borderId="76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3" fontId="24" fillId="0" borderId="129" xfId="0" applyNumberFormat="1" applyFont="1" applyBorder="1" applyAlignment="1">
      <alignment/>
    </xf>
    <xf numFmtId="0" fontId="56" fillId="0" borderId="67" xfId="0" applyFont="1" applyBorder="1" applyAlignment="1">
      <alignment wrapText="1"/>
    </xf>
    <xf numFmtId="0" fontId="56" fillId="0" borderId="70" xfId="0" applyFont="1" applyBorder="1" applyAlignment="1">
      <alignment/>
    </xf>
    <xf numFmtId="3" fontId="24" fillId="0" borderId="133" xfId="0" applyNumberFormat="1" applyFont="1" applyBorder="1" applyAlignment="1">
      <alignment/>
    </xf>
    <xf numFmtId="3" fontId="24" fillId="0" borderId="80" xfId="0" applyNumberFormat="1" applyFont="1" applyBorder="1" applyAlignment="1">
      <alignment/>
    </xf>
    <xf numFmtId="3" fontId="24" fillId="0" borderId="45" xfId="0" applyNumberFormat="1" applyFont="1" applyBorder="1" applyAlignment="1">
      <alignment/>
    </xf>
    <xf numFmtId="3" fontId="24" fillId="0" borderId="46" xfId="0" applyNumberFormat="1" applyFont="1" applyBorder="1" applyAlignment="1">
      <alignment/>
    </xf>
    <xf numFmtId="0" fontId="56" fillId="0" borderId="69" xfId="0" applyFont="1" applyBorder="1" applyAlignment="1">
      <alignment/>
    </xf>
    <xf numFmtId="3" fontId="24" fillId="0" borderId="276" xfId="0" applyNumberFormat="1" applyFont="1" applyBorder="1" applyAlignment="1">
      <alignment/>
    </xf>
    <xf numFmtId="3" fontId="24" fillId="0" borderId="47" xfId="0" applyNumberFormat="1" applyFont="1" applyBorder="1" applyAlignment="1">
      <alignment/>
    </xf>
    <xf numFmtId="0" fontId="55" fillId="0" borderId="67" xfId="0" applyFont="1" applyBorder="1" applyAlignment="1">
      <alignment/>
    </xf>
    <xf numFmtId="0" fontId="37" fillId="0" borderId="121" xfId="0" applyFont="1" applyBorder="1" applyAlignment="1">
      <alignment/>
    </xf>
    <xf numFmtId="3" fontId="37" fillId="0" borderId="176" xfId="0" applyNumberFormat="1" applyFont="1" applyBorder="1" applyAlignment="1">
      <alignment/>
    </xf>
    <xf numFmtId="0" fontId="24" fillId="0" borderId="163" xfId="0" applyFont="1" applyBorder="1" applyAlignment="1">
      <alignment/>
    </xf>
    <xf numFmtId="3" fontId="24" fillId="0" borderId="277" xfId="0" applyNumberFormat="1" applyFont="1" applyBorder="1" applyAlignment="1">
      <alignment/>
    </xf>
    <xf numFmtId="3" fontId="36" fillId="0" borderId="125" xfId="0" applyNumberFormat="1" applyFont="1" applyBorder="1" applyAlignment="1">
      <alignment horizontal="right" vertical="center" wrapText="1"/>
    </xf>
    <xf numFmtId="3" fontId="37" fillId="0" borderId="84" xfId="0" applyNumberFormat="1" applyFont="1" applyBorder="1" applyAlignment="1">
      <alignment/>
    </xf>
    <xf numFmtId="3" fontId="36" fillId="0" borderId="70" xfId="0" applyNumberFormat="1" applyFont="1" applyBorder="1" applyAlignment="1">
      <alignment horizontal="right" vertical="center" wrapText="1"/>
    </xf>
    <xf numFmtId="3" fontId="36" fillId="0" borderId="78" xfId="0" applyNumberFormat="1" applyFont="1" applyBorder="1" applyAlignment="1">
      <alignment horizontal="right" vertical="center" wrapText="1"/>
    </xf>
    <xf numFmtId="3" fontId="19" fillId="24" borderId="66" xfId="0" applyNumberFormat="1" applyFont="1" applyFill="1" applyBorder="1" applyAlignment="1">
      <alignment horizontal="right"/>
    </xf>
    <xf numFmtId="3" fontId="19" fillId="24" borderId="79" xfId="0" applyNumberFormat="1" applyFont="1" applyFill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3" fontId="19" fillId="0" borderId="85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 horizontal="right"/>
    </xf>
    <xf numFmtId="3" fontId="19" fillId="0" borderId="64" xfId="0" applyNumberFormat="1" applyFont="1" applyBorder="1" applyAlignment="1">
      <alignment horizontal="right"/>
    </xf>
    <xf numFmtId="0" fontId="36" fillId="0" borderId="70" xfId="0" applyFont="1" applyBorder="1" applyAlignment="1">
      <alignment horizontal="right" vertical="center" wrapText="1"/>
    </xf>
    <xf numFmtId="3" fontId="24" fillId="0" borderId="110" xfId="0" applyNumberFormat="1" applyFont="1" applyBorder="1" applyAlignment="1">
      <alignment/>
    </xf>
    <xf numFmtId="3" fontId="19" fillId="0" borderId="125" xfId="0" applyNumberFormat="1" applyFont="1" applyBorder="1" applyAlignment="1">
      <alignment/>
    </xf>
    <xf numFmtId="0" fontId="24" fillId="0" borderId="152" xfId="0" applyFont="1" applyBorder="1" applyAlignment="1">
      <alignment horizontal="center" wrapText="1"/>
    </xf>
    <xf numFmtId="3" fontId="24" fillId="24" borderId="29" xfId="0" applyNumberFormat="1" applyFont="1" applyFill="1" applyBorder="1" applyAlignment="1">
      <alignment/>
    </xf>
    <xf numFmtId="3" fontId="24" fillId="24" borderId="103" xfId="0" applyNumberFormat="1" applyFont="1" applyFill="1" applyBorder="1" applyAlignment="1">
      <alignment/>
    </xf>
    <xf numFmtId="0" fontId="55" fillId="0" borderId="129" xfId="0" applyFont="1" applyBorder="1" applyAlignment="1">
      <alignment wrapText="1"/>
    </xf>
    <xf numFmtId="3" fontId="24" fillId="0" borderId="84" xfId="0" applyNumberFormat="1" applyFont="1" applyBorder="1" applyAlignment="1">
      <alignment/>
    </xf>
    <xf numFmtId="0" fontId="55" fillId="0" borderId="145" xfId="0" applyFont="1" applyBorder="1" applyAlignment="1">
      <alignment wrapText="1"/>
    </xf>
    <xf numFmtId="3" fontId="19" fillId="0" borderId="278" xfId="0" applyNumberFormat="1" applyFont="1" applyBorder="1" applyAlignment="1">
      <alignment/>
    </xf>
    <xf numFmtId="3" fontId="19" fillId="0" borderId="195" xfId="0" applyNumberFormat="1" applyFont="1" applyBorder="1" applyAlignment="1">
      <alignment/>
    </xf>
    <xf numFmtId="3" fontId="37" fillId="0" borderId="128" xfId="0" applyNumberFormat="1" applyFont="1" applyBorder="1" applyAlignment="1">
      <alignment/>
    </xf>
    <xf numFmtId="3" fontId="32" fillId="0" borderId="54" xfId="40" applyNumberFormat="1" applyFont="1" applyFill="1" applyBorder="1" applyAlignment="1" applyProtection="1">
      <alignment horizontal="right" vertical="center"/>
      <protection/>
    </xf>
    <xf numFmtId="3" fontId="32" fillId="0" borderId="111" xfId="40" applyNumberFormat="1" applyFont="1" applyFill="1" applyBorder="1" applyAlignment="1" applyProtection="1">
      <alignment horizontal="right" vertical="center"/>
      <protection/>
    </xf>
    <xf numFmtId="0" fontId="47" fillId="0" borderId="67" xfId="0" applyFont="1" applyBorder="1" applyAlignment="1">
      <alignment/>
    </xf>
    <xf numFmtId="0" fontId="32" fillId="0" borderId="110" xfId="0" applyFont="1" applyBorder="1" applyAlignment="1">
      <alignment wrapText="1"/>
    </xf>
    <xf numFmtId="3" fontId="32" fillId="0" borderId="131" xfId="40" applyNumberFormat="1" applyFont="1" applyFill="1" applyBorder="1" applyAlignment="1" applyProtection="1">
      <alignment/>
      <protection/>
    </xf>
    <xf numFmtId="0" fontId="19" fillId="0" borderId="207" xfId="54" applyFont="1" applyBorder="1" applyProtection="1">
      <alignment/>
      <protection/>
    </xf>
    <xf numFmtId="3" fontId="24" fillId="0" borderId="20" xfId="54" applyNumberFormat="1" applyFont="1" applyBorder="1" applyProtection="1">
      <alignment/>
      <protection/>
    </xf>
    <xf numFmtId="3" fontId="24" fillId="0" borderId="193" xfId="54" applyNumberFormat="1" applyFont="1" applyBorder="1" applyProtection="1">
      <alignment/>
      <protection/>
    </xf>
    <xf numFmtId="3" fontId="24" fillId="0" borderId="152" xfId="54" applyNumberFormat="1" applyFont="1" applyBorder="1" applyProtection="1">
      <alignment/>
      <protection/>
    </xf>
    <xf numFmtId="3" fontId="19" fillId="0" borderId="194" xfId="54" applyNumberFormat="1" applyFont="1" applyBorder="1" applyProtection="1">
      <alignment/>
      <protection/>
    </xf>
    <xf numFmtId="3" fontId="19" fillId="0" borderId="119" xfId="54" applyNumberFormat="1" applyFont="1" applyBorder="1" applyProtection="1">
      <alignment/>
      <protection/>
    </xf>
    <xf numFmtId="0" fontId="19" fillId="0" borderId="214" xfId="54" applyFont="1" applyBorder="1" applyProtection="1">
      <alignment/>
      <protection/>
    </xf>
    <xf numFmtId="0" fontId="19" fillId="0" borderId="21" xfId="54" applyFont="1" applyBorder="1" applyProtection="1">
      <alignment/>
      <protection/>
    </xf>
    <xf numFmtId="3" fontId="24" fillId="0" borderId="75" xfId="54" applyNumberFormat="1" applyFont="1" applyBorder="1" applyProtection="1">
      <alignment/>
      <protection/>
    </xf>
    <xf numFmtId="3" fontId="19" fillId="0" borderId="232" xfId="0" applyNumberFormat="1" applyFont="1" applyBorder="1" applyAlignment="1">
      <alignment/>
    </xf>
    <xf numFmtId="0" fontId="19" fillId="0" borderId="107" xfId="0" applyFont="1" applyBorder="1" applyAlignment="1">
      <alignment/>
    </xf>
    <xf numFmtId="0" fontId="19" fillId="0" borderId="279" xfId="0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180" xfId="0" applyNumberFormat="1" applyFont="1" applyBorder="1" applyAlignment="1">
      <alignment/>
    </xf>
    <xf numFmtId="3" fontId="19" fillId="0" borderId="203" xfId="0" applyNumberFormat="1" applyFont="1" applyBorder="1" applyAlignment="1">
      <alignment/>
    </xf>
    <xf numFmtId="3" fontId="33" fillId="0" borderId="99" xfId="40" applyNumberFormat="1" applyFont="1" applyFill="1" applyBorder="1" applyAlignment="1" applyProtection="1">
      <alignment/>
      <protection/>
    </xf>
    <xf numFmtId="0" fontId="46" fillId="0" borderId="280" xfId="0" applyFont="1" applyBorder="1" applyAlignment="1">
      <alignment horizontal="center"/>
    </xf>
    <xf numFmtId="0" fontId="22" fillId="0" borderId="103" xfId="0" applyFont="1" applyBorder="1" applyAlignment="1">
      <alignment horizontal="center"/>
    </xf>
    <xf numFmtId="0" fontId="32" fillId="0" borderId="77" xfId="0" applyFont="1" applyBorder="1" applyAlignment="1">
      <alignment horizontal="center"/>
    </xf>
    <xf numFmtId="0" fontId="22" fillId="0" borderId="84" xfId="0" applyFont="1" applyBorder="1" applyAlignment="1">
      <alignment horizontal="center"/>
    </xf>
    <xf numFmtId="0" fontId="32" fillId="0" borderId="31" xfId="0" applyFont="1" applyBorder="1" applyAlignment="1">
      <alignment vertical="center"/>
    </xf>
    <xf numFmtId="0" fontId="32" fillId="0" borderId="281" xfId="0" applyFont="1" applyBorder="1" applyAlignment="1">
      <alignment vertical="center"/>
    </xf>
    <xf numFmtId="0" fontId="22" fillId="0" borderId="66" xfId="0" applyFont="1" applyBorder="1" applyAlignment="1">
      <alignment horizontal="center"/>
    </xf>
    <xf numFmtId="3" fontId="55" fillId="0" borderId="69" xfId="0" applyNumberFormat="1" applyFont="1" applyBorder="1" applyAlignment="1">
      <alignment wrapText="1"/>
    </xf>
    <xf numFmtId="3" fontId="55" fillId="0" borderId="63" xfId="0" applyNumberFormat="1" applyFont="1" applyBorder="1" applyAlignment="1">
      <alignment wrapText="1"/>
    </xf>
    <xf numFmtId="3" fontId="55" fillId="0" borderId="69" xfId="0" applyNumberFormat="1" applyFont="1" applyBorder="1" applyAlignment="1">
      <alignment/>
    </xf>
    <xf numFmtId="3" fontId="39" fillId="0" borderId="69" xfId="0" applyNumberFormat="1" applyFont="1" applyBorder="1" applyAlignment="1">
      <alignment/>
    </xf>
    <xf numFmtId="3" fontId="55" fillId="0" borderId="70" xfId="0" applyNumberFormat="1" applyFont="1" applyBorder="1" applyAlignment="1">
      <alignment horizontal="right"/>
    </xf>
    <xf numFmtId="3" fontId="55" fillId="0" borderId="168" xfId="0" applyNumberFormat="1" applyFont="1" applyBorder="1" applyAlignment="1">
      <alignment/>
    </xf>
    <xf numFmtId="3" fontId="55" fillId="0" borderId="65" xfId="0" applyNumberFormat="1" applyFont="1" applyBorder="1" applyAlignment="1">
      <alignment/>
    </xf>
    <xf numFmtId="3" fontId="55" fillId="0" borderId="66" xfId="0" applyNumberFormat="1" applyFont="1" applyBorder="1" applyAlignment="1">
      <alignment/>
    </xf>
    <xf numFmtId="0" fontId="24" fillId="0" borderId="123" xfId="0" applyFont="1" applyBorder="1" applyAlignment="1">
      <alignment horizontal="left" wrapText="1"/>
    </xf>
    <xf numFmtId="0" fontId="24" fillId="24" borderId="63" xfId="0" applyFont="1" applyFill="1" applyBorder="1" applyAlignment="1">
      <alignment wrapText="1"/>
    </xf>
    <xf numFmtId="0" fontId="24" fillId="0" borderId="79" xfId="0" applyFont="1" applyBorder="1" applyAlignment="1">
      <alignment wrapText="1"/>
    </xf>
    <xf numFmtId="0" fontId="24" fillId="0" borderId="85" xfId="0" applyFont="1" applyBorder="1" applyAlignment="1">
      <alignment wrapText="1"/>
    </xf>
    <xf numFmtId="0" fontId="19" fillId="0" borderId="86" xfId="0" applyFont="1" applyBorder="1" applyAlignment="1">
      <alignment wrapText="1"/>
    </xf>
    <xf numFmtId="0" fontId="19" fillId="0" borderId="78" xfId="0" applyFont="1" applyBorder="1" applyAlignment="1">
      <alignment wrapText="1"/>
    </xf>
    <xf numFmtId="0" fontId="24" fillId="0" borderId="120" xfId="0" applyFont="1" applyBorder="1" applyAlignment="1">
      <alignment wrapText="1"/>
    </xf>
    <xf numFmtId="0" fontId="24" fillId="0" borderId="78" xfId="0" applyFont="1" applyBorder="1" applyAlignment="1">
      <alignment horizontal="left" wrapText="1"/>
    </xf>
    <xf numFmtId="0" fontId="26" fillId="0" borderId="76" xfId="0" applyFont="1" applyBorder="1" applyAlignment="1">
      <alignment wrapText="1"/>
    </xf>
    <xf numFmtId="0" fontId="46" fillId="0" borderId="77" xfId="0" applyFont="1" applyBorder="1" applyAlignment="1">
      <alignment wrapText="1"/>
    </xf>
    <xf numFmtId="0" fontId="24" fillId="0" borderId="64" xfId="0" applyFont="1" applyBorder="1" applyAlignment="1">
      <alignment/>
    </xf>
    <xf numFmtId="3" fontId="24" fillId="0" borderId="249" xfId="0" applyNumberFormat="1" applyFont="1" applyBorder="1" applyAlignment="1">
      <alignment/>
    </xf>
    <xf numFmtId="3" fontId="55" fillId="24" borderId="69" xfId="0" applyNumberFormat="1" applyFont="1" applyFill="1" applyBorder="1" applyAlignment="1">
      <alignment wrapText="1"/>
    </xf>
    <xf numFmtId="3" fontId="55" fillId="24" borderId="123" xfId="0" applyNumberFormat="1" applyFont="1" applyFill="1" applyBorder="1" applyAlignment="1">
      <alignment wrapText="1"/>
    </xf>
    <xf numFmtId="3" fontId="39" fillId="0" borderId="69" xfId="0" applyNumberFormat="1" applyFont="1" applyBorder="1" applyAlignment="1">
      <alignment wrapText="1"/>
    </xf>
    <xf numFmtId="3" fontId="39" fillId="0" borderId="63" xfId="0" applyNumberFormat="1" applyFont="1" applyBorder="1" applyAlignment="1">
      <alignment wrapText="1"/>
    </xf>
    <xf numFmtId="3" fontId="55" fillId="0" borderId="147" xfId="0" applyNumberFormat="1" applyFont="1" applyBorder="1" applyAlignment="1">
      <alignment wrapText="1"/>
    </xf>
    <xf numFmtId="3" fontId="55" fillId="0" borderId="76" xfId="0" applyNumberFormat="1" applyFont="1" applyBorder="1" applyAlignment="1">
      <alignment wrapText="1"/>
    </xf>
    <xf numFmtId="3" fontId="24" fillId="0" borderId="70" xfId="0" applyNumberFormat="1" applyFont="1" applyBorder="1" applyAlignment="1">
      <alignment wrapText="1"/>
    </xf>
    <xf numFmtId="3" fontId="24" fillId="0" borderId="78" xfId="0" applyNumberFormat="1" applyFont="1" applyBorder="1" applyAlignment="1">
      <alignment wrapText="1"/>
    </xf>
    <xf numFmtId="3" fontId="24" fillId="0" borderId="69" xfId="0" applyNumberFormat="1" applyFont="1" applyBorder="1" applyAlignment="1">
      <alignment wrapText="1"/>
    </xf>
    <xf numFmtId="3" fontId="24" fillId="0" borderId="63" xfId="0" applyNumberFormat="1" applyFont="1" applyBorder="1" applyAlignment="1">
      <alignment wrapText="1"/>
    </xf>
    <xf numFmtId="3" fontId="24" fillId="0" borderId="147" xfId="0" applyNumberFormat="1" applyFont="1" applyBorder="1" applyAlignment="1">
      <alignment wrapText="1"/>
    </xf>
    <xf numFmtId="3" fontId="24" fillId="0" borderId="76" xfId="0" applyNumberFormat="1" applyFont="1" applyBorder="1" applyAlignment="1">
      <alignment wrapText="1"/>
    </xf>
    <xf numFmtId="3" fontId="24" fillId="0" borderId="67" xfId="0" applyNumberFormat="1" applyFont="1" applyBorder="1" applyAlignment="1">
      <alignment wrapText="1"/>
    </xf>
    <xf numFmtId="0" fontId="75" fillId="0" borderId="57" xfId="0" applyFont="1" applyBorder="1" applyAlignment="1">
      <alignment shrinkToFit="1"/>
    </xf>
    <xf numFmtId="0" fontId="32" fillId="0" borderId="57" xfId="0" applyFont="1" applyFill="1" applyBorder="1" applyAlignment="1">
      <alignment shrinkToFit="1"/>
    </xf>
    <xf numFmtId="0" fontId="75" fillId="0" borderId="57" xfId="0" applyFont="1" applyFill="1" applyBorder="1" applyAlignment="1">
      <alignment shrinkToFit="1"/>
    </xf>
    <xf numFmtId="3" fontId="32" fillId="0" borderId="57" xfId="0" applyNumberFormat="1" applyFont="1" applyBorder="1" applyAlignment="1">
      <alignment/>
    </xf>
    <xf numFmtId="0" fontId="74" fillId="0" borderId="57" xfId="0" applyFont="1" applyBorder="1" applyAlignment="1">
      <alignment shrinkToFit="1"/>
    </xf>
    <xf numFmtId="0" fontId="75" fillId="0" borderId="95" xfId="0" applyFont="1" applyBorder="1" applyAlignment="1">
      <alignment shrinkToFit="1"/>
    </xf>
    <xf numFmtId="0" fontId="74" fillId="0" borderId="95" xfId="0" applyFont="1" applyBorder="1" applyAlignment="1">
      <alignment shrinkToFit="1"/>
    </xf>
    <xf numFmtId="3" fontId="24" fillId="0" borderId="259" xfId="0" applyNumberFormat="1" applyFont="1" applyBorder="1" applyAlignment="1">
      <alignment/>
    </xf>
    <xf numFmtId="3" fontId="24" fillId="0" borderId="140" xfId="40" applyNumberFormat="1" applyFont="1" applyFill="1" applyBorder="1" applyAlignment="1" applyProtection="1">
      <alignment horizontal="right"/>
      <protection/>
    </xf>
    <xf numFmtId="0" fontId="47" fillId="0" borderId="13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8" xfId="0" applyFont="1" applyBorder="1" applyAlignment="1">
      <alignment/>
    </xf>
    <xf numFmtId="3" fontId="24" fillId="0" borderId="111" xfId="40" applyNumberFormat="1" applyFont="1" applyFill="1" applyBorder="1" applyAlignment="1" applyProtection="1">
      <alignment horizontal="right"/>
      <protection/>
    </xf>
    <xf numFmtId="0" fontId="19" fillId="0" borderId="0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07" xfId="0" applyFont="1" applyBorder="1" applyAlignment="1">
      <alignment wrapText="1"/>
    </xf>
    <xf numFmtId="0" fontId="19" fillId="0" borderId="187" xfId="0" applyFont="1" applyBorder="1" applyAlignment="1">
      <alignment/>
    </xf>
    <xf numFmtId="0" fontId="19" fillId="0" borderId="196" xfId="0" applyFont="1" applyBorder="1" applyAlignment="1">
      <alignment/>
    </xf>
    <xf numFmtId="0" fontId="24" fillId="0" borderId="282" xfId="0" applyFont="1" applyBorder="1" applyAlignment="1">
      <alignment/>
    </xf>
    <xf numFmtId="3" fontId="24" fillId="0" borderId="199" xfId="40" applyNumberFormat="1" applyFont="1" applyFill="1" applyBorder="1" applyAlignment="1" applyProtection="1">
      <alignment/>
      <protection/>
    </xf>
    <xf numFmtId="3" fontId="24" fillId="0" borderId="283" xfId="40" applyNumberFormat="1" applyFont="1" applyFill="1" applyBorder="1" applyAlignment="1" applyProtection="1">
      <alignment/>
      <protection/>
    </xf>
    <xf numFmtId="0" fontId="47" fillId="0" borderId="108" xfId="0" applyFont="1" applyBorder="1" applyAlignment="1">
      <alignment/>
    </xf>
    <xf numFmtId="0" fontId="19" fillId="0" borderId="108" xfId="0" applyFont="1" applyBorder="1" applyAlignment="1">
      <alignment/>
    </xf>
    <xf numFmtId="3" fontId="19" fillId="0" borderId="283" xfId="40" applyNumberFormat="1" applyFont="1" applyFill="1" applyBorder="1" applyAlignment="1" applyProtection="1">
      <alignment/>
      <protection/>
    </xf>
    <xf numFmtId="3" fontId="19" fillId="0" borderId="54" xfId="40" applyNumberFormat="1" applyFont="1" applyFill="1" applyBorder="1" applyAlignment="1" applyProtection="1">
      <alignment/>
      <protection/>
    </xf>
    <xf numFmtId="0" fontId="24" fillId="0" borderId="117" xfId="0" applyFont="1" applyBorder="1" applyAlignment="1">
      <alignment vertical="center"/>
    </xf>
    <xf numFmtId="0" fontId="24" fillId="0" borderId="80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24" fillId="0" borderId="249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39" fillId="0" borderId="0" xfId="0" applyFont="1" applyBorder="1" applyAlignment="1">
      <alignment wrapText="1"/>
    </xf>
    <xf numFmtId="0" fontId="24" fillId="0" borderId="41" xfId="0" applyFont="1" applyBorder="1" applyAlignment="1">
      <alignment/>
    </xf>
    <xf numFmtId="0" fontId="45" fillId="0" borderId="117" xfId="0" applyFont="1" applyBorder="1" applyAlignment="1">
      <alignment vertical="center"/>
    </xf>
    <xf numFmtId="0" fontId="19" fillId="0" borderId="41" xfId="0" applyFont="1" applyFill="1" applyBorder="1" applyAlignment="1">
      <alignment/>
    </xf>
    <xf numFmtId="0" fontId="3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149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3" fontId="32" fillId="0" borderId="132" xfId="40" applyNumberFormat="1" applyFont="1" applyFill="1" applyBorder="1" applyAlignment="1" applyProtection="1">
      <alignment horizontal="right" vertical="center"/>
      <protection/>
    </xf>
    <xf numFmtId="3" fontId="19" fillId="0" borderId="27" xfId="40" applyNumberFormat="1" applyFont="1" applyFill="1" applyBorder="1" applyAlignment="1" applyProtection="1">
      <alignment vertical="center"/>
      <protection/>
    </xf>
    <xf numFmtId="3" fontId="19" fillId="0" borderId="284" xfId="40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39" fillId="0" borderId="70" xfId="0" applyFont="1" applyBorder="1" applyAlignment="1">
      <alignment horizontal="right"/>
    </xf>
    <xf numFmtId="0" fontId="39" fillId="0" borderId="69" xfId="0" applyFont="1" applyBorder="1" applyAlignment="1">
      <alignment horizontal="right"/>
    </xf>
    <xf numFmtId="0" fontId="39" fillId="0" borderId="147" xfId="0" applyFont="1" applyBorder="1" applyAlignment="1">
      <alignment horizontal="right"/>
    </xf>
    <xf numFmtId="3" fontId="32" fillId="0" borderId="112" xfId="0" applyNumberFormat="1" applyFont="1" applyBorder="1" applyAlignment="1">
      <alignment horizontal="right" vertical="center" wrapText="1"/>
    </xf>
    <xf numFmtId="3" fontId="32" fillId="0" borderId="113" xfId="0" applyNumberFormat="1" applyFont="1" applyBorder="1" applyAlignment="1">
      <alignment horizontal="right" vertical="center" wrapText="1"/>
    </xf>
    <xf numFmtId="3" fontId="32" fillId="0" borderId="75" xfId="0" applyNumberFormat="1" applyFont="1" applyBorder="1" applyAlignment="1">
      <alignment horizontal="right" vertical="center" wrapText="1"/>
    </xf>
    <xf numFmtId="3" fontId="22" fillId="0" borderId="75" xfId="0" applyNumberFormat="1" applyFont="1" applyBorder="1" applyAlignment="1">
      <alignment horizontal="right" vertical="center" wrapText="1"/>
    </xf>
    <xf numFmtId="0" fontId="22" fillId="0" borderId="103" xfId="0" applyFont="1" applyBorder="1" applyAlignment="1">
      <alignment vertical="center"/>
    </xf>
    <xf numFmtId="0" fontId="45" fillId="0" borderId="267" xfId="0" applyFont="1" applyBorder="1" applyAlignment="1">
      <alignment horizontal="left" vertical="center"/>
    </xf>
    <xf numFmtId="0" fontId="46" fillId="0" borderId="86" xfId="0" applyFont="1" applyBorder="1" applyAlignment="1">
      <alignment horizontal="left" vertical="center"/>
    </xf>
    <xf numFmtId="0" fontId="31" fillId="0" borderId="285" xfId="0" applyFont="1" applyBorder="1" applyAlignment="1">
      <alignment horizontal="left" vertical="center"/>
    </xf>
    <xf numFmtId="0" fontId="32" fillId="0" borderId="119" xfId="0" applyFont="1" applyBorder="1" applyAlignment="1">
      <alignment vertical="center" wrapText="1"/>
    </xf>
    <xf numFmtId="0" fontId="22" fillId="0" borderId="64" xfId="0" applyFont="1" applyBorder="1" applyAlignment="1">
      <alignment horizontal="left" vertical="center"/>
    </xf>
    <xf numFmtId="3" fontId="22" fillId="0" borderId="112" xfId="0" applyNumberFormat="1" applyFont="1" applyBorder="1" applyAlignment="1">
      <alignment horizontal="right" vertical="center" wrapText="1"/>
    </xf>
    <xf numFmtId="3" fontId="19" fillId="0" borderId="59" xfId="0" applyNumberFormat="1" applyFont="1" applyBorder="1" applyAlignment="1">
      <alignment/>
    </xf>
    <xf numFmtId="0" fontId="19" fillId="0" borderId="21" xfId="0" applyFont="1" applyBorder="1" applyAlignment="1">
      <alignment wrapText="1"/>
    </xf>
    <xf numFmtId="0" fontId="19" fillId="0" borderId="21" xfId="0" applyFont="1" applyBorder="1" applyAlignment="1">
      <alignment vertical="center" wrapText="1"/>
    </xf>
    <xf numFmtId="0" fontId="19" fillId="0" borderId="41" xfId="0" applyFont="1" applyFill="1" applyBorder="1" applyAlignment="1">
      <alignment wrapText="1"/>
    </xf>
    <xf numFmtId="0" fontId="39" fillId="0" borderId="206" xfId="0" applyFont="1" applyBorder="1" applyAlignment="1">
      <alignment horizontal="right"/>
    </xf>
    <xf numFmtId="3" fontId="31" fillId="0" borderId="123" xfId="0" applyNumberFormat="1" applyFont="1" applyBorder="1" applyAlignment="1">
      <alignment/>
    </xf>
    <xf numFmtId="3" fontId="46" fillId="0" borderId="77" xfId="0" applyNumberFormat="1" applyFont="1" applyBorder="1" applyAlignment="1">
      <alignment/>
    </xf>
    <xf numFmtId="3" fontId="31" fillId="0" borderId="151" xfId="0" applyNumberFormat="1" applyFont="1" applyBorder="1" applyAlignment="1">
      <alignment/>
    </xf>
    <xf numFmtId="3" fontId="31" fillId="0" borderId="82" xfId="0" applyNumberFormat="1" applyFont="1" applyBorder="1" applyAlignment="1">
      <alignment/>
    </xf>
    <xf numFmtId="3" fontId="19" fillId="0" borderId="161" xfId="0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 shrinkToFit="1"/>
    </xf>
    <xf numFmtId="3" fontId="19" fillId="0" borderId="0" xfId="0" applyNumberFormat="1" applyFont="1" applyFill="1" applyBorder="1" applyAlignment="1">
      <alignment/>
    </xf>
    <xf numFmtId="0" fontId="39" fillId="0" borderId="67" xfId="0" applyFont="1" applyBorder="1" applyAlignment="1">
      <alignment horizontal="center"/>
    </xf>
    <xf numFmtId="3" fontId="24" fillId="0" borderId="77" xfId="0" applyNumberFormat="1" applyFont="1" applyBorder="1" applyAlignment="1">
      <alignment wrapText="1"/>
    </xf>
    <xf numFmtId="3" fontId="55" fillId="0" borderId="267" xfId="0" applyNumberFormat="1" applyFont="1" applyBorder="1" applyAlignment="1">
      <alignment horizontal="right"/>
    </xf>
    <xf numFmtId="3" fontId="55" fillId="0" borderId="85" xfId="0" applyNumberFormat="1" applyFont="1" applyBorder="1" applyAlignment="1">
      <alignment horizontal="right"/>
    </xf>
    <xf numFmtId="3" fontId="39" fillId="0" borderId="85" xfId="0" applyNumberFormat="1" applyFont="1" applyBorder="1" applyAlignment="1">
      <alignment horizontal="right"/>
    </xf>
    <xf numFmtId="3" fontId="39" fillId="0" borderId="86" xfId="0" applyNumberFormat="1" applyFont="1" applyBorder="1" applyAlignment="1">
      <alignment horizontal="right"/>
    </xf>
    <xf numFmtId="3" fontId="55" fillId="0" borderId="78" xfId="0" applyNumberFormat="1" applyFont="1" applyBorder="1" applyAlignment="1">
      <alignment horizontal="right"/>
    </xf>
    <xf numFmtId="3" fontId="55" fillId="0" borderId="79" xfId="0" applyNumberFormat="1" applyFont="1" applyBorder="1" applyAlignment="1">
      <alignment horizontal="right"/>
    </xf>
    <xf numFmtId="3" fontId="55" fillId="0" borderId="120" xfId="0" applyNumberFormat="1" applyFont="1" applyBorder="1" applyAlignment="1">
      <alignment horizontal="right"/>
    </xf>
    <xf numFmtId="3" fontId="55" fillId="0" borderId="63" xfId="0" applyNumberFormat="1" applyFont="1" applyBorder="1" applyAlignment="1">
      <alignment horizontal="right"/>
    </xf>
    <xf numFmtId="3" fontId="39" fillId="0" borderId="76" xfId="0" applyNumberFormat="1" applyFont="1" applyBorder="1" applyAlignment="1">
      <alignment horizontal="right"/>
    </xf>
    <xf numFmtId="3" fontId="39" fillId="0" borderId="63" xfId="0" applyNumberFormat="1" applyFont="1" applyBorder="1" applyAlignment="1">
      <alignment horizontal="right"/>
    </xf>
    <xf numFmtId="3" fontId="78" fillId="0" borderId="57" xfId="0" applyNumberFormat="1" applyFont="1" applyFill="1" applyBorder="1" applyAlignment="1">
      <alignment/>
    </xf>
    <xf numFmtId="3" fontId="31" fillId="0" borderId="0" xfId="0" applyNumberFormat="1" applyFont="1" applyAlignment="1">
      <alignment/>
    </xf>
    <xf numFmtId="0" fontId="78" fillId="0" borderId="0" xfId="0" applyFont="1" applyFill="1" applyBorder="1" applyAlignment="1">
      <alignment shrinkToFit="1"/>
    </xf>
    <xf numFmtId="0" fontId="24" fillId="0" borderId="109" xfId="0" applyFont="1" applyBorder="1" applyAlignment="1">
      <alignment horizontal="center" vertical="center"/>
    </xf>
    <xf numFmtId="3" fontId="24" fillId="0" borderId="56" xfId="0" applyNumberFormat="1" applyFont="1" applyBorder="1" applyAlignment="1">
      <alignment horizontal="right" vertical="center"/>
    </xf>
    <xf numFmtId="3" fontId="19" fillId="0" borderId="109" xfId="0" applyNumberFormat="1" applyFont="1" applyBorder="1" applyAlignment="1">
      <alignment horizontal="right"/>
    </xf>
    <xf numFmtId="3" fontId="24" fillId="0" borderId="216" xfId="0" applyNumberFormat="1" applyFont="1" applyBorder="1" applyAlignment="1">
      <alignment horizontal="right"/>
    </xf>
    <xf numFmtId="3" fontId="24" fillId="0" borderId="118" xfId="0" applyNumberFormat="1" applyFont="1" applyBorder="1" applyAlignment="1">
      <alignment horizontal="right" vertical="center"/>
    </xf>
    <xf numFmtId="3" fontId="24" fillId="0" borderId="64" xfId="0" applyNumberFormat="1" applyFont="1" applyBorder="1" applyAlignment="1">
      <alignment horizontal="right"/>
    </xf>
    <xf numFmtId="3" fontId="19" fillId="0" borderId="166" xfId="0" applyNumberFormat="1" applyFont="1" applyBorder="1" applyAlignment="1">
      <alignment/>
    </xf>
    <xf numFmtId="3" fontId="19" fillId="0" borderId="205" xfId="0" applyNumberFormat="1" applyFont="1" applyBorder="1" applyAlignment="1">
      <alignment horizontal="right"/>
    </xf>
    <xf numFmtId="3" fontId="19" fillId="0" borderId="145" xfId="0" applyNumberFormat="1" applyFont="1" applyBorder="1" applyAlignment="1">
      <alignment horizontal="right"/>
    </xf>
    <xf numFmtId="3" fontId="19" fillId="0" borderId="204" xfId="0" applyNumberFormat="1" applyFont="1" applyBorder="1" applyAlignment="1">
      <alignment horizontal="right"/>
    </xf>
    <xf numFmtId="3" fontId="24" fillId="0" borderId="144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151" xfId="0" applyNumberFormat="1" applyFont="1" applyBorder="1" applyAlignment="1">
      <alignment/>
    </xf>
    <xf numFmtId="0" fontId="19" fillId="0" borderId="82" xfId="0" applyFont="1" applyBorder="1" applyAlignment="1">
      <alignment horizontal="center"/>
    </xf>
    <xf numFmtId="3" fontId="55" fillId="0" borderId="164" xfId="0" applyNumberFormat="1" applyFont="1" applyBorder="1" applyAlignment="1">
      <alignment/>
    </xf>
    <xf numFmtId="3" fontId="55" fillId="0" borderId="263" xfId="0" applyNumberFormat="1" applyFont="1" applyBorder="1" applyAlignment="1">
      <alignment/>
    </xf>
    <xf numFmtId="3" fontId="39" fillId="0" borderId="59" xfId="0" applyNumberFormat="1" applyFont="1" applyBorder="1" applyAlignment="1">
      <alignment/>
    </xf>
    <xf numFmtId="3" fontId="55" fillId="0" borderId="69" xfId="0" applyNumberFormat="1" applyFont="1" applyBorder="1" applyAlignment="1">
      <alignment horizontal="right" wrapText="1"/>
    </xf>
    <xf numFmtId="3" fontId="55" fillId="0" borderId="63" xfId="0" applyNumberFormat="1" applyFont="1" applyBorder="1" applyAlignment="1">
      <alignment horizontal="right" wrapText="1"/>
    </xf>
    <xf numFmtId="3" fontId="55" fillId="0" borderId="69" xfId="0" applyNumberFormat="1" applyFont="1" applyBorder="1" applyAlignment="1">
      <alignment horizontal="right"/>
    </xf>
    <xf numFmtId="3" fontId="39" fillId="0" borderId="69" xfId="0" applyNumberFormat="1" applyFont="1" applyBorder="1" applyAlignment="1">
      <alignment horizontal="right"/>
    </xf>
    <xf numFmtId="3" fontId="39" fillId="0" borderId="147" xfId="0" applyNumberFormat="1" applyFont="1" applyBorder="1" applyAlignment="1">
      <alignment horizontal="right"/>
    </xf>
    <xf numFmtId="3" fontId="55" fillId="0" borderId="147" xfId="0" applyNumberFormat="1" applyFont="1" applyBorder="1" applyAlignment="1">
      <alignment horizontal="right"/>
    </xf>
    <xf numFmtId="3" fontId="55" fillId="0" borderId="76" xfId="0" applyNumberFormat="1" applyFont="1" applyBorder="1" applyAlignment="1">
      <alignment horizontal="right"/>
    </xf>
    <xf numFmtId="3" fontId="24" fillId="0" borderId="67" xfId="0" applyNumberFormat="1" applyFont="1" applyBorder="1" applyAlignment="1">
      <alignment horizontal="right"/>
    </xf>
    <xf numFmtId="0" fontId="19" fillId="0" borderId="66" xfId="0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24" fillId="0" borderId="181" xfId="0" applyNumberFormat="1" applyFont="1" applyBorder="1" applyAlignment="1">
      <alignment horizontal="right"/>
    </xf>
    <xf numFmtId="0" fontId="32" fillId="0" borderId="79" xfId="0" applyFont="1" applyBorder="1" applyAlignment="1">
      <alignment vertical="center" wrapText="1"/>
    </xf>
    <xf numFmtId="0" fontId="19" fillId="0" borderId="286" xfId="0" applyFont="1" applyBorder="1" applyAlignment="1">
      <alignment vertical="center" wrapText="1"/>
    </xf>
    <xf numFmtId="0" fontId="32" fillId="0" borderId="67" xfId="0" applyFont="1" applyBorder="1" applyAlignment="1">
      <alignment/>
    </xf>
    <xf numFmtId="0" fontId="24" fillId="0" borderId="67" xfId="0" applyFont="1" applyBorder="1" applyAlignment="1">
      <alignment horizontal="center" wrapText="1"/>
    </xf>
    <xf numFmtId="3" fontId="19" fillId="0" borderId="45" xfId="54" applyNumberFormat="1" applyFont="1" applyBorder="1" applyProtection="1">
      <alignment/>
      <protection/>
    </xf>
    <xf numFmtId="0" fontId="19" fillId="0" borderId="45" xfId="54" applyFont="1" applyBorder="1" applyProtection="1">
      <alignment/>
      <protection/>
    </xf>
    <xf numFmtId="3" fontId="19" fillId="0" borderId="72" xfId="54" applyNumberFormat="1" applyFont="1" applyBorder="1" applyProtection="1">
      <alignment/>
      <protection/>
    </xf>
    <xf numFmtId="0" fontId="19" fillId="0" borderId="20" xfId="54" applyFont="1" applyBorder="1" applyProtection="1">
      <alignment/>
      <protection/>
    </xf>
    <xf numFmtId="3" fontId="24" fillId="0" borderId="111" xfId="0" applyNumberFormat="1" applyFont="1" applyBorder="1" applyAlignment="1">
      <alignment/>
    </xf>
    <xf numFmtId="3" fontId="24" fillId="0" borderId="287" xfId="0" applyNumberFormat="1" applyFont="1" applyBorder="1" applyAlignment="1">
      <alignment/>
    </xf>
    <xf numFmtId="0" fontId="39" fillId="0" borderId="46" xfId="54" applyFont="1" applyBorder="1" applyAlignment="1" applyProtection="1">
      <alignment wrapText="1"/>
      <protection/>
    </xf>
    <xf numFmtId="3" fontId="32" fillId="0" borderId="18" xfId="0" applyNumberFormat="1" applyFont="1" applyBorder="1" applyAlignment="1">
      <alignment vertical="center"/>
    </xf>
    <xf numFmtId="3" fontId="32" fillId="0" borderId="14" xfId="0" applyNumberFormat="1" applyFont="1" applyBorder="1" applyAlignment="1">
      <alignment vertical="center"/>
    </xf>
    <xf numFmtId="3" fontId="32" fillId="0" borderId="78" xfId="0" applyNumberFormat="1" applyFont="1" applyBorder="1" applyAlignment="1">
      <alignment/>
    </xf>
    <xf numFmtId="3" fontId="32" fillId="0" borderId="63" xfId="0" applyNumberFormat="1" applyFont="1" applyBorder="1" applyAlignment="1">
      <alignment/>
    </xf>
    <xf numFmtId="3" fontId="32" fillId="0" borderId="20" xfId="0" applyNumberFormat="1" applyFont="1" applyBorder="1" applyAlignment="1">
      <alignment vertical="center"/>
    </xf>
    <xf numFmtId="3" fontId="32" fillId="0" borderId="26" xfId="0" applyNumberFormat="1" applyFont="1" applyBorder="1" applyAlignment="1">
      <alignment vertical="center"/>
    </xf>
    <xf numFmtId="3" fontId="32" fillId="0" borderId="76" xfId="0" applyNumberFormat="1" applyFont="1" applyBorder="1" applyAlignment="1">
      <alignment/>
    </xf>
    <xf numFmtId="3" fontId="32" fillId="0" borderId="55" xfId="0" applyNumberFormat="1" applyFont="1" applyBorder="1" applyAlignment="1">
      <alignment vertical="center"/>
    </xf>
    <xf numFmtId="3" fontId="32" fillId="0" borderId="288" xfId="0" applyNumberFormat="1" applyFont="1" applyBorder="1" applyAlignment="1">
      <alignment vertical="center"/>
    </xf>
    <xf numFmtId="3" fontId="32" fillId="0" borderId="141" xfId="0" applyNumberFormat="1" applyFont="1" applyBorder="1" applyAlignment="1">
      <alignment vertical="center"/>
    </xf>
    <xf numFmtId="3" fontId="32" fillId="0" borderId="154" xfId="0" applyNumberFormat="1" applyFont="1" applyBorder="1" applyAlignment="1">
      <alignment/>
    </xf>
    <xf numFmtId="0" fontId="19" fillId="0" borderId="125" xfId="0" applyFont="1" applyBorder="1" applyAlignment="1">
      <alignment wrapText="1"/>
    </xf>
    <xf numFmtId="0" fontId="19" fillId="0" borderId="53" xfId="0" applyFont="1" applyFill="1" applyBorder="1" applyAlignment="1">
      <alignment/>
    </xf>
    <xf numFmtId="3" fontId="19" fillId="0" borderId="48" xfId="0" applyNumberFormat="1" applyFont="1" applyFill="1" applyBorder="1" applyAlignment="1">
      <alignment horizontal="right"/>
    </xf>
    <xf numFmtId="0" fontId="19" fillId="0" borderId="66" xfId="0" applyFont="1" applyFill="1" applyBorder="1" applyAlignment="1">
      <alignment/>
    </xf>
    <xf numFmtId="3" fontId="19" fillId="0" borderId="49" xfId="0" applyNumberFormat="1" applyFont="1" applyFill="1" applyBorder="1" applyAlignment="1">
      <alignment/>
    </xf>
    <xf numFmtId="0" fontId="24" fillId="0" borderId="117" xfId="0" applyFont="1" applyBorder="1" applyAlignment="1">
      <alignment horizontal="center" vertical="center"/>
    </xf>
    <xf numFmtId="0" fontId="55" fillId="0" borderId="32" xfId="0" applyFont="1" applyBorder="1" applyAlignment="1">
      <alignment wrapText="1"/>
    </xf>
    <xf numFmtId="0" fontId="24" fillId="0" borderId="289" xfId="0" applyFont="1" applyBorder="1" applyAlignment="1">
      <alignment/>
    </xf>
    <xf numFmtId="3" fontId="24" fillId="0" borderId="290" xfId="0" applyNumberFormat="1" applyFont="1" applyBorder="1" applyAlignment="1">
      <alignment/>
    </xf>
    <xf numFmtId="3" fontId="24" fillId="0" borderId="291" xfId="0" applyNumberFormat="1" applyFont="1" applyBorder="1" applyAlignment="1">
      <alignment/>
    </xf>
    <xf numFmtId="0" fontId="39" fillId="0" borderId="292" xfId="0" applyFont="1" applyBorder="1" applyAlignment="1">
      <alignment/>
    </xf>
    <xf numFmtId="3" fontId="19" fillId="0" borderId="293" xfId="0" applyNumberFormat="1" applyFont="1" applyBorder="1" applyAlignment="1">
      <alignment/>
    </xf>
    <xf numFmtId="0" fontId="39" fillId="0" borderId="248" xfId="0" applyFont="1" applyBorder="1" applyAlignment="1">
      <alignment/>
    </xf>
    <xf numFmtId="3" fontId="19" fillId="0" borderId="142" xfId="0" applyNumberFormat="1" applyFont="1" applyBorder="1" applyAlignment="1">
      <alignment/>
    </xf>
    <xf numFmtId="3" fontId="19" fillId="0" borderId="216" xfId="0" applyNumberFormat="1" applyFont="1" applyBorder="1" applyAlignment="1">
      <alignment/>
    </xf>
    <xf numFmtId="3" fontId="19" fillId="0" borderId="281" xfId="0" applyNumberFormat="1" applyFont="1" applyBorder="1" applyAlignment="1">
      <alignment/>
    </xf>
    <xf numFmtId="0" fontId="19" fillId="0" borderId="147" xfId="0" applyFont="1" applyBorder="1" applyAlignment="1">
      <alignment wrapText="1"/>
    </xf>
    <xf numFmtId="0" fontId="19" fillId="0" borderId="145" xfId="0" applyFont="1" applyBorder="1" applyAlignment="1">
      <alignment wrapText="1"/>
    </xf>
    <xf numFmtId="0" fontId="24" fillId="0" borderId="249" xfId="0" applyFont="1" applyBorder="1" applyAlignment="1">
      <alignment wrapText="1"/>
    </xf>
    <xf numFmtId="0" fontId="19" fillId="0" borderId="145" xfId="0" applyFont="1" applyFill="1" applyBorder="1" applyAlignment="1">
      <alignment wrapText="1"/>
    </xf>
    <xf numFmtId="0" fontId="19" fillId="0" borderId="74" xfId="0" applyFont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126" xfId="0" applyNumberFormat="1" applyFont="1" applyBorder="1" applyAlignment="1">
      <alignment/>
    </xf>
    <xf numFmtId="3" fontId="19" fillId="0" borderId="125" xfId="0" applyNumberFormat="1" applyFont="1" applyFill="1" applyBorder="1" applyAlignment="1">
      <alignment/>
    </xf>
    <xf numFmtId="0" fontId="55" fillId="0" borderId="109" xfId="0" applyFont="1" applyBorder="1" applyAlignment="1">
      <alignment horizontal="center"/>
    </xf>
    <xf numFmtId="0" fontId="24" fillId="0" borderId="121" xfId="0" applyFont="1" applyBorder="1" applyAlignment="1">
      <alignment/>
    </xf>
    <xf numFmtId="3" fontId="19" fillId="0" borderId="168" xfId="0" applyNumberFormat="1" applyFont="1" applyBorder="1" applyAlignment="1">
      <alignment/>
    </xf>
    <xf numFmtId="0" fontId="24" fillId="0" borderId="124" xfId="0" applyFont="1" applyBorder="1" applyAlignment="1">
      <alignment/>
    </xf>
    <xf numFmtId="3" fontId="19" fillId="0" borderId="126" xfId="0" applyNumberFormat="1" applyFont="1" applyFill="1" applyBorder="1" applyAlignment="1">
      <alignment/>
    </xf>
    <xf numFmtId="0" fontId="24" fillId="0" borderId="123" xfId="0" applyFont="1" applyBorder="1" applyAlignment="1">
      <alignment/>
    </xf>
    <xf numFmtId="3" fontId="19" fillId="0" borderId="120" xfId="0" applyNumberFormat="1" applyFont="1" applyFill="1" applyBorder="1" applyAlignment="1">
      <alignment/>
    </xf>
    <xf numFmtId="3" fontId="19" fillId="0" borderId="63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/>
    </xf>
    <xf numFmtId="0" fontId="24" fillId="0" borderId="139" xfId="0" applyFont="1" applyBorder="1" applyAlignment="1">
      <alignment horizontal="center" vertical="center" wrapText="1"/>
    </xf>
    <xf numFmtId="3" fontId="19" fillId="0" borderId="63" xfId="40" applyNumberFormat="1" applyFont="1" applyFill="1" applyBorder="1" applyAlignment="1" applyProtection="1">
      <alignment/>
      <protection/>
    </xf>
    <xf numFmtId="3" fontId="24" fillId="0" borderId="119" xfId="40" applyNumberFormat="1" applyFont="1" applyFill="1" applyBorder="1" applyAlignment="1" applyProtection="1">
      <alignment/>
      <protection/>
    </xf>
    <xf numFmtId="3" fontId="24" fillId="0" borderId="78" xfId="40" applyNumberFormat="1" applyFont="1" applyFill="1" applyBorder="1" applyAlignment="1" applyProtection="1">
      <alignment/>
      <protection/>
    </xf>
    <xf numFmtId="3" fontId="24" fillId="0" borderId="79" xfId="40" applyNumberFormat="1" applyFont="1" applyFill="1" applyBorder="1" applyAlignment="1" applyProtection="1">
      <alignment/>
      <protection/>
    </xf>
    <xf numFmtId="3" fontId="24" fillId="0" borderId="63" xfId="40" applyNumberFormat="1" applyFont="1" applyFill="1" applyBorder="1" applyAlignment="1" applyProtection="1">
      <alignment/>
      <protection/>
    </xf>
    <xf numFmtId="3" fontId="24" fillId="0" borderId="120" xfId="40" applyNumberFormat="1" applyFont="1" applyFill="1" applyBorder="1" applyAlignment="1" applyProtection="1">
      <alignment/>
      <protection/>
    </xf>
    <xf numFmtId="3" fontId="24" fillId="0" borderId="76" xfId="40" applyNumberFormat="1" applyFont="1" applyFill="1" applyBorder="1" applyAlignment="1" applyProtection="1">
      <alignment/>
      <protection/>
    </xf>
    <xf numFmtId="3" fontId="24" fillId="0" borderId="77" xfId="40" applyNumberFormat="1" applyFont="1" applyFill="1" applyBorder="1" applyAlignment="1" applyProtection="1">
      <alignment vertical="center"/>
      <protection/>
    </xf>
    <xf numFmtId="3" fontId="24" fillId="0" borderId="64" xfId="40" applyNumberFormat="1" applyFont="1" applyFill="1" applyBorder="1" applyAlignment="1" applyProtection="1">
      <alignment vertical="center"/>
      <protection/>
    </xf>
    <xf numFmtId="3" fontId="24" fillId="0" borderId="77" xfId="0" applyNumberFormat="1" applyFont="1" applyBorder="1" applyAlignment="1">
      <alignment vertical="center"/>
    </xf>
    <xf numFmtId="0" fontId="36" fillId="0" borderId="32" xfId="54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19" fillId="0" borderId="16" xfId="54" applyFont="1" applyBorder="1" applyProtection="1">
      <alignment/>
      <protection/>
    </xf>
    <xf numFmtId="3" fontId="19" fillId="0" borderId="116" xfId="54" applyNumberFormat="1" applyFont="1" applyBorder="1" applyProtection="1">
      <alignment/>
      <protection/>
    </xf>
    <xf numFmtId="0" fontId="39" fillId="0" borderId="62" xfId="0" applyFont="1" applyBorder="1" applyAlignment="1">
      <alignment horizontal="right"/>
    </xf>
    <xf numFmtId="0" fontId="24" fillId="0" borderId="117" xfId="54" applyFont="1" applyBorder="1" applyProtection="1">
      <alignment/>
      <protection/>
    </xf>
    <xf numFmtId="3" fontId="24" fillId="0" borderId="43" xfId="54" applyNumberFormat="1" applyFont="1" applyBorder="1" applyProtection="1">
      <alignment/>
      <protection/>
    </xf>
    <xf numFmtId="0" fontId="24" fillId="0" borderId="43" xfId="54" applyFont="1" applyBorder="1" applyProtection="1">
      <alignment/>
      <protection/>
    </xf>
    <xf numFmtId="3" fontId="24" fillId="0" borderId="93" xfId="54" applyNumberFormat="1" applyFont="1" applyBorder="1" applyProtection="1">
      <alignment/>
      <protection/>
    </xf>
    <xf numFmtId="0" fontId="39" fillId="0" borderId="189" xfId="0" applyFont="1" applyFill="1" applyBorder="1" applyAlignment="1">
      <alignment horizontal="right"/>
    </xf>
    <xf numFmtId="0" fontId="36" fillId="0" borderId="41" xfId="54" applyFont="1" applyBorder="1" applyProtection="1">
      <alignment/>
      <protection/>
    </xf>
    <xf numFmtId="3" fontId="19" fillId="0" borderId="120" xfId="54" applyNumberFormat="1" applyFont="1" applyBorder="1" applyProtection="1">
      <alignment/>
      <protection/>
    </xf>
    <xf numFmtId="0" fontId="19" fillId="0" borderId="41" xfId="54" applyFont="1" applyBorder="1" applyProtection="1">
      <alignment/>
      <protection/>
    </xf>
    <xf numFmtId="3" fontId="19" fillId="0" borderId="79" xfId="54" applyNumberFormat="1" applyFont="1" applyBorder="1" applyProtection="1">
      <alignment/>
      <protection/>
    </xf>
    <xf numFmtId="0" fontId="39" fillId="0" borderId="62" xfId="0" applyFont="1" applyFill="1" applyBorder="1" applyAlignment="1">
      <alignment horizontal="right"/>
    </xf>
    <xf numFmtId="3" fontId="24" fillId="0" borderId="77" xfId="54" applyNumberFormat="1" applyFont="1" applyBorder="1" applyProtection="1">
      <alignment/>
      <protection/>
    </xf>
    <xf numFmtId="0" fontId="55" fillId="0" borderId="77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4" fillId="0" borderId="249" xfId="0" applyFont="1" applyFill="1" applyBorder="1" applyAlignment="1">
      <alignment horizontal="left"/>
    </xf>
    <xf numFmtId="0" fontId="55" fillId="0" borderId="66" xfId="0" applyFont="1" applyBorder="1" applyAlignment="1">
      <alignment horizontal="center"/>
    </xf>
    <xf numFmtId="0" fontId="19" fillId="0" borderId="294" xfId="0" applyFont="1" applyBorder="1" applyAlignment="1">
      <alignment/>
    </xf>
    <xf numFmtId="0" fontId="24" fillId="0" borderId="145" xfId="0" applyFont="1" applyFill="1" applyBorder="1" applyAlignment="1">
      <alignment horizontal="left" wrapText="1"/>
    </xf>
    <xf numFmtId="0" fontId="55" fillId="0" borderId="84" xfId="0" applyFont="1" applyBorder="1" applyAlignment="1">
      <alignment horizontal="center"/>
    </xf>
    <xf numFmtId="3" fontId="19" fillId="0" borderId="159" xfId="0" applyNumberFormat="1" applyFont="1" applyBorder="1" applyAlignment="1">
      <alignment/>
    </xf>
    <xf numFmtId="3" fontId="19" fillId="0" borderId="151" xfId="0" applyNumberFormat="1" applyFont="1" applyBorder="1" applyAlignment="1">
      <alignment/>
    </xf>
    <xf numFmtId="3" fontId="19" fillId="0" borderId="232" xfId="0" applyNumberFormat="1" applyFont="1" applyBorder="1" applyAlignment="1">
      <alignment/>
    </xf>
    <xf numFmtId="3" fontId="0" fillId="0" borderId="123" xfId="0" applyNumberFormat="1" applyFont="1" applyBorder="1" applyAlignment="1">
      <alignment/>
    </xf>
    <xf numFmtId="3" fontId="19" fillId="0" borderId="189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4" fillId="0" borderId="164" xfId="0" applyNumberFormat="1" applyFont="1" applyBorder="1" applyAlignment="1">
      <alignment/>
    </xf>
    <xf numFmtId="0" fontId="24" fillId="0" borderId="67" xfId="0" applyFont="1" applyBorder="1" applyAlignment="1">
      <alignment horizontal="left" wrapText="1"/>
    </xf>
    <xf numFmtId="3" fontId="36" fillId="0" borderId="123" xfId="0" applyNumberFormat="1" applyFont="1" applyBorder="1" applyAlignment="1">
      <alignment horizontal="right" vertical="center" wrapText="1"/>
    </xf>
    <xf numFmtId="3" fontId="36" fillId="0" borderId="79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center"/>
    </xf>
    <xf numFmtId="0" fontId="22" fillId="0" borderId="57" xfId="0" applyFont="1" applyBorder="1" applyAlignment="1">
      <alignment wrapText="1"/>
    </xf>
    <xf numFmtId="0" fontId="22" fillId="0" borderId="57" xfId="0" applyFont="1" applyBorder="1" applyAlignment="1">
      <alignment/>
    </xf>
    <xf numFmtId="0" fontId="32" fillId="0" borderId="57" xfId="0" applyFont="1" applyBorder="1" applyAlignment="1">
      <alignment horizontal="center"/>
    </xf>
    <xf numFmtId="0" fontId="32" fillId="0" borderId="57" xfId="0" applyFont="1" applyBorder="1" applyAlignment="1">
      <alignment/>
    </xf>
    <xf numFmtId="3" fontId="22" fillId="0" borderId="57" xfId="0" applyNumberFormat="1" applyFont="1" applyBorder="1" applyAlignment="1">
      <alignment/>
    </xf>
    <xf numFmtId="0" fontId="22" fillId="0" borderId="57" xfId="0" applyFont="1" applyBorder="1" applyAlignment="1">
      <alignment horizontal="center"/>
    </xf>
    <xf numFmtId="3" fontId="19" fillId="0" borderId="125" xfId="0" applyNumberFormat="1" applyFont="1" applyBorder="1" applyAlignment="1">
      <alignment horizontal="right"/>
    </xf>
    <xf numFmtId="3" fontId="36" fillId="0" borderId="63" xfId="0" applyNumberFormat="1" applyFont="1" applyBorder="1" applyAlignment="1">
      <alignment horizontal="right" vertical="center" wrapText="1"/>
    </xf>
    <xf numFmtId="3" fontId="24" fillId="0" borderId="174" xfId="0" applyNumberFormat="1" applyFont="1" applyBorder="1" applyAlignment="1">
      <alignment/>
    </xf>
    <xf numFmtId="0" fontId="55" fillId="0" borderId="77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wrapText="1"/>
    </xf>
    <xf numFmtId="0" fontId="55" fillId="0" borderId="118" xfId="0" applyFont="1" applyBorder="1" applyAlignment="1">
      <alignment horizontal="center" wrapText="1"/>
    </xf>
    <xf numFmtId="3" fontId="36" fillId="0" borderId="76" xfId="0" applyNumberFormat="1" applyFont="1" applyBorder="1" applyAlignment="1">
      <alignment horizontal="right" vertical="center" wrapText="1"/>
    </xf>
    <xf numFmtId="3" fontId="33" fillId="0" borderId="77" xfId="0" applyNumberFormat="1" applyFont="1" applyBorder="1" applyAlignment="1">
      <alignment horizontal="right" vertical="center" wrapText="1"/>
    </xf>
    <xf numFmtId="3" fontId="33" fillId="0" borderId="64" xfId="0" applyNumberFormat="1" applyFont="1" applyBorder="1" applyAlignment="1">
      <alignment horizontal="right" vertical="center" wrapText="1"/>
    </xf>
    <xf numFmtId="0" fontId="39" fillId="0" borderId="125" xfId="0" applyFont="1" applyBorder="1" applyAlignment="1">
      <alignment horizontal="right"/>
    </xf>
    <xf numFmtId="0" fontId="19" fillId="0" borderId="15" xfId="0" applyFont="1" applyBorder="1" applyAlignment="1">
      <alignment wrapText="1"/>
    </xf>
    <xf numFmtId="0" fontId="24" fillId="0" borderId="144" xfId="0" applyFont="1" applyFill="1" applyBorder="1" applyAlignment="1">
      <alignment horizontal="left" wrapText="1"/>
    </xf>
    <xf numFmtId="167" fontId="32" fillId="0" borderId="113" xfId="0" applyNumberFormat="1" applyFont="1" applyFill="1" applyBorder="1" applyAlignment="1">
      <alignment horizontal="right"/>
    </xf>
    <xf numFmtId="167" fontId="32" fillId="0" borderId="116" xfId="0" applyNumberFormat="1" applyFont="1" applyFill="1" applyBorder="1" applyAlignment="1">
      <alignment horizontal="right"/>
    </xf>
    <xf numFmtId="0" fontId="33" fillId="0" borderId="46" xfId="0" applyFont="1" applyBorder="1" applyAlignment="1">
      <alignment wrapText="1"/>
    </xf>
    <xf numFmtId="3" fontId="33" fillId="0" borderId="77" xfId="0" applyNumberFormat="1" applyFont="1" applyBorder="1" applyAlignment="1">
      <alignment horizontal="right" wrapText="1"/>
    </xf>
    <xf numFmtId="3" fontId="32" fillId="0" borderId="49" xfId="40" applyNumberFormat="1" applyFont="1" applyFill="1" applyBorder="1" applyAlignment="1" applyProtection="1">
      <alignment horizontal="right" vertical="center"/>
      <protection/>
    </xf>
    <xf numFmtId="3" fontId="19" fillId="0" borderId="123" xfId="0" applyNumberFormat="1" applyFont="1" applyFill="1" applyBorder="1" applyAlignment="1">
      <alignment/>
    </xf>
    <xf numFmtId="3" fontId="78" fillId="0" borderId="63" xfId="0" applyNumberFormat="1" applyFont="1" applyFill="1" applyBorder="1" applyAlignment="1">
      <alignment/>
    </xf>
    <xf numFmtId="3" fontId="78" fillId="0" borderId="63" xfId="0" applyNumberFormat="1" applyFont="1" applyBorder="1" applyAlignment="1">
      <alignment/>
    </xf>
    <xf numFmtId="3" fontId="19" fillId="0" borderId="154" xfId="0" applyNumberFormat="1" applyFont="1" applyFill="1" applyBorder="1" applyAlignment="1">
      <alignment/>
    </xf>
    <xf numFmtId="3" fontId="78" fillId="0" borderId="123" xfId="0" applyNumberFormat="1" applyFont="1" applyBorder="1" applyAlignment="1">
      <alignment/>
    </xf>
    <xf numFmtId="0" fontId="78" fillId="0" borderId="80" xfId="0" applyFont="1" applyBorder="1" applyAlignment="1">
      <alignment/>
    </xf>
    <xf numFmtId="0" fontId="78" fillId="0" borderId="46" xfId="0" applyFont="1" applyBorder="1" applyAlignment="1">
      <alignment/>
    </xf>
    <xf numFmtId="0" fontId="19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19" fillId="0" borderId="46" xfId="0" applyFont="1" applyFill="1" applyBorder="1" applyAlignment="1">
      <alignment/>
    </xf>
    <xf numFmtId="0" fontId="78" fillId="0" borderId="46" xfId="0" applyFont="1" applyBorder="1" applyAlignment="1">
      <alignment shrinkToFit="1"/>
    </xf>
    <xf numFmtId="0" fontId="39" fillId="0" borderId="46" xfId="0" applyFont="1" applyFill="1" applyBorder="1" applyAlignment="1">
      <alignment/>
    </xf>
    <xf numFmtId="0" fontId="36" fillId="0" borderId="46" xfId="0" applyFont="1" applyFill="1" applyBorder="1" applyAlignment="1">
      <alignment/>
    </xf>
    <xf numFmtId="0" fontId="78" fillId="0" borderId="46" xfId="0" applyFont="1" applyFill="1" applyBorder="1" applyAlignment="1">
      <alignment shrinkToFit="1"/>
    </xf>
    <xf numFmtId="0" fontId="78" fillId="0" borderId="272" xfId="0" applyFont="1" applyFill="1" applyBorder="1" applyAlignment="1">
      <alignment shrinkToFit="1"/>
    </xf>
    <xf numFmtId="0" fontId="19" fillId="0" borderId="123" xfId="0" applyFont="1" applyBorder="1" applyAlignment="1">
      <alignment horizontal="right"/>
    </xf>
    <xf numFmtId="0" fontId="19" fillId="0" borderId="154" xfId="0" applyFont="1" applyBorder="1" applyAlignment="1">
      <alignment horizontal="right"/>
    </xf>
    <xf numFmtId="0" fontId="19" fillId="0" borderId="80" xfId="0" applyFont="1" applyFill="1" applyBorder="1" applyAlignment="1">
      <alignment/>
    </xf>
    <xf numFmtId="3" fontId="19" fillId="0" borderId="79" xfId="0" applyNumberFormat="1" applyFont="1" applyBorder="1" applyAlignment="1">
      <alignment horizontal="right"/>
    </xf>
    <xf numFmtId="3" fontId="19" fillId="0" borderId="80" xfId="0" applyNumberFormat="1" applyFont="1" applyBorder="1" applyAlignment="1">
      <alignment horizontal="right"/>
    </xf>
    <xf numFmtId="3" fontId="24" fillId="0" borderId="93" xfId="0" applyNumberFormat="1" applyFont="1" applyBorder="1" applyAlignment="1">
      <alignment horizontal="right"/>
    </xf>
    <xf numFmtId="3" fontId="24" fillId="0" borderId="78" xfId="0" applyNumberFormat="1" applyFont="1" applyBorder="1" applyAlignment="1">
      <alignment horizontal="right"/>
    </xf>
    <xf numFmtId="3" fontId="19" fillId="0" borderId="119" xfId="0" applyNumberFormat="1" applyFont="1" applyBorder="1" applyAlignment="1">
      <alignment horizontal="right"/>
    </xf>
    <xf numFmtId="0" fontId="19" fillId="0" borderId="0" xfId="0" applyFont="1" applyBorder="1" applyAlignment="1">
      <alignment vertical="top" wrapText="1"/>
    </xf>
    <xf numFmtId="164" fontId="24" fillId="0" borderId="149" xfId="0" applyNumberFormat="1" applyFont="1" applyBorder="1" applyAlignment="1">
      <alignment/>
    </xf>
    <xf numFmtId="164" fontId="24" fillId="0" borderId="117" xfId="0" applyNumberFormat="1" applyFont="1" applyBorder="1" applyAlignment="1">
      <alignment/>
    </xf>
    <xf numFmtId="0" fontId="19" fillId="0" borderId="269" xfId="0" applyFont="1" applyBorder="1" applyAlignment="1">
      <alignment/>
    </xf>
    <xf numFmtId="0" fontId="19" fillId="0" borderId="72" xfId="0" applyFont="1" applyBorder="1" applyAlignment="1">
      <alignment/>
    </xf>
    <xf numFmtId="0" fontId="19" fillId="0" borderId="80" xfId="0" applyFont="1" applyBorder="1" applyAlignment="1">
      <alignment horizontal="left"/>
    </xf>
    <xf numFmtId="0" fontId="19" fillId="0" borderId="46" xfId="0" applyFont="1" applyBorder="1" applyAlignment="1">
      <alignment horizontal="left"/>
    </xf>
    <xf numFmtId="0" fontId="24" fillId="0" borderId="47" xfId="0" applyFont="1" applyBorder="1" applyAlignment="1">
      <alignment/>
    </xf>
    <xf numFmtId="0" fontId="19" fillId="0" borderId="47" xfId="0" applyFont="1" applyBorder="1" applyAlignment="1">
      <alignment horizontal="left"/>
    </xf>
    <xf numFmtId="0" fontId="19" fillId="0" borderId="272" xfId="0" applyFont="1" applyBorder="1" applyAlignment="1">
      <alignment horizontal="left"/>
    </xf>
    <xf numFmtId="0" fontId="19" fillId="0" borderId="21" xfId="0" applyFont="1" applyBorder="1" applyAlignment="1">
      <alignment vertical="center"/>
    </xf>
    <xf numFmtId="0" fontId="19" fillId="0" borderId="80" xfId="0" applyFont="1" applyBorder="1" applyAlignment="1">
      <alignment vertical="center"/>
    </xf>
    <xf numFmtId="0" fontId="24" fillId="0" borderId="10" xfId="0" applyFont="1" applyBorder="1" applyAlignment="1">
      <alignment/>
    </xf>
    <xf numFmtId="0" fontId="19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5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67" fillId="0" borderId="0" xfId="0" applyFont="1" applyBorder="1" applyAlignment="1">
      <alignment horizontal="center"/>
    </xf>
    <xf numFmtId="0" fontId="65" fillId="0" borderId="84" xfId="0" applyFont="1" applyBorder="1" applyAlignment="1">
      <alignment wrapText="1"/>
    </xf>
    <xf numFmtId="0" fontId="66" fillId="0" borderId="79" xfId="0" applyFont="1" applyBorder="1" applyAlignment="1">
      <alignment wrapText="1"/>
    </xf>
    <xf numFmtId="0" fontId="24" fillId="0" borderId="295" xfId="0" applyFont="1" applyBorder="1" applyAlignment="1">
      <alignment horizontal="center"/>
    </xf>
    <xf numFmtId="0" fontId="24" fillId="0" borderId="296" xfId="0" applyFont="1" applyBorder="1" applyAlignment="1">
      <alignment horizontal="center"/>
    </xf>
    <xf numFmtId="0" fontId="24" fillId="0" borderId="127" xfId="0" applyFont="1" applyBorder="1" applyAlignment="1">
      <alignment horizontal="center"/>
    </xf>
    <xf numFmtId="0" fontId="24" fillId="0" borderId="200" xfId="0" applyFont="1" applyBorder="1" applyAlignment="1">
      <alignment horizontal="center"/>
    </xf>
    <xf numFmtId="0" fontId="24" fillId="0" borderId="195" xfId="0" applyFont="1" applyBorder="1" applyAlignment="1">
      <alignment horizontal="center"/>
    </xf>
    <xf numFmtId="0" fontId="24" fillId="0" borderId="139" xfId="0" applyFont="1" applyBorder="1" applyAlignment="1">
      <alignment horizontal="center"/>
    </xf>
    <xf numFmtId="0" fontId="24" fillId="0" borderId="123" xfId="0" applyFont="1" applyBorder="1" applyAlignment="1">
      <alignment horizontal="center" wrapText="1"/>
    </xf>
    <xf numFmtId="0" fontId="24" fillId="0" borderId="154" xfId="0" applyFont="1" applyBorder="1" applyAlignment="1">
      <alignment horizontal="center" wrapText="1"/>
    </xf>
    <xf numFmtId="0" fontId="39" fillId="0" borderId="84" xfId="0" applyFont="1" applyBorder="1" applyAlignment="1">
      <alignment wrapText="1"/>
    </xf>
    <xf numFmtId="0" fontId="0" fillId="0" borderId="64" xfId="0" applyBorder="1" applyAlignment="1">
      <alignment wrapText="1"/>
    </xf>
    <xf numFmtId="0" fontId="33" fillId="0" borderId="195" xfId="0" applyFont="1" applyBorder="1" applyAlignment="1">
      <alignment horizontal="center" wrapText="1"/>
    </xf>
    <xf numFmtId="0" fontId="0" fillId="0" borderId="103" xfId="0" applyBorder="1" applyAlignment="1">
      <alignment horizontal="center" wrapText="1"/>
    </xf>
    <xf numFmtId="0" fontId="24" fillId="0" borderId="1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2" fillId="0" borderId="206" xfId="0" applyFont="1" applyBorder="1" applyAlignment="1">
      <alignment wrapText="1"/>
    </xf>
    <xf numFmtId="0" fontId="0" fillId="0" borderId="297" xfId="0" applyBorder="1" applyAlignment="1">
      <alignment wrapText="1"/>
    </xf>
    <xf numFmtId="0" fontId="2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4" fillId="0" borderId="77" xfId="0" applyFont="1" applyBorder="1" applyAlignment="1">
      <alignment horizontal="center" wrapText="1"/>
    </xf>
    <xf numFmtId="0" fontId="39" fillId="0" borderId="64" xfId="0" applyFont="1" applyBorder="1" applyAlignment="1">
      <alignment wrapText="1"/>
    </xf>
    <xf numFmtId="0" fontId="37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84" xfId="0" applyFont="1" applyBorder="1" applyAlignment="1">
      <alignment wrapText="1"/>
    </xf>
    <xf numFmtId="0" fontId="19" fillId="0" borderId="79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22" fillId="0" borderId="58" xfId="0" applyFont="1" applyBorder="1" applyAlignment="1">
      <alignment/>
    </xf>
    <xf numFmtId="0" fontId="0" fillId="0" borderId="66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24" fillId="0" borderId="190" xfId="0" applyFont="1" applyBorder="1" applyAlignment="1">
      <alignment horizontal="center" vertical="center"/>
    </xf>
    <xf numFmtId="0" fontId="0" fillId="0" borderId="128" xfId="0" applyBorder="1" applyAlignment="1">
      <alignment/>
    </xf>
    <xf numFmtId="0" fontId="24" fillId="0" borderId="271" xfId="0" applyFont="1" applyBorder="1" applyAlignment="1">
      <alignment horizontal="center" vertical="center" wrapText="1"/>
    </xf>
    <xf numFmtId="0" fontId="24" fillId="0" borderId="275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/>
    </xf>
    <xf numFmtId="0" fontId="24" fillId="0" borderId="117" xfId="0" applyFont="1" applyBorder="1" applyAlignment="1">
      <alignment horizontal="center" vertical="center"/>
    </xf>
    <xf numFmtId="0" fontId="0" fillId="0" borderId="93" xfId="0" applyBorder="1" applyAlignment="1">
      <alignment/>
    </xf>
    <xf numFmtId="0" fontId="0" fillId="0" borderId="125" xfId="0" applyBorder="1" applyAlignment="1">
      <alignment/>
    </xf>
    <xf numFmtId="0" fontId="24" fillId="0" borderId="123" xfId="0" applyFont="1" applyBorder="1" applyAlignment="1">
      <alignment wrapText="1"/>
    </xf>
    <xf numFmtId="0" fontId="24" fillId="0" borderId="76" xfId="0" applyFont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19" fillId="0" borderId="206" xfId="0" applyFont="1" applyBorder="1" applyAlignment="1">
      <alignment wrapText="1"/>
    </xf>
    <xf numFmtId="0" fontId="0" fillId="0" borderId="188" xfId="0" applyBorder="1" applyAlignment="1">
      <alignment wrapText="1"/>
    </xf>
    <xf numFmtId="0" fontId="45" fillId="0" borderId="0" xfId="54" applyFont="1" applyBorder="1" applyAlignment="1" applyProtection="1">
      <alignment horizontal="center"/>
      <protection/>
    </xf>
    <xf numFmtId="0" fontId="24" fillId="0" borderId="0" xfId="54" applyFont="1" applyBorder="1" applyAlignment="1" applyProtection="1">
      <alignment horizontal="center"/>
      <protection/>
    </xf>
    <xf numFmtId="0" fontId="24" fillId="0" borderId="200" xfId="54" applyFont="1" applyBorder="1" applyAlignment="1" applyProtection="1">
      <alignment horizontal="center"/>
      <protection/>
    </xf>
    <xf numFmtId="0" fontId="24" fillId="0" borderId="197" xfId="54" applyFont="1" applyBorder="1" applyAlignment="1" applyProtection="1">
      <alignment horizontal="center"/>
      <protection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/>
    </xf>
    <xf numFmtId="0" fontId="32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67" xfId="0" applyFont="1" applyBorder="1" applyAlignment="1">
      <alignment/>
    </xf>
    <xf numFmtId="0" fontId="32" fillId="0" borderId="117" xfId="0" applyFont="1" applyBorder="1" applyAlignment="1">
      <alignment/>
    </xf>
    <xf numFmtId="3" fontId="32" fillId="0" borderId="67" xfId="0" applyNumberFormat="1" applyFont="1" applyBorder="1" applyAlignment="1">
      <alignment/>
    </xf>
    <xf numFmtId="3" fontId="32" fillId="0" borderId="93" xfId="0" applyNumberFormat="1" applyFont="1" applyBorder="1" applyAlignment="1">
      <alignment/>
    </xf>
    <xf numFmtId="0" fontId="32" fillId="0" borderId="121" xfId="0" applyFont="1" applyBorder="1" applyAlignment="1">
      <alignment/>
    </xf>
    <xf numFmtId="0" fontId="32" fillId="0" borderId="176" xfId="0" applyFont="1" applyBorder="1" applyAlignment="1">
      <alignment/>
    </xf>
    <xf numFmtId="3" fontId="32" fillId="0" borderId="121" xfId="0" applyNumberFormat="1" applyFont="1" applyBorder="1" applyAlignment="1">
      <alignment/>
    </xf>
    <xf numFmtId="3" fontId="32" fillId="0" borderId="124" xfId="0" applyNumberFormat="1" applyFont="1" applyBorder="1" applyAlignment="1">
      <alignment/>
    </xf>
    <xf numFmtId="0" fontId="32" fillId="0" borderId="70" xfId="0" applyFont="1" applyBorder="1" applyAlignment="1">
      <alignment/>
    </xf>
    <xf numFmtId="0" fontId="32" fillId="0" borderId="80" xfId="0" applyFont="1" applyBorder="1" applyAlignment="1">
      <alignment/>
    </xf>
    <xf numFmtId="3" fontId="32" fillId="0" borderId="69" xfId="0" applyNumberFormat="1" applyFont="1" applyBorder="1" applyAlignment="1">
      <alignment/>
    </xf>
    <xf numFmtId="3" fontId="32" fillId="0" borderId="72" xfId="0" applyNumberFormat="1" applyFont="1" applyBorder="1" applyAlignment="1">
      <alignment/>
    </xf>
    <xf numFmtId="0" fontId="32" fillId="0" borderId="163" xfId="0" applyFont="1" applyBorder="1" applyAlignment="1">
      <alignment/>
    </xf>
    <xf numFmtId="0" fontId="32" fillId="0" borderId="272" xfId="0" applyFont="1" applyBorder="1" applyAlignment="1">
      <alignment/>
    </xf>
    <xf numFmtId="3" fontId="32" fillId="0" borderId="163" xfId="0" applyNumberFormat="1" applyFont="1" applyBorder="1" applyAlignment="1">
      <alignment/>
    </xf>
    <xf numFmtId="3" fontId="32" fillId="0" borderId="209" xfId="0" applyNumberFormat="1" applyFont="1" applyBorder="1" applyAlignment="1">
      <alignment/>
    </xf>
    <xf numFmtId="0" fontId="55" fillId="0" borderId="67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24" fillId="0" borderId="0" xfId="0" applyFont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117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93" xfId="0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37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6" fillId="0" borderId="84" xfId="0" applyFont="1" applyBorder="1" applyAlignment="1">
      <alignment horizontal="center" wrapText="1"/>
    </xf>
    <xf numFmtId="0" fontId="36" fillId="0" borderId="64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79" xfId="0" applyBorder="1" applyAlignment="1">
      <alignment wrapText="1"/>
    </xf>
    <xf numFmtId="0" fontId="19" fillId="0" borderId="117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5" fillId="0" borderId="29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49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justify"/>
    </xf>
    <xf numFmtId="0" fontId="51" fillId="0" borderId="81" xfId="0" applyFont="1" applyBorder="1" applyAlignment="1">
      <alignment horizontal="center" vertical="center"/>
    </xf>
    <xf numFmtId="0" fontId="51" fillId="0" borderId="187" xfId="0" applyFont="1" applyBorder="1" applyAlignment="1">
      <alignment horizontal="center" vertical="center"/>
    </xf>
    <xf numFmtId="0" fontId="52" fillId="0" borderId="263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19" fillId="0" borderId="20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2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00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0" fontId="0" fillId="0" borderId="202" xfId="0" applyBorder="1" applyAlignment="1">
      <alignment horizontal="center"/>
    </xf>
    <xf numFmtId="0" fontId="46" fillId="0" borderId="298" xfId="0" applyFont="1" applyBorder="1" applyAlignment="1">
      <alignment horizontal="center" vertical="center"/>
    </xf>
    <xf numFmtId="0" fontId="46" fillId="0" borderId="29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4" fillId="0" borderId="234" xfId="0" applyFont="1" applyBorder="1" applyAlignment="1">
      <alignment horizontal="center" vertical="center" wrapText="1"/>
    </xf>
    <xf numFmtId="0" fontId="24" fillId="0" borderId="300" xfId="0" applyFont="1" applyBorder="1" applyAlignment="1">
      <alignment horizontal="center" vertical="center" wrapText="1"/>
    </xf>
    <xf numFmtId="0" fontId="24" fillId="0" borderId="230" xfId="0" applyFont="1" applyBorder="1" applyAlignment="1">
      <alignment horizontal="center" vertical="center"/>
    </xf>
    <xf numFmtId="0" fontId="24" fillId="0" borderId="231" xfId="0" applyFont="1" applyBorder="1" applyAlignment="1">
      <alignment horizontal="center" vertical="center"/>
    </xf>
    <xf numFmtId="0" fontId="24" fillId="0" borderId="230" xfId="0" applyFont="1" applyBorder="1" applyAlignment="1">
      <alignment horizontal="center" vertical="center" wrapText="1"/>
    </xf>
    <xf numFmtId="0" fontId="46" fillId="0" borderId="301" xfId="0" applyFont="1" applyBorder="1" applyAlignment="1">
      <alignment horizontal="center" vertical="center"/>
    </xf>
    <xf numFmtId="0" fontId="46" fillId="0" borderId="302" xfId="0" applyFont="1" applyBorder="1" applyAlignment="1">
      <alignment horizontal="center" vertical="center"/>
    </xf>
    <xf numFmtId="0" fontId="24" fillId="0" borderId="303" xfId="0" applyFont="1" applyBorder="1" applyAlignment="1">
      <alignment horizontal="center" vertical="center" wrapText="1"/>
    </xf>
    <xf numFmtId="0" fontId="24" fillId="0" borderId="304" xfId="0" applyFont="1" applyBorder="1" applyAlignment="1">
      <alignment horizontal="center" vertical="center" wrapText="1"/>
    </xf>
    <xf numFmtId="0" fontId="46" fillId="0" borderId="230" xfId="0" applyFont="1" applyBorder="1" applyAlignment="1">
      <alignment horizontal="center" vertical="center"/>
    </xf>
    <xf numFmtId="0" fontId="46" fillId="0" borderId="305" xfId="0" applyFont="1" applyBorder="1" applyAlignment="1">
      <alignment horizontal="center" vertical="center"/>
    </xf>
    <xf numFmtId="0" fontId="24" fillId="0" borderId="305" xfId="0" applyFont="1" applyBorder="1" applyAlignment="1">
      <alignment horizontal="center" vertical="center" wrapText="1"/>
    </xf>
    <xf numFmtId="0" fontId="22" fillId="0" borderId="67" xfId="0" applyFont="1" applyBorder="1" applyAlignment="1">
      <alignment/>
    </xf>
    <xf numFmtId="0" fontId="0" fillId="0" borderId="117" xfId="0" applyBorder="1" applyAlignment="1">
      <alignment/>
    </xf>
    <xf numFmtId="0" fontId="22" fillId="0" borderId="177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30" fillId="0" borderId="0" xfId="0" applyFont="1" applyAlignment="1">
      <alignment horizontal="center"/>
    </xf>
    <xf numFmtId="0" fontId="75" fillId="0" borderId="80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75" fillId="0" borderId="46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32" fillId="0" borderId="21" xfId="0" applyFont="1" applyBorder="1" applyAlignment="1">
      <alignment horizontal="right"/>
    </xf>
    <xf numFmtId="3" fontId="24" fillId="0" borderId="149" xfId="0" applyNumberFormat="1" applyFont="1" applyBorder="1" applyAlignment="1">
      <alignment/>
    </xf>
    <xf numFmtId="0" fontId="55" fillId="0" borderId="84" xfId="0" applyFont="1" applyBorder="1" applyAlignment="1">
      <alignment wrapText="1"/>
    </xf>
    <xf numFmtId="0" fontId="55" fillId="0" borderId="63" xfId="0" applyFont="1" applyBorder="1" applyAlignment="1">
      <alignment wrapText="1"/>
    </xf>
    <xf numFmtId="0" fontId="56" fillId="0" borderId="119" xfId="0" applyFont="1" applyBorder="1" applyAlignment="1">
      <alignment/>
    </xf>
    <xf numFmtId="0" fontId="19" fillId="0" borderId="278" xfId="0" applyFont="1" applyBorder="1" applyAlignment="1">
      <alignment/>
    </xf>
    <xf numFmtId="0" fontId="24" fillId="0" borderId="78" xfId="0" applyFont="1" applyBorder="1" applyAlignment="1">
      <alignment horizontal="center"/>
    </xf>
    <xf numFmtId="3" fontId="19" fillId="0" borderId="261" xfId="0" applyNumberFormat="1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1743075</xdr:colOff>
      <xdr:row>27</xdr:row>
      <xdr:rowOff>85725</xdr:rowOff>
    </xdr:from>
    <xdr:ext cx="190500" cy="257175"/>
    <xdr:sp>
      <xdr:nvSpPr>
        <xdr:cNvPr id="1" name="Szövegdoboz 1"/>
        <xdr:cNvSpPr txBox="1">
          <a:spLocks noChangeArrowheads="1"/>
        </xdr:cNvSpPr>
      </xdr:nvSpPr>
      <xdr:spPr>
        <a:xfrm>
          <a:off x="6648450" y="6257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incst&#225;ri%20Iroda\Balog%20L&#225;szl&#243;n&#233;\TKT2012\TKT%202012KTGV02.14.v&#233;gleg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sz_ melléklet"/>
      <sheetName val="2_sz_ melléklet"/>
      <sheetName val="3_sz_melléklet"/>
      <sheetName val="4 sz. melléklet"/>
      <sheetName val="5_6_sz_melléklet"/>
      <sheetName val="7_8 sz. melléklet"/>
      <sheetName val="9_10_sz_melléklet"/>
      <sheetName val="11_sz_ melléklet"/>
      <sheetName val="12_ melléklet"/>
      <sheetName val="13_14_sz_melléklet"/>
      <sheetName val="15_16_sz_ melléklet"/>
      <sheetName val="17_18_19 sz. melléklet"/>
      <sheetName val="20_21_ sz. melléklet"/>
      <sheetName val="22_23_sz_ mell_"/>
      <sheetName val="24 sz. mell"/>
      <sheetName val="25_ sz_ melléklet"/>
      <sheetName val="26_sz_ melléklet"/>
      <sheetName val="27_sz_ melléklet"/>
      <sheetName val="28_sz_ melléklet"/>
      <sheetName val="29_30_sz_ melléklet"/>
      <sheetName val="31_sz_ melléklet"/>
      <sheetName val="32_sz_ melléklet"/>
      <sheetName val="33_sz_ melléklet"/>
      <sheetName val="34_sz_melléklet"/>
      <sheetName val="35. sz_ melléklet"/>
      <sheetName val="36_sz_melléklet"/>
      <sheetName val="37. sz melléklet"/>
      <sheetName val="1.sz. tájékoztató"/>
      <sheetName val="2.sz. tájékoztató"/>
    </sheetNames>
    <sheetDataSet>
      <sheetData sheetId="10">
        <row r="48">
          <cell r="C48">
            <v>0</v>
          </cell>
        </row>
      </sheetData>
      <sheetData sheetId="15">
        <row r="33">
          <cell r="E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B1">
      <selection activeCell="E55" sqref="E55"/>
    </sheetView>
  </sheetViews>
  <sheetFormatPr defaultColWidth="9.140625" defaultRowHeight="12.75"/>
  <cols>
    <col min="1" max="1" width="3.8515625" style="0" customWidth="1"/>
    <col min="2" max="2" width="33.574218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</cols>
  <sheetData>
    <row r="1" spans="1:9" ht="12.75">
      <c r="A1" s="1546" t="s">
        <v>1331</v>
      </c>
      <c r="B1" s="1546"/>
      <c r="C1" s="1546"/>
      <c r="D1" s="1546"/>
      <c r="E1" s="1546"/>
      <c r="F1" s="1546"/>
      <c r="G1" s="1546"/>
      <c r="H1" s="1546"/>
      <c r="I1" s="1546"/>
    </row>
    <row r="2" spans="2:9" s="2" customFormat="1" ht="18" customHeight="1">
      <c r="B2" s="1547" t="s">
        <v>0</v>
      </c>
      <c r="C2" s="1547"/>
      <c r="D2" s="1547"/>
      <c r="E2" s="1547"/>
      <c r="F2" s="1547"/>
      <c r="G2" s="1547"/>
      <c r="H2" s="1547"/>
      <c r="I2" s="1547"/>
    </row>
    <row r="3" spans="2:9" s="2" customFormat="1" ht="18.75" customHeight="1">
      <c r="B3" s="1547" t="s">
        <v>917</v>
      </c>
      <c r="C3" s="1547"/>
      <c r="D3" s="1547"/>
      <c r="E3" s="1547"/>
      <c r="F3" s="1547"/>
      <c r="G3" s="1547"/>
      <c r="H3" s="1547"/>
      <c r="I3" s="1547"/>
    </row>
    <row r="4" spans="2:9" s="2" customFormat="1" ht="18.75" customHeight="1" thickBot="1">
      <c r="B4" s="927"/>
      <c r="C4" s="927"/>
      <c r="D4" s="927"/>
      <c r="E4" s="927"/>
      <c r="F4" s="927"/>
      <c r="G4" s="927"/>
      <c r="H4" s="927"/>
      <c r="I4" s="927" t="s">
        <v>376</v>
      </c>
    </row>
    <row r="5" spans="1:9" ht="13.5" thickBot="1">
      <c r="A5" s="1548" t="s">
        <v>801</v>
      </c>
      <c r="B5" s="1550" t="s">
        <v>1</v>
      </c>
      <c r="C5" s="1551"/>
      <c r="D5" s="1551"/>
      <c r="E5" s="1552"/>
      <c r="F5" s="1552" t="s">
        <v>2</v>
      </c>
      <c r="G5" s="1554"/>
      <c r="H5" s="1554"/>
      <c r="I5" s="1555"/>
    </row>
    <row r="6" spans="1:9" s="3" customFormat="1" ht="29.25" customHeight="1" thickBot="1">
      <c r="A6" s="1549"/>
      <c r="B6" s="925" t="s">
        <v>3</v>
      </c>
      <c r="C6" s="950" t="s">
        <v>919</v>
      </c>
      <c r="D6" s="554" t="s">
        <v>920</v>
      </c>
      <c r="E6" s="924" t="s">
        <v>918</v>
      </c>
      <c r="F6" s="687" t="s">
        <v>3</v>
      </c>
      <c r="G6" s="950" t="s">
        <v>925</v>
      </c>
      <c r="H6" s="554" t="s">
        <v>926</v>
      </c>
      <c r="I6" s="924" t="s">
        <v>918</v>
      </c>
    </row>
    <row r="7" spans="1:9" s="555" customFormat="1" ht="12" thickBot="1">
      <c r="A7" s="937" t="s">
        <v>802</v>
      </c>
      <c r="B7" s="945" t="s">
        <v>803</v>
      </c>
      <c r="C7" s="945" t="s">
        <v>804</v>
      </c>
      <c r="D7" s="946" t="s">
        <v>805</v>
      </c>
      <c r="E7" s="947" t="s">
        <v>825</v>
      </c>
      <c r="F7" s="948" t="s">
        <v>850</v>
      </c>
      <c r="G7" s="945" t="s">
        <v>825</v>
      </c>
      <c r="H7" s="946" t="s">
        <v>851</v>
      </c>
      <c r="I7" s="947" t="s">
        <v>904</v>
      </c>
    </row>
    <row r="8" spans="1:9" s="3" customFormat="1" ht="18.75" customHeight="1">
      <c r="A8" s="553" t="s">
        <v>945</v>
      </c>
      <c r="B8" s="918" t="s">
        <v>928</v>
      </c>
      <c r="C8" s="506">
        <f>C9+C10+C11+C12</f>
        <v>4190971</v>
      </c>
      <c r="D8" s="196">
        <f>D9+D10+D11+D12</f>
        <v>4791152</v>
      </c>
      <c r="E8" s="188">
        <f>'13_sz_ melléklet'!F7</f>
        <v>3653343.2996666664</v>
      </c>
      <c r="F8" s="918" t="s">
        <v>929</v>
      </c>
      <c r="G8" s="1261">
        <f>G9+G10+G11+G12+G13</f>
        <v>4089411</v>
      </c>
      <c r="H8" s="1262">
        <f>H9+H10+H11+H12+H13</f>
        <v>4333591</v>
      </c>
      <c r="I8" s="932">
        <f>'2_sz_ melléklet'!F19</f>
        <v>3807786</v>
      </c>
    </row>
    <row r="9" spans="1:9" s="3" customFormat="1" ht="13.5" customHeight="1">
      <c r="A9" s="553" t="s">
        <v>946</v>
      </c>
      <c r="B9" s="919" t="s">
        <v>921</v>
      </c>
      <c r="C9" s="339">
        <v>521353</v>
      </c>
      <c r="D9" s="194">
        <v>777690</v>
      </c>
      <c r="E9" s="186">
        <f>'13_sz_ melléklet'!F8</f>
        <v>327927</v>
      </c>
      <c r="F9" s="919" t="s">
        <v>924</v>
      </c>
      <c r="G9" s="1263">
        <v>1785253</v>
      </c>
      <c r="H9" s="1264">
        <v>1756233</v>
      </c>
      <c r="I9" s="933">
        <f>'2_sz_ melléklet'!F8</f>
        <v>1525464</v>
      </c>
    </row>
    <row r="10" spans="1:9" s="3" customFormat="1" ht="27" customHeight="1">
      <c r="A10" s="553" t="s">
        <v>947</v>
      </c>
      <c r="B10" s="919" t="s">
        <v>922</v>
      </c>
      <c r="C10" s="339">
        <v>1237629</v>
      </c>
      <c r="D10" s="194">
        <v>1479914</v>
      </c>
      <c r="E10" s="186">
        <f>'13_sz_ melléklet'!F9</f>
        <v>1407811</v>
      </c>
      <c r="F10" s="291" t="s">
        <v>12</v>
      </c>
      <c r="G10" s="1263">
        <v>457732</v>
      </c>
      <c r="H10" s="1264">
        <v>451944</v>
      </c>
      <c r="I10" s="933">
        <f>'2_sz_ melléklet'!F9</f>
        <v>422953</v>
      </c>
    </row>
    <row r="11" spans="1:9" s="3" customFormat="1" ht="12" customHeight="1">
      <c r="A11" s="553" t="s">
        <v>948</v>
      </c>
      <c r="B11" s="919" t="s">
        <v>927</v>
      </c>
      <c r="C11" s="339">
        <v>1814762</v>
      </c>
      <c r="D11" s="194">
        <v>1879114</v>
      </c>
      <c r="E11" s="186">
        <f>'13_sz_ melléklet'!F14</f>
        <v>1451274.2996666667</v>
      </c>
      <c r="F11" s="291" t="s">
        <v>13</v>
      </c>
      <c r="G11" s="1263">
        <v>1160452</v>
      </c>
      <c r="H11" s="1264">
        <v>1368697</v>
      </c>
      <c r="I11" s="933">
        <f>'2_sz_ melléklet'!F10+'2_sz_ melléklet'!F11</f>
        <v>1124336</v>
      </c>
    </row>
    <row r="12" spans="1:9" s="3" customFormat="1" ht="13.5" customHeight="1">
      <c r="A12" s="553" t="s">
        <v>949</v>
      </c>
      <c r="B12" s="919" t="s">
        <v>512</v>
      </c>
      <c r="C12" s="339">
        <v>617227</v>
      </c>
      <c r="D12" s="194">
        <v>654434</v>
      </c>
      <c r="E12" s="186">
        <f>'13_sz_ melléklet'!F20</f>
        <v>466331</v>
      </c>
      <c r="F12" s="291" t="s">
        <v>401</v>
      </c>
      <c r="G12" s="1263">
        <v>670533</v>
      </c>
      <c r="H12" s="1264">
        <v>733817</v>
      </c>
      <c r="I12" s="933">
        <f>'2_sz_ melléklet'!F13</f>
        <v>720721</v>
      </c>
    </row>
    <row r="13" spans="1:9" s="3" customFormat="1" ht="14.25" customHeight="1">
      <c r="A13" s="553" t="s">
        <v>950</v>
      </c>
      <c r="B13" s="451"/>
      <c r="C13" s="339"/>
      <c r="D13" s="194"/>
      <c r="E13" s="186"/>
      <c r="F13" s="226" t="s">
        <v>399</v>
      </c>
      <c r="G13" s="1263">
        <v>15441</v>
      </c>
      <c r="H13" s="1264">
        <v>22900</v>
      </c>
      <c r="I13" s="933">
        <f>'2_sz_ melléklet'!F18</f>
        <v>14312</v>
      </c>
    </row>
    <row r="14" spans="1:9" s="3" customFormat="1" ht="14.25" customHeight="1">
      <c r="A14" s="553" t="s">
        <v>951</v>
      </c>
      <c r="B14" s="451"/>
      <c r="C14" s="339"/>
      <c r="D14" s="194"/>
      <c r="E14" s="186"/>
      <c r="F14" s="39"/>
      <c r="G14" s="1263"/>
      <c r="H14" s="1264"/>
      <c r="I14" s="933"/>
    </row>
    <row r="15" spans="1:9" s="3" customFormat="1" ht="21" customHeight="1">
      <c r="A15" s="553" t="s">
        <v>952</v>
      </c>
      <c r="B15" s="451" t="s">
        <v>986</v>
      </c>
      <c r="C15" s="339">
        <f>C16+C17+C18</f>
        <v>1036044</v>
      </c>
      <c r="D15" s="194">
        <f>D16+D17+D18</f>
        <v>2582462</v>
      </c>
      <c r="E15" s="186">
        <f>'13_sz_ melléklet'!F22</f>
        <v>3766543</v>
      </c>
      <c r="F15" s="451" t="s">
        <v>930</v>
      </c>
      <c r="G15" s="1263">
        <f>G16+G17+G18</f>
        <v>1269571</v>
      </c>
      <c r="H15" s="1264">
        <f>H16+H17+H18</f>
        <v>3485362</v>
      </c>
      <c r="I15" s="933">
        <f>'2_sz_ melléklet'!F29</f>
        <v>4020980</v>
      </c>
    </row>
    <row r="16" spans="1:9" s="3" customFormat="1" ht="14.25" customHeight="1">
      <c r="A16" s="553" t="s">
        <v>953</v>
      </c>
      <c r="B16" s="919" t="s">
        <v>518</v>
      </c>
      <c r="C16" s="339">
        <v>473356</v>
      </c>
      <c r="D16" s="194">
        <v>920046</v>
      </c>
      <c r="E16" s="186">
        <f>'13_sz_ melléklet'!F23</f>
        <v>914929</v>
      </c>
      <c r="F16" s="291" t="s">
        <v>931</v>
      </c>
      <c r="G16" s="1263">
        <v>927264</v>
      </c>
      <c r="H16" s="1264">
        <v>2937787</v>
      </c>
      <c r="I16" s="933">
        <f>'2_sz_ melléklet'!F21</f>
        <v>3619740</v>
      </c>
    </row>
    <row r="17" spans="1:9" s="3" customFormat="1" ht="23.25" customHeight="1">
      <c r="A17" s="553" t="s">
        <v>954</v>
      </c>
      <c r="B17" s="919" t="s">
        <v>934</v>
      </c>
      <c r="C17" s="339">
        <v>50518</v>
      </c>
      <c r="D17" s="194">
        <v>44388</v>
      </c>
      <c r="E17" s="186">
        <f>'13_sz_ melléklet'!F27</f>
        <v>6176</v>
      </c>
      <c r="F17" s="291" t="s">
        <v>932</v>
      </c>
      <c r="G17" s="1263">
        <v>113716</v>
      </c>
      <c r="H17" s="1264">
        <v>105018</v>
      </c>
      <c r="I17" s="933">
        <f>'2_sz_ melléklet'!F22</f>
        <v>168193</v>
      </c>
    </row>
    <row r="18" spans="1:9" s="3" customFormat="1" ht="15" customHeight="1">
      <c r="A18" s="553" t="s">
        <v>955</v>
      </c>
      <c r="B18" s="919" t="s">
        <v>520</v>
      </c>
      <c r="C18" s="339">
        <v>512170</v>
      </c>
      <c r="D18" s="194">
        <v>1618028</v>
      </c>
      <c r="E18" s="186">
        <f>'13_sz_ melléklet'!F30</f>
        <v>2845438</v>
      </c>
      <c r="F18" s="291" t="s">
        <v>933</v>
      </c>
      <c r="G18" s="1263">
        <v>228591</v>
      </c>
      <c r="H18" s="1264">
        <v>442557</v>
      </c>
      <c r="I18" s="933">
        <f>'2_sz_ melléklet'!F23</f>
        <v>122351</v>
      </c>
    </row>
    <row r="19" spans="1:9" s="3" customFormat="1" ht="15" customHeight="1">
      <c r="A19" s="553" t="s">
        <v>956</v>
      </c>
      <c r="B19" s="919"/>
      <c r="C19" s="339"/>
      <c r="D19" s="194"/>
      <c r="E19" s="186"/>
      <c r="F19" s="39"/>
      <c r="G19" s="1263"/>
      <c r="H19" s="1264"/>
      <c r="I19" s="933"/>
    </row>
    <row r="20" spans="1:9" s="3" customFormat="1" ht="23.25" customHeight="1">
      <c r="A20" s="553" t="s">
        <v>957</v>
      </c>
      <c r="B20" s="451" t="s">
        <v>585</v>
      </c>
      <c r="C20" s="339">
        <v>4254</v>
      </c>
      <c r="D20" s="194">
        <v>4569</v>
      </c>
      <c r="E20" s="186">
        <f>'13_sz_ melléklet'!F34</f>
        <v>64877</v>
      </c>
      <c r="F20" s="451" t="s">
        <v>412</v>
      </c>
      <c r="G20" s="1263">
        <v>5160</v>
      </c>
      <c r="H20" s="1264">
        <v>7240</v>
      </c>
      <c r="I20" s="933">
        <f>'2_sz_ melléklet'!F34</f>
        <v>62200</v>
      </c>
    </row>
    <row r="21" spans="1:9" s="3" customFormat="1" ht="12.75" customHeight="1">
      <c r="A21" s="553" t="s">
        <v>958</v>
      </c>
      <c r="B21" s="451"/>
      <c r="C21" s="339"/>
      <c r="D21" s="194"/>
      <c r="E21" s="186"/>
      <c r="F21" s="451"/>
      <c r="G21" s="1263"/>
      <c r="H21" s="1264"/>
      <c r="I21" s="933"/>
    </row>
    <row r="22" spans="1:9" s="3" customFormat="1" ht="24" customHeight="1">
      <c r="A22" s="553" t="s">
        <v>959</v>
      </c>
      <c r="B22" s="451" t="s">
        <v>605</v>
      </c>
      <c r="C22" s="339"/>
      <c r="D22" s="194"/>
      <c r="E22" s="186">
        <f>'13_sz_ melléklet'!F36</f>
        <v>0</v>
      </c>
      <c r="F22" s="451" t="s">
        <v>419</v>
      </c>
      <c r="G22" s="1263"/>
      <c r="H22" s="1264"/>
      <c r="I22" s="933">
        <f>I23+I24</f>
        <v>576547</v>
      </c>
    </row>
    <row r="23" spans="1:9" s="3" customFormat="1" ht="15">
      <c r="A23" s="553" t="s">
        <v>960</v>
      </c>
      <c r="B23" s="451"/>
      <c r="C23" s="339"/>
      <c r="D23" s="194"/>
      <c r="E23" s="186"/>
      <c r="F23" s="451" t="s">
        <v>606</v>
      </c>
      <c r="G23" s="1263"/>
      <c r="H23" s="1264"/>
      <c r="I23" s="933">
        <f>'2_sz_ melléklet'!F37</f>
        <v>563725</v>
      </c>
    </row>
    <row r="24" spans="1:9" s="3" customFormat="1" ht="14.25" customHeight="1">
      <c r="A24" s="553" t="s">
        <v>961</v>
      </c>
      <c r="B24" s="919"/>
      <c r="C24" s="502"/>
      <c r="D24" s="190"/>
      <c r="E24" s="186"/>
      <c r="F24" s="1503" t="s">
        <v>913</v>
      </c>
      <c r="G24" s="1263"/>
      <c r="H24" s="1264"/>
      <c r="I24" s="933">
        <f>'2_sz_ melléklet'!F38</f>
        <v>12822</v>
      </c>
    </row>
    <row r="25" spans="1:9" s="3" customFormat="1" ht="13.5" customHeight="1" thickBot="1">
      <c r="A25" s="952" t="s">
        <v>962</v>
      </c>
      <c r="B25" s="920"/>
      <c r="C25" s="503"/>
      <c r="D25" s="195"/>
      <c r="E25" s="184"/>
      <c r="F25" s="926"/>
      <c r="G25" s="1265"/>
      <c r="H25" s="1266"/>
      <c r="I25" s="934"/>
    </row>
    <row r="26" spans="1:9" s="7" customFormat="1" ht="29.25" customHeight="1" thickBot="1">
      <c r="A26" s="582" t="s">
        <v>963</v>
      </c>
      <c r="B26" s="953" t="s">
        <v>923</v>
      </c>
      <c r="C26" s="197">
        <f>C8+C15+C20+C22</f>
        <v>5231269</v>
      </c>
      <c r="D26" s="197">
        <f>D8+D15+D20+D22</f>
        <v>7378183</v>
      </c>
      <c r="E26" s="197">
        <f>E8+E15+E20+E22</f>
        <v>7484763.299666666</v>
      </c>
      <c r="F26" s="954" t="s">
        <v>935</v>
      </c>
      <c r="G26" s="1267">
        <f>G8+G15+G20+G22</f>
        <v>5364142</v>
      </c>
      <c r="H26" s="1267">
        <f>H8+H15+H20+H22</f>
        <v>7826193</v>
      </c>
      <c r="I26" s="1339">
        <f>I8+I15+I20+I22</f>
        <v>8467513</v>
      </c>
    </row>
    <row r="27" spans="1:11" s="7" customFormat="1" ht="29.25" customHeight="1">
      <c r="A27" s="935"/>
      <c r="B27" s="917"/>
      <c r="C27" s="928"/>
      <c r="D27" s="928"/>
      <c r="E27" s="929"/>
      <c r="F27" s="917"/>
      <c r="G27" s="549"/>
      <c r="H27" s="549"/>
      <c r="I27" s="930"/>
      <c r="J27" s="931"/>
      <c r="K27" s="931"/>
    </row>
    <row r="28" spans="1:11" s="7" customFormat="1" ht="29.25" customHeight="1">
      <c r="A28" s="935"/>
      <c r="B28" s="917"/>
      <c r="C28" s="928"/>
      <c r="D28" s="928"/>
      <c r="E28" s="929"/>
      <c r="F28" s="917"/>
      <c r="G28" s="549"/>
      <c r="H28" s="549"/>
      <c r="I28" s="930"/>
      <c r="J28" s="931"/>
      <c r="K28" s="931"/>
    </row>
    <row r="29" spans="1:11" s="7" customFormat="1" ht="13.5" customHeight="1">
      <c r="A29" s="935"/>
      <c r="B29" s="917"/>
      <c r="C29" s="928"/>
      <c r="D29" s="928"/>
      <c r="E29" s="929"/>
      <c r="F29" s="917"/>
      <c r="G29" s="549"/>
      <c r="H29" s="549"/>
      <c r="I29" s="930"/>
      <c r="J29" s="931"/>
      <c r="K29" s="931"/>
    </row>
    <row r="30" spans="1:11" s="7" customFormat="1" ht="15.75" customHeight="1">
      <c r="A30" s="1544">
        <v>2</v>
      </c>
      <c r="B30" s="1545"/>
      <c r="C30" s="1545"/>
      <c r="D30" s="1545"/>
      <c r="E30" s="1545"/>
      <c r="F30" s="1545"/>
      <c r="G30" s="1545"/>
      <c r="H30" s="1545"/>
      <c r="I30" s="1545"/>
      <c r="J30" s="931"/>
      <c r="K30" s="931"/>
    </row>
    <row r="31" spans="1:11" s="7" customFormat="1" ht="15" customHeight="1">
      <c r="A31" s="1546" t="s">
        <v>1330</v>
      </c>
      <c r="B31" s="1546"/>
      <c r="C31" s="1546"/>
      <c r="D31" s="1546"/>
      <c r="E31" s="1546"/>
      <c r="F31" s="1546"/>
      <c r="G31" s="1546"/>
      <c r="H31" s="1546"/>
      <c r="I31" s="1546"/>
      <c r="J31" s="931"/>
      <c r="K31" s="931"/>
    </row>
    <row r="32" spans="1:11" s="7" customFormat="1" ht="19.5" customHeight="1">
      <c r="A32" s="2"/>
      <c r="B32" s="1547" t="s">
        <v>0</v>
      </c>
      <c r="C32" s="1547"/>
      <c r="D32" s="1547"/>
      <c r="E32" s="1547"/>
      <c r="F32" s="1547"/>
      <c r="G32" s="1547"/>
      <c r="H32" s="1547"/>
      <c r="I32" s="1547"/>
      <c r="J32" s="931"/>
      <c r="K32" s="931"/>
    </row>
    <row r="33" spans="1:9" s="7" customFormat="1" ht="15" customHeight="1">
      <c r="A33" s="2"/>
      <c r="B33" s="1547" t="s">
        <v>917</v>
      </c>
      <c r="C33" s="1547"/>
      <c r="D33" s="1547"/>
      <c r="E33" s="1547"/>
      <c r="F33" s="1547"/>
      <c r="G33" s="1547"/>
      <c r="H33" s="1547"/>
      <c r="I33" s="1547"/>
    </row>
    <row r="34" spans="1:9" s="7" customFormat="1" ht="15" customHeight="1" thickBot="1">
      <c r="A34" s="2"/>
      <c r="B34" s="927"/>
      <c r="C34" s="927"/>
      <c r="D34" s="927"/>
      <c r="E34" s="927"/>
      <c r="F34" s="927"/>
      <c r="G34" s="927"/>
      <c r="H34" s="927"/>
      <c r="I34" s="927" t="s">
        <v>376</v>
      </c>
    </row>
    <row r="35" spans="1:9" s="7" customFormat="1" ht="17.25" customHeight="1" thickBot="1">
      <c r="A35" s="1548" t="s">
        <v>801</v>
      </c>
      <c r="B35" s="1550" t="s">
        <v>1</v>
      </c>
      <c r="C35" s="1551"/>
      <c r="D35" s="1551"/>
      <c r="E35" s="1552"/>
      <c r="F35" s="1553" t="s">
        <v>2</v>
      </c>
      <c r="G35" s="1554"/>
      <c r="H35" s="1554"/>
      <c r="I35" s="1555"/>
    </row>
    <row r="36" spans="1:9" s="7" customFormat="1" ht="27.75" customHeight="1" thickBot="1">
      <c r="A36" s="1549"/>
      <c r="B36" s="940" t="s">
        <v>3</v>
      </c>
      <c r="C36" s="941" t="s">
        <v>919</v>
      </c>
      <c r="D36" s="942" t="s">
        <v>920</v>
      </c>
      <c r="E36" s="943" t="s">
        <v>918</v>
      </c>
      <c r="F36" s="944" t="s">
        <v>3</v>
      </c>
      <c r="G36" s="941" t="s">
        <v>925</v>
      </c>
      <c r="H36" s="942" t="s">
        <v>926</v>
      </c>
      <c r="I36" s="943" t="s">
        <v>918</v>
      </c>
    </row>
    <row r="37" spans="1:9" s="7" customFormat="1" ht="14.25" customHeight="1" thickBot="1">
      <c r="A37" s="937" t="s">
        <v>802</v>
      </c>
      <c r="B37" s="945" t="s">
        <v>803</v>
      </c>
      <c r="C37" s="945" t="s">
        <v>804</v>
      </c>
      <c r="D37" s="946" t="s">
        <v>805</v>
      </c>
      <c r="E37" s="947" t="s">
        <v>825</v>
      </c>
      <c r="F37" s="948" t="s">
        <v>850</v>
      </c>
      <c r="G37" s="945" t="s">
        <v>825</v>
      </c>
      <c r="H37" s="946" t="s">
        <v>851</v>
      </c>
      <c r="I37" s="947" t="s">
        <v>904</v>
      </c>
    </row>
    <row r="38" spans="1:9" ht="25.5" customHeight="1">
      <c r="A38" s="1011" t="s">
        <v>826</v>
      </c>
      <c r="B38" s="936" t="s">
        <v>941</v>
      </c>
      <c r="C38" s="1371"/>
      <c r="D38" s="1372"/>
      <c r="E38" s="1240">
        <f>'13_sz_ melléklet'!F41</f>
        <v>0</v>
      </c>
      <c r="F38" s="1243" t="s">
        <v>944</v>
      </c>
      <c r="G38" s="1255"/>
      <c r="H38" s="1256"/>
      <c r="I38" s="1340">
        <f>'2_sz_ melléklet'!F45</f>
        <v>0</v>
      </c>
    </row>
    <row r="39" spans="1:9" ht="29.25" customHeight="1">
      <c r="A39" s="1011" t="s">
        <v>827</v>
      </c>
      <c r="B39" s="451" t="s">
        <v>937</v>
      </c>
      <c r="C39" s="1373">
        <f>C40+C41</f>
        <v>204390</v>
      </c>
      <c r="D39" s="1373">
        <f>D40+D41</f>
        <v>601856</v>
      </c>
      <c r="E39" s="1241">
        <f>'13_sz_ melléklet'!F47</f>
        <v>681808</v>
      </c>
      <c r="F39" s="1244"/>
      <c r="G39" s="1235"/>
      <c r="H39" s="1236"/>
      <c r="I39" s="1341"/>
    </row>
    <row r="40" spans="1:9" s="10" customFormat="1" ht="14.25" customHeight="1">
      <c r="A40" s="1011" t="s">
        <v>828</v>
      </c>
      <c r="B40" s="917" t="s">
        <v>4</v>
      </c>
      <c r="C40" s="1373">
        <v>176011</v>
      </c>
      <c r="D40" s="1347">
        <v>93739</v>
      </c>
      <c r="E40" s="1241">
        <f>'13_sz_ melléklet'!F48</f>
        <v>24104</v>
      </c>
      <c r="F40" s="1245"/>
      <c r="G40" s="1235"/>
      <c r="H40" s="1236"/>
      <c r="I40" s="1342"/>
    </row>
    <row r="41" spans="1:9" s="10" customFormat="1" ht="12.75" customHeight="1">
      <c r="A41" s="1011" t="s">
        <v>829</v>
      </c>
      <c r="B41" s="921" t="s">
        <v>5</v>
      </c>
      <c r="C41" s="1373">
        <v>28379</v>
      </c>
      <c r="D41" s="1347">
        <v>508117</v>
      </c>
      <c r="E41" s="1241">
        <f>'13_sz_ melléklet'!F49</f>
        <v>657704</v>
      </c>
      <c r="F41" s="1246"/>
      <c r="G41" s="1257"/>
      <c r="H41" s="1258"/>
      <c r="I41" s="1342"/>
    </row>
    <row r="42" spans="1:9" s="10" customFormat="1" ht="12.75" customHeight="1">
      <c r="A42" s="1011" t="s">
        <v>830</v>
      </c>
      <c r="B42" s="921"/>
      <c r="C42" s="1371"/>
      <c r="D42" s="1372"/>
      <c r="E42" s="1242"/>
      <c r="F42" s="1247"/>
      <c r="G42" s="1257"/>
      <c r="H42" s="1258"/>
      <c r="I42" s="1343"/>
    </row>
    <row r="43" spans="1:9" s="10" customFormat="1" ht="35.25" customHeight="1">
      <c r="A43" s="1011" t="s">
        <v>831</v>
      </c>
      <c r="B43" s="549" t="s">
        <v>558</v>
      </c>
      <c r="C43" s="1371"/>
      <c r="D43" s="1372"/>
      <c r="E43" s="1237"/>
      <c r="F43" s="1248"/>
      <c r="G43" s="1235"/>
      <c r="H43" s="1236"/>
      <c r="I43" s="1344"/>
    </row>
    <row r="44" spans="1:9" s="10" customFormat="1" ht="27" customHeight="1">
      <c r="A44" s="1011" t="s">
        <v>832</v>
      </c>
      <c r="B44" s="451" t="s">
        <v>938</v>
      </c>
      <c r="C44" s="1373">
        <f>C45+C46</f>
        <v>0</v>
      </c>
      <c r="D44" s="1373">
        <f>D45+D46</f>
        <v>0</v>
      </c>
      <c r="E44" s="1237">
        <f>'13_sz_ melléklet'!F61</f>
        <v>102497</v>
      </c>
      <c r="F44" s="1244" t="s">
        <v>942</v>
      </c>
      <c r="G44" s="1235">
        <f>G45+G46</f>
        <v>0</v>
      </c>
      <c r="H44" s="1236">
        <f>H45+H46</f>
        <v>0</v>
      </c>
      <c r="I44" s="1345">
        <f>'2_sz_ melléklet'!F49</f>
        <v>100032</v>
      </c>
    </row>
    <row r="45" spans="1:9" s="10" customFormat="1" ht="15.75" customHeight="1">
      <c r="A45" s="1011" t="s">
        <v>833</v>
      </c>
      <c r="B45" s="917" t="s">
        <v>4</v>
      </c>
      <c r="C45" s="1373"/>
      <c r="D45" s="1347"/>
      <c r="E45" s="1237">
        <f>'13_sz_ melléklet'!F62</f>
        <v>0</v>
      </c>
      <c r="F45" s="1245" t="s">
        <v>4</v>
      </c>
      <c r="G45" s="1235"/>
      <c r="H45" s="1236"/>
      <c r="I45" s="1346">
        <f>'2_sz_ melléklet'!F47</f>
        <v>0</v>
      </c>
    </row>
    <row r="46" spans="1:9" s="10" customFormat="1" ht="12.75" customHeight="1">
      <c r="A46" s="1011" t="s">
        <v>834</v>
      </c>
      <c r="B46" s="922" t="s">
        <v>6</v>
      </c>
      <c r="C46" s="1371"/>
      <c r="D46" s="1372"/>
      <c r="E46" s="1237">
        <f>'13_sz_ melléklet'!F63</f>
        <v>102497</v>
      </c>
      <c r="F46" s="1246" t="s">
        <v>5</v>
      </c>
      <c r="G46" s="1235"/>
      <c r="H46" s="1236"/>
      <c r="I46" s="1347">
        <f>'2_sz_ melléklet'!F48</f>
        <v>100032</v>
      </c>
    </row>
    <row r="47" spans="1:9" s="10" customFormat="1" ht="15">
      <c r="A47" s="1011" t="s">
        <v>835</v>
      </c>
      <c r="B47" s="550"/>
      <c r="C47" s="1371"/>
      <c r="D47" s="1372"/>
      <c r="E47" s="1237"/>
      <c r="F47" s="203"/>
      <c r="G47" s="1235"/>
      <c r="H47" s="1236"/>
      <c r="I47" s="1347"/>
    </row>
    <row r="48" spans="1:9" ht="29.25" customHeight="1">
      <c r="A48" s="1011" t="s">
        <v>836</v>
      </c>
      <c r="B48" s="451" t="s">
        <v>939</v>
      </c>
      <c r="C48" s="1373">
        <f>C49+C50</f>
        <v>0</v>
      </c>
      <c r="D48" s="1373">
        <f>D49+D50</f>
        <v>0</v>
      </c>
      <c r="E48" s="1237">
        <f>'13_sz_ melléklet'!F65</f>
        <v>313080.7003333336</v>
      </c>
      <c r="F48" s="951" t="s">
        <v>943</v>
      </c>
      <c r="G48" s="1235">
        <f>G49+G50</f>
        <v>14432</v>
      </c>
      <c r="H48" s="1236">
        <f>H49+H50</f>
        <v>14520</v>
      </c>
      <c r="I48" s="1347">
        <f>'2_sz_ melléklet'!F53</f>
        <v>14604</v>
      </c>
    </row>
    <row r="49" spans="1:9" s="7" customFormat="1" ht="15.75">
      <c r="A49" s="1011" t="s">
        <v>837</v>
      </c>
      <c r="B49" s="917" t="s">
        <v>4</v>
      </c>
      <c r="C49" s="1373"/>
      <c r="D49" s="1347"/>
      <c r="E49" s="1237">
        <f>'13_sz_ melléklet'!F66</f>
        <v>195881.70033333357</v>
      </c>
      <c r="F49" s="1245" t="s">
        <v>4</v>
      </c>
      <c r="G49" s="1235"/>
      <c r="H49" s="1236"/>
      <c r="I49" s="1347">
        <f>'2_sz_ melléklet'!F51</f>
        <v>0</v>
      </c>
    </row>
    <row r="50" spans="1:9" ht="12.75">
      <c r="A50" s="1011" t="s">
        <v>838</v>
      </c>
      <c r="B50" s="922" t="s">
        <v>6</v>
      </c>
      <c r="C50" s="1375"/>
      <c r="D50" s="1348"/>
      <c r="E50" s="1237">
        <f>'13_sz_ melléklet'!F67</f>
        <v>117199</v>
      </c>
      <c r="F50" s="1249" t="s">
        <v>6</v>
      </c>
      <c r="G50" s="1259">
        <v>14432</v>
      </c>
      <c r="H50" s="1260">
        <v>14520</v>
      </c>
      <c r="I50" s="1377">
        <f>'2_sz_ melléklet'!F52</f>
        <v>14604</v>
      </c>
    </row>
    <row r="51" spans="1:9" ht="12.75">
      <c r="A51" s="1011" t="s">
        <v>839</v>
      </c>
      <c r="B51" s="176"/>
      <c r="C51" s="1374"/>
      <c r="D51" s="1349"/>
      <c r="E51" s="1238"/>
      <c r="F51" s="203"/>
      <c r="G51" s="1235"/>
      <c r="H51" s="1236"/>
      <c r="I51" s="1347"/>
    </row>
    <row r="52" spans="1:9" ht="25.5">
      <c r="A52" s="1011" t="s">
        <v>840</v>
      </c>
      <c r="B52" s="936" t="s">
        <v>940</v>
      </c>
      <c r="C52" s="1239">
        <f>C38+C39+C44+C48</f>
        <v>204390</v>
      </c>
      <c r="D52" s="1239">
        <f>D38+D39+D44+D48</f>
        <v>601856</v>
      </c>
      <c r="E52" s="1239">
        <f>E38+E39+E44+E48</f>
        <v>1097385.7003333336</v>
      </c>
      <c r="F52" s="1250" t="s">
        <v>936</v>
      </c>
      <c r="G52" s="1239">
        <f>G38+G44+G48</f>
        <v>14432</v>
      </c>
      <c r="H52" s="1239">
        <f>H38+H44+H48</f>
        <v>14520</v>
      </c>
      <c r="I52" s="1344">
        <f>I38+I44+I48</f>
        <v>114636</v>
      </c>
    </row>
    <row r="53" spans="1:9" ht="15.75" thickBot="1">
      <c r="A53" s="1012" t="s">
        <v>841</v>
      </c>
      <c r="B53" s="923"/>
      <c r="C53" s="1376"/>
      <c r="D53" s="1377"/>
      <c r="E53" s="1242"/>
      <c r="F53" s="1251"/>
      <c r="G53" s="1259"/>
      <c r="H53" s="1260"/>
      <c r="I53" s="1345"/>
    </row>
    <row r="54" spans="1:9" ht="19.5" customHeight="1" thickBot="1">
      <c r="A54" s="1013" t="s">
        <v>842</v>
      </c>
      <c r="B54" s="938" t="s">
        <v>7</v>
      </c>
      <c r="C54" s="1378">
        <f>C52+C26</f>
        <v>5435659</v>
      </c>
      <c r="D54" s="1378">
        <f>D52+D26</f>
        <v>7980039</v>
      </c>
      <c r="E54" s="344">
        <f>E52+E26</f>
        <v>8582149</v>
      </c>
      <c r="F54" s="1252" t="s">
        <v>8</v>
      </c>
      <c r="G54" s="344">
        <f>G52+G26</f>
        <v>5378574</v>
      </c>
      <c r="H54" s="344">
        <f>H52+H26</f>
        <v>7840713</v>
      </c>
      <c r="I54" s="197">
        <f>I52+I26</f>
        <v>8582149</v>
      </c>
    </row>
  </sheetData>
  <sheetProtection/>
  <mergeCells count="13">
    <mergeCell ref="A1:I1"/>
    <mergeCell ref="B2:I2"/>
    <mergeCell ref="B3:I3"/>
    <mergeCell ref="B5:E5"/>
    <mergeCell ref="F5:I5"/>
    <mergeCell ref="A5:A6"/>
    <mergeCell ref="A30:I30"/>
    <mergeCell ref="A31:I31"/>
    <mergeCell ref="B32:I32"/>
    <mergeCell ref="B33:I33"/>
    <mergeCell ref="A35:A36"/>
    <mergeCell ref="B35:E35"/>
    <mergeCell ref="F35:I35"/>
  </mergeCell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5" sqref="A15:F15"/>
    </sheetView>
  </sheetViews>
  <sheetFormatPr defaultColWidth="9.140625" defaultRowHeight="12.75"/>
  <cols>
    <col min="1" max="1" width="4.00390625" style="0" customWidth="1"/>
    <col min="2" max="2" width="39.7109375" style="0" customWidth="1"/>
    <col min="3" max="3" width="12.7109375" style="0" customWidth="1"/>
    <col min="4" max="5" width="13.00390625" style="0" customWidth="1"/>
    <col min="6" max="6" width="12.140625" style="0" customWidth="1"/>
  </cols>
  <sheetData>
    <row r="1" spans="1:6" ht="12.75">
      <c r="A1" s="1546" t="s">
        <v>1344</v>
      </c>
      <c r="B1" s="1546"/>
      <c r="C1" s="1546"/>
      <c r="D1" s="1546"/>
      <c r="E1" s="1546"/>
      <c r="F1" s="1546"/>
    </row>
    <row r="2" spans="2:6" ht="9.75" customHeight="1">
      <c r="B2" s="1"/>
      <c r="C2" s="1"/>
      <c r="D2" s="23"/>
      <c r="E2" s="23"/>
      <c r="F2" s="412" t="s">
        <v>67</v>
      </c>
    </row>
    <row r="3" spans="2:6" ht="15.75">
      <c r="B3" s="1566" t="s">
        <v>68</v>
      </c>
      <c r="C3" s="1566"/>
      <c r="D3" s="1566"/>
      <c r="E3" s="1566"/>
      <c r="F3" s="1566"/>
    </row>
    <row r="4" spans="2:6" ht="13.5" thickBot="1">
      <c r="B4" s="1"/>
      <c r="C4" s="1"/>
      <c r="D4" s="1"/>
      <c r="E4" s="1"/>
      <c r="F4" s="25" t="s">
        <v>9</v>
      </c>
    </row>
    <row r="5" spans="1:6" ht="35.25" thickBot="1">
      <c r="A5" s="577" t="s">
        <v>801</v>
      </c>
      <c r="B5" s="419" t="s">
        <v>61</v>
      </c>
      <c r="C5" s="654" t="s">
        <v>18</v>
      </c>
      <c r="D5" s="181" t="s">
        <v>69</v>
      </c>
      <c r="E5" s="653" t="s">
        <v>1043</v>
      </c>
      <c r="F5" s="653" t="s">
        <v>971</v>
      </c>
    </row>
    <row r="6" spans="1:6" ht="12.75">
      <c r="A6" s="591" t="s">
        <v>802</v>
      </c>
      <c r="B6" s="559" t="s">
        <v>803</v>
      </c>
      <c r="C6" s="556" t="s">
        <v>804</v>
      </c>
      <c r="D6" s="557" t="s">
        <v>805</v>
      </c>
      <c r="E6" s="1021" t="s">
        <v>825</v>
      </c>
      <c r="F6" s="546" t="s">
        <v>850</v>
      </c>
    </row>
    <row r="7" spans="1:6" ht="12.75">
      <c r="A7" s="552" t="s">
        <v>806</v>
      </c>
      <c r="B7" s="179" t="s">
        <v>499</v>
      </c>
      <c r="C7" s="142">
        <f>'30_ sz_ melléklet'!D126</f>
        <v>5982</v>
      </c>
      <c r="D7" s="652">
        <f>'31_sz_ melléklet'!E67</f>
        <v>170</v>
      </c>
      <c r="E7" s="1131">
        <v>9734</v>
      </c>
      <c r="F7" s="1129">
        <f>SUM(C7:E7)</f>
        <v>15886</v>
      </c>
    </row>
    <row r="8" spans="1:6" ht="12.75">
      <c r="A8" s="552" t="s">
        <v>807</v>
      </c>
      <c r="B8" s="171" t="s">
        <v>500</v>
      </c>
      <c r="C8" s="142">
        <f>'30_ sz_ melléklet'!D127</f>
        <v>176046</v>
      </c>
      <c r="D8" s="652">
        <f>'31_sz_ melléklet'!E68</f>
        <v>625</v>
      </c>
      <c r="E8" s="201">
        <f>25002-30+1078</f>
        <v>26050</v>
      </c>
      <c r="F8" s="1129">
        <f>SUM(C8:E8)</f>
        <v>202721</v>
      </c>
    </row>
    <row r="9" spans="1:6" ht="12.75">
      <c r="A9" s="552" t="s">
        <v>808</v>
      </c>
      <c r="B9" s="171" t="s">
        <v>501</v>
      </c>
      <c r="C9" s="142">
        <f>'30_ sz_ melléklet'!D128</f>
        <v>34435</v>
      </c>
      <c r="D9" s="652">
        <f>'31_sz_ melléklet'!E69</f>
        <v>164</v>
      </c>
      <c r="E9" s="201">
        <f>62252-8</f>
        <v>62244</v>
      </c>
      <c r="F9" s="1129">
        <f>SUM(C9:E9)</f>
        <v>96843</v>
      </c>
    </row>
    <row r="10" spans="1:6" ht="13.5" thickBot="1">
      <c r="A10" s="617" t="s">
        <v>809</v>
      </c>
      <c r="B10" s="370" t="s">
        <v>502</v>
      </c>
      <c r="C10" s="142">
        <f>'30_ sz_ melléklet'!D129</f>
        <v>477</v>
      </c>
      <c r="D10" s="652">
        <f>'31_sz_ melléklet'!E11</f>
        <v>0</v>
      </c>
      <c r="E10" s="1130">
        <v>12000</v>
      </c>
      <c r="F10" s="1129">
        <f>SUM(C10:E10)</f>
        <v>12477</v>
      </c>
    </row>
    <row r="11" spans="1:6" ht="13.5" thickBot="1">
      <c r="A11" s="582" t="s">
        <v>810</v>
      </c>
      <c r="B11" s="603" t="s">
        <v>70</v>
      </c>
      <c r="C11" s="158">
        <f>SUM(C7:C10)</f>
        <v>216940</v>
      </c>
      <c r="D11" s="655">
        <f>SUM(D7:D10)</f>
        <v>959</v>
      </c>
      <c r="E11" s="197">
        <f>SUM(E7:E10)</f>
        <v>110028</v>
      </c>
      <c r="F11" s="1045">
        <f>SUM(F7:F10)</f>
        <v>327927</v>
      </c>
    </row>
    <row r="12" spans="2:6" ht="5.25" customHeight="1">
      <c r="B12" s="48"/>
      <c r="C12" s="413"/>
      <c r="D12" s="48"/>
      <c r="E12" s="48"/>
      <c r="F12" s="48"/>
    </row>
    <row r="13" spans="2:6" ht="15">
      <c r="B13" s="48"/>
      <c r="C13" s="39"/>
      <c r="D13" s="22"/>
      <c r="E13" s="1380"/>
      <c r="F13" s="22"/>
    </row>
    <row r="14" spans="2:6" ht="6.75" customHeight="1">
      <c r="B14" s="48"/>
      <c r="C14" s="39"/>
      <c r="D14" s="39"/>
      <c r="E14" s="39"/>
      <c r="F14" s="39"/>
    </row>
    <row r="15" spans="1:6" ht="12.75">
      <c r="A15" s="1546" t="s">
        <v>1345</v>
      </c>
      <c r="B15" s="1546"/>
      <c r="C15" s="1546"/>
      <c r="D15" s="1546"/>
      <c r="E15" s="1546"/>
      <c r="F15" s="1546"/>
    </row>
    <row r="16" spans="1:6" ht="12.75">
      <c r="A16" s="571"/>
      <c r="B16" s="571"/>
      <c r="C16" s="571"/>
      <c r="D16" s="571"/>
      <c r="E16" s="571"/>
      <c r="F16" s="571"/>
    </row>
    <row r="17" spans="2:6" ht="15.75">
      <c r="B17" s="1566" t="s">
        <v>71</v>
      </c>
      <c r="C17" s="1566"/>
      <c r="D17" s="248"/>
      <c r="E17" s="248"/>
      <c r="F17" s="248"/>
    </row>
    <row r="18" spans="2:6" ht="15.75" thickBot="1">
      <c r="B18" s="48"/>
      <c r="C18" s="168" t="s">
        <v>16</v>
      </c>
      <c r="D18" s="248"/>
      <c r="E18" s="248"/>
      <c r="F18" s="248"/>
    </row>
    <row r="19" spans="1:6" s="19" customFormat="1" ht="15.75">
      <c r="A19" s="1558" t="s">
        <v>801</v>
      </c>
      <c r="B19" s="659" t="s">
        <v>61</v>
      </c>
      <c r="C19" s="660" t="s">
        <v>55</v>
      </c>
      <c r="D19" s="48"/>
      <c r="E19" s="48"/>
      <c r="F19" s="48"/>
    </row>
    <row r="20" spans="1:6" s="19" customFormat="1" ht="21.75" customHeight="1" thickBot="1">
      <c r="A20" s="1575"/>
      <c r="B20" s="245"/>
      <c r="C20" s="661" t="s">
        <v>72</v>
      </c>
      <c r="D20" s="48"/>
      <c r="E20" s="48"/>
      <c r="F20" s="48"/>
    </row>
    <row r="21" spans="1:6" s="19" customFormat="1" ht="12.75">
      <c r="A21" s="572" t="s">
        <v>802</v>
      </c>
      <c r="B21" s="559" t="s">
        <v>803</v>
      </c>
      <c r="C21" s="558" t="s">
        <v>804</v>
      </c>
      <c r="D21" s="48"/>
      <c r="E21" s="48"/>
      <c r="F21" s="48"/>
    </row>
    <row r="22" spans="1:6" ht="12.75">
      <c r="A22" s="553" t="s">
        <v>806</v>
      </c>
      <c r="B22" s="37" t="s">
        <v>73</v>
      </c>
      <c r="C22" s="152">
        <v>125000</v>
      </c>
      <c r="D22" s="39"/>
      <c r="E22" s="39"/>
      <c r="F22" s="39"/>
    </row>
    <row r="23" spans="1:6" ht="12.75">
      <c r="A23" s="552" t="s">
        <v>807</v>
      </c>
      <c r="B23" s="37" t="s">
        <v>74</v>
      </c>
      <c r="C23" s="152">
        <v>0</v>
      </c>
      <c r="D23" s="39"/>
      <c r="E23" s="39"/>
      <c r="F23" s="39"/>
    </row>
    <row r="24" spans="1:6" ht="13.5" customHeight="1">
      <c r="A24" s="552" t="s">
        <v>808</v>
      </c>
      <c r="B24" s="37" t="s">
        <v>75</v>
      </c>
      <c r="C24" s="152">
        <v>0</v>
      </c>
      <c r="D24" s="39"/>
      <c r="E24" s="39"/>
      <c r="F24" s="39"/>
    </row>
    <row r="25" spans="1:6" ht="12.75">
      <c r="A25" s="599" t="s">
        <v>809</v>
      </c>
      <c r="B25" s="5" t="s">
        <v>76</v>
      </c>
      <c r="C25" s="150">
        <v>28000</v>
      </c>
      <c r="D25" s="39"/>
      <c r="E25" s="39"/>
      <c r="F25" s="39"/>
    </row>
    <row r="26" spans="1:6" ht="25.5">
      <c r="A26" s="599" t="s">
        <v>810</v>
      </c>
      <c r="B26" s="414" t="s">
        <v>77</v>
      </c>
      <c r="C26" s="150">
        <v>730000</v>
      </c>
      <c r="D26" s="415"/>
      <c r="E26" s="415"/>
      <c r="F26" s="415"/>
    </row>
    <row r="27" spans="1:6" ht="26.25" thickBot="1">
      <c r="A27" s="656" t="s">
        <v>811</v>
      </c>
      <c r="B27" s="414" t="s">
        <v>78</v>
      </c>
      <c r="C27" s="156">
        <v>0</v>
      </c>
      <c r="D27" s="415"/>
      <c r="E27" s="415"/>
      <c r="F27" s="415"/>
    </row>
    <row r="28" spans="1:6" ht="13.5" thickBot="1">
      <c r="A28" s="582" t="s">
        <v>812</v>
      </c>
      <c r="B28" s="6" t="s">
        <v>79</v>
      </c>
      <c r="C28" s="662">
        <f>SUM(C22:C27)</f>
        <v>883000</v>
      </c>
      <c r="D28" s="415"/>
      <c r="E28" s="415"/>
      <c r="F28" s="415"/>
    </row>
    <row r="29" spans="1:6" ht="13.5" thickBot="1">
      <c r="A29" s="582" t="s">
        <v>813</v>
      </c>
      <c r="B29" s="416" t="s">
        <v>80</v>
      </c>
      <c r="C29" s="153">
        <v>5060</v>
      </c>
      <c r="D29" s="39"/>
      <c r="E29" s="39"/>
      <c r="F29" s="39"/>
    </row>
    <row r="30" spans="1:6" ht="13.5" thickBot="1">
      <c r="A30" s="582" t="s">
        <v>814</v>
      </c>
      <c r="B30" s="417" t="s">
        <v>81</v>
      </c>
      <c r="C30" s="663">
        <v>29739</v>
      </c>
      <c r="D30" s="39"/>
      <c r="E30" s="39"/>
      <c r="F30" s="39"/>
    </row>
    <row r="31" spans="1:6" ht="13.5" thickBot="1">
      <c r="A31" s="582" t="s">
        <v>815</v>
      </c>
      <c r="B31" s="664" t="s">
        <v>82</v>
      </c>
      <c r="C31" s="1128">
        <v>5000</v>
      </c>
      <c r="D31" s="39"/>
      <c r="E31" s="39"/>
      <c r="F31" s="39"/>
    </row>
    <row r="32" spans="2:6" ht="12.75">
      <c r="B32" s="420"/>
      <c r="C32" s="39"/>
      <c r="D32" s="39"/>
      <c r="E32" s="39"/>
      <c r="F32" s="39"/>
    </row>
    <row r="33" spans="1:6" ht="12.75">
      <c r="A33" s="1546" t="s">
        <v>1346</v>
      </c>
      <c r="B33" s="1546"/>
      <c r="C33" s="1546"/>
      <c r="D33" s="1546"/>
      <c r="E33" s="1546"/>
      <c r="F33" s="1546"/>
    </row>
    <row r="34" spans="1:6" ht="12.75">
      <c r="A34" s="571"/>
      <c r="B34" s="571"/>
      <c r="C34" s="571"/>
      <c r="D34" s="571"/>
      <c r="E34" s="571"/>
      <c r="F34" s="571"/>
    </row>
    <row r="35" spans="2:6" ht="15.75">
      <c r="B35" s="1566" t="s">
        <v>83</v>
      </c>
      <c r="C35" s="1566"/>
      <c r="D35" s="1"/>
      <c r="E35" s="1"/>
      <c r="F35" s="1"/>
    </row>
    <row r="36" spans="2:6" ht="13.5" customHeight="1">
      <c r="B36" s="48"/>
      <c r="C36" s="39"/>
      <c r="D36" s="248"/>
      <c r="E36" s="248"/>
      <c r="F36" s="248"/>
    </row>
    <row r="37" spans="2:6" ht="15.75" customHeight="1" thickBot="1">
      <c r="B37" s="48"/>
      <c r="C37" s="168" t="s">
        <v>16</v>
      </c>
      <c r="D37" s="248"/>
      <c r="E37" s="248"/>
      <c r="F37" s="248"/>
    </row>
    <row r="38" spans="1:6" ht="30.75" customHeight="1" thickBot="1">
      <c r="A38" s="577" t="s">
        <v>801</v>
      </c>
      <c r="B38" s="573" t="s">
        <v>61</v>
      </c>
      <c r="C38" s="658" t="s">
        <v>39</v>
      </c>
      <c r="D38" s="248"/>
      <c r="E38" s="1351"/>
      <c r="F38" s="248"/>
    </row>
    <row r="39" spans="1:6" ht="12" customHeight="1" thickBot="1">
      <c r="A39" s="657" t="s">
        <v>802</v>
      </c>
      <c r="B39" s="559" t="s">
        <v>803</v>
      </c>
      <c r="C39" s="558" t="s">
        <v>804</v>
      </c>
      <c r="D39" s="248"/>
      <c r="E39" s="248"/>
      <c r="F39" s="248"/>
    </row>
    <row r="40" spans="1:6" ht="12.75">
      <c r="A40" s="553" t="s">
        <v>806</v>
      </c>
      <c r="B40" s="289" t="s">
        <v>84</v>
      </c>
      <c r="C40" s="154">
        <v>165421</v>
      </c>
      <c r="D40" s="48"/>
      <c r="E40" s="48"/>
      <c r="F40" s="48"/>
    </row>
    <row r="41" spans="1:6" ht="12.75">
      <c r="A41" s="552" t="s">
        <v>807</v>
      </c>
      <c r="B41" s="5" t="s">
        <v>85</v>
      </c>
      <c r="C41" s="152">
        <v>222591</v>
      </c>
      <c r="D41" s="33"/>
      <c r="E41" s="33"/>
      <c r="F41" s="39"/>
    </row>
    <row r="42" spans="1:6" ht="12.75">
      <c r="A42" s="552" t="s">
        <v>808</v>
      </c>
      <c r="B42" s="37" t="s">
        <v>86</v>
      </c>
      <c r="C42" s="152"/>
      <c r="D42" s="39"/>
      <c r="E42" s="39"/>
      <c r="F42" s="39"/>
    </row>
    <row r="43" spans="1:6" ht="12.75">
      <c r="A43" s="599" t="s">
        <v>809</v>
      </c>
      <c r="B43" s="37" t="s">
        <v>87</v>
      </c>
      <c r="C43" s="152">
        <v>102000</v>
      </c>
      <c r="D43" s="39"/>
      <c r="E43" s="39"/>
      <c r="F43" s="39"/>
    </row>
    <row r="44" spans="1:6" ht="12.75">
      <c r="A44" s="599" t="s">
        <v>810</v>
      </c>
      <c r="B44" s="5" t="s">
        <v>88</v>
      </c>
      <c r="C44" s="150"/>
      <c r="D44" s="39"/>
      <c r="E44" s="39"/>
      <c r="F44" s="39"/>
    </row>
    <row r="45" spans="1:6" ht="13.5" thickBot="1">
      <c r="A45" s="656" t="s">
        <v>811</v>
      </c>
      <c r="B45" s="418" t="s">
        <v>89</v>
      </c>
      <c r="C45" s="151">
        <v>0</v>
      </c>
      <c r="D45" s="39"/>
      <c r="E45" s="39"/>
      <c r="F45" s="39"/>
    </row>
    <row r="46" spans="1:6" ht="13.5" thickBot="1">
      <c r="A46" s="582" t="s">
        <v>812</v>
      </c>
      <c r="B46" s="634" t="s">
        <v>90</v>
      </c>
      <c r="C46" s="604">
        <f>SUM(C40:C45)</f>
        <v>490012</v>
      </c>
      <c r="D46" s="415"/>
      <c r="E46" s="415"/>
      <c r="F46" s="415"/>
    </row>
    <row r="47" spans="2:6" ht="12.75">
      <c r="B47" s="1"/>
      <c r="C47" s="1"/>
      <c r="D47" s="39"/>
      <c r="E47" s="39"/>
      <c r="F47" s="39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</sheetData>
  <sheetProtection/>
  <mergeCells count="7">
    <mergeCell ref="B3:F3"/>
    <mergeCell ref="B17:C17"/>
    <mergeCell ref="B35:C35"/>
    <mergeCell ref="A1:F1"/>
    <mergeCell ref="A15:F15"/>
    <mergeCell ref="A33:F33"/>
    <mergeCell ref="A19:A20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3"/>
  <sheetViews>
    <sheetView zoomScale="120" zoomScaleNormal="120" zoomScalePageLayoutView="0" workbookViewId="0" topLeftCell="A116">
      <selection activeCell="D131" sqref="D131:E133"/>
    </sheetView>
  </sheetViews>
  <sheetFormatPr defaultColWidth="9.140625" defaultRowHeight="12.75"/>
  <cols>
    <col min="1" max="1" width="5.421875" style="0" customWidth="1"/>
    <col min="2" max="2" width="62.421875" style="0" customWidth="1"/>
    <col min="3" max="3" width="19.8515625" style="0" customWidth="1"/>
    <col min="4" max="4" width="9.57421875" style="0" bestFit="1" customWidth="1"/>
  </cols>
  <sheetData>
    <row r="1" spans="1:5" ht="12.75">
      <c r="A1" s="571" t="s">
        <v>1347</v>
      </c>
      <c r="B1" s="571"/>
      <c r="C1" s="571"/>
      <c r="D1" s="571"/>
      <c r="E1" s="571"/>
    </row>
    <row r="2" spans="2:3" ht="8.25" customHeight="1">
      <c r="B2" s="1"/>
      <c r="C2" s="44"/>
    </row>
    <row r="3" spans="2:3" ht="15.75">
      <c r="B3" s="1566" t="s">
        <v>559</v>
      </c>
      <c r="C3" s="1566"/>
    </row>
    <row r="4" spans="2:3" ht="7.5" customHeight="1">
      <c r="B4" s="45"/>
      <c r="C4" s="45"/>
    </row>
    <row r="5" spans="2:3" ht="13.5" thickBot="1">
      <c r="B5" s="1"/>
      <c r="C5" s="46" t="s">
        <v>9</v>
      </c>
    </row>
    <row r="6" spans="1:3" ht="27" customHeight="1" thickBot="1">
      <c r="A6" s="666" t="s">
        <v>801</v>
      </c>
      <c r="B6" s="669" t="s">
        <v>91</v>
      </c>
      <c r="C6" s="667" t="s">
        <v>39</v>
      </c>
    </row>
    <row r="7" spans="1:3" ht="12.75" customHeight="1" thickBot="1">
      <c r="A7" s="1338" t="s">
        <v>802</v>
      </c>
      <c r="B7" s="252" t="s">
        <v>803</v>
      </c>
      <c r="C7" s="589" t="s">
        <v>804</v>
      </c>
    </row>
    <row r="8" spans="1:3" ht="12.75" customHeight="1">
      <c r="A8" s="1521" t="s">
        <v>806</v>
      </c>
      <c r="B8" s="1511" t="s">
        <v>1297</v>
      </c>
      <c r="C8" s="1510">
        <f>16958*4.074</f>
        <v>69086.89199999999</v>
      </c>
    </row>
    <row r="9" spans="1:3" ht="12.75" customHeight="1">
      <c r="A9" s="1059" t="s">
        <v>807</v>
      </c>
      <c r="B9" s="1512" t="s">
        <v>92</v>
      </c>
      <c r="C9" s="1508"/>
    </row>
    <row r="10" spans="1:3" ht="12.75" customHeight="1">
      <c r="A10" s="1059" t="s">
        <v>808</v>
      </c>
      <c r="B10" s="1512" t="s">
        <v>93</v>
      </c>
      <c r="C10" s="1508">
        <v>3000</v>
      </c>
    </row>
    <row r="11" spans="1:3" ht="12.75" customHeight="1">
      <c r="A11" s="1059" t="s">
        <v>809</v>
      </c>
      <c r="B11" s="1512" t="s">
        <v>1298</v>
      </c>
      <c r="C11" s="1508">
        <f>26.54*276</f>
        <v>7325.04</v>
      </c>
    </row>
    <row r="12" spans="1:3" ht="12.75" customHeight="1">
      <c r="A12" s="1059" t="s">
        <v>810</v>
      </c>
      <c r="B12" s="1512" t="s">
        <v>1299</v>
      </c>
      <c r="C12" s="1508">
        <f>534*28.6</f>
        <v>15272.400000000001</v>
      </c>
    </row>
    <row r="13" spans="1:3" ht="12.75" customHeight="1">
      <c r="A13" s="1059" t="s">
        <v>811</v>
      </c>
      <c r="B13" s="1512" t="s">
        <v>1300</v>
      </c>
      <c r="C13" s="1508">
        <f>43.885*56</f>
        <v>2457.56</v>
      </c>
    </row>
    <row r="14" spans="1:3" ht="12.75" customHeight="1">
      <c r="A14" s="1059" t="s">
        <v>812</v>
      </c>
      <c r="B14" s="1512" t="s">
        <v>1301</v>
      </c>
      <c r="C14" s="1508">
        <f>633*7.729</f>
        <v>4892.457</v>
      </c>
    </row>
    <row r="15" spans="1:3" ht="12.75" customHeight="1">
      <c r="A15" s="1059" t="s">
        <v>813</v>
      </c>
      <c r="B15" s="1512" t="s">
        <v>1302</v>
      </c>
      <c r="C15" s="1508">
        <f>12*253.53</f>
        <v>3042.36</v>
      </c>
    </row>
    <row r="16" spans="1:3" ht="12.75" customHeight="1">
      <c r="A16" s="1059" t="s">
        <v>814</v>
      </c>
      <c r="B16" s="1512" t="s">
        <v>1303</v>
      </c>
      <c r="C16" s="1508">
        <f>25000*1.5</f>
        <v>37500</v>
      </c>
    </row>
    <row r="17" spans="1:3" ht="12.75" customHeight="1">
      <c r="A17" s="1059" t="s">
        <v>815</v>
      </c>
      <c r="B17" s="1512" t="s">
        <v>1304</v>
      </c>
      <c r="C17" s="1508">
        <f>52*2.612</f>
        <v>135.824</v>
      </c>
    </row>
    <row r="18" spans="1:3" ht="12.75" customHeight="1">
      <c r="A18" s="1059" t="s">
        <v>816</v>
      </c>
      <c r="B18" s="4" t="s">
        <v>94</v>
      </c>
      <c r="C18" s="1507">
        <v>106989</v>
      </c>
    </row>
    <row r="19" spans="1:3" ht="12.75" customHeight="1">
      <c r="A19" s="1059" t="s">
        <v>817</v>
      </c>
      <c r="B19" s="1513" t="s">
        <v>1271</v>
      </c>
      <c r="C19" s="1508">
        <f>230*55.36</f>
        <v>12732.8</v>
      </c>
    </row>
    <row r="20" spans="1:3" ht="12.75" customHeight="1">
      <c r="A20" s="1059" t="s">
        <v>818</v>
      </c>
      <c r="B20" s="1514" t="s">
        <v>775</v>
      </c>
      <c r="C20" s="1508">
        <f>70*494.1</f>
        <v>34587</v>
      </c>
    </row>
    <row r="21" spans="1:3" ht="12.75" customHeight="1">
      <c r="A21" s="1059" t="s">
        <v>819</v>
      </c>
      <c r="B21" s="1512" t="s">
        <v>1272</v>
      </c>
      <c r="C21" s="1508">
        <f>ROUND(460/20*1.62,1)*2350/12*4</f>
        <v>29218.333333333332</v>
      </c>
    </row>
    <row r="22" spans="1:3" ht="12.75" customHeight="1">
      <c r="A22" s="1059" t="s">
        <v>820</v>
      </c>
      <c r="B22" s="1512" t="s">
        <v>1273</v>
      </c>
      <c r="C22" s="1508">
        <f>ROUND(499/20*1.62,1)*2350/12*8</f>
        <v>63293.333333333336</v>
      </c>
    </row>
    <row r="23" spans="1:3" ht="12.75" customHeight="1">
      <c r="A23" s="1059" t="s">
        <v>821</v>
      </c>
      <c r="B23" s="1512" t="s">
        <v>1274</v>
      </c>
      <c r="C23" s="1508">
        <f>ROUND(203/21*1.2,1)*2350/12*8</f>
        <v>18173.333333333332</v>
      </c>
    </row>
    <row r="24" spans="1:3" ht="12.75" customHeight="1">
      <c r="A24" s="1059" t="s">
        <v>822</v>
      </c>
      <c r="B24" s="1512" t="s">
        <v>1275</v>
      </c>
      <c r="C24" s="1508">
        <f>ROUND(96/21*1.22,1)*2350/12*8</f>
        <v>8773.333333333334</v>
      </c>
    </row>
    <row r="25" spans="1:3" ht="12.75" customHeight="1">
      <c r="A25" s="1059" t="s">
        <v>823</v>
      </c>
      <c r="B25" s="1512" t="s">
        <v>1276</v>
      </c>
      <c r="C25" s="1508">
        <f>ROUND(129/21*1.39,1)*2350/12*8</f>
        <v>13316.666666666666</v>
      </c>
    </row>
    <row r="26" spans="1:3" ht="12.75" customHeight="1">
      <c r="A26" s="1059" t="s">
        <v>824</v>
      </c>
      <c r="B26" s="1512" t="s">
        <v>1277</v>
      </c>
      <c r="C26" s="1508">
        <f>ROUND(258/23*1.55,1)*2350/12*8</f>
        <v>27260</v>
      </c>
    </row>
    <row r="27" spans="1:3" ht="12.75" customHeight="1">
      <c r="A27" s="1059" t="s">
        <v>826</v>
      </c>
      <c r="B27" s="1512" t="s">
        <v>1305</v>
      </c>
      <c r="C27" s="1508">
        <f>ROUND(245/23*1.76,1)*2350/12*8</f>
        <v>29296.666666666668</v>
      </c>
    </row>
    <row r="28" spans="1:3" ht="12.75" customHeight="1">
      <c r="A28" s="1059" t="s">
        <v>827</v>
      </c>
      <c r="B28" s="1512" t="s">
        <v>1306</v>
      </c>
      <c r="C28" s="1508">
        <f>ROUND(171/21*1.2,1)*2350/12*4</f>
        <v>7676.666666666667</v>
      </c>
    </row>
    <row r="29" spans="1:3" ht="12.75" customHeight="1">
      <c r="A29" s="1059" t="s">
        <v>828</v>
      </c>
      <c r="B29" s="1512" t="s">
        <v>777</v>
      </c>
      <c r="C29" s="1508">
        <v>5483</v>
      </c>
    </row>
    <row r="30" spans="1:3" ht="12.75" customHeight="1">
      <c r="A30" s="1059" t="s">
        <v>829</v>
      </c>
      <c r="B30" s="1512" t="s">
        <v>1278</v>
      </c>
      <c r="C30" s="1508">
        <f>ROUND(124/21*1.39,1)*2350/12*4</f>
        <v>6423.333333333333</v>
      </c>
    </row>
    <row r="31" spans="1:3" ht="12.75" customHeight="1">
      <c r="A31" s="1059" t="s">
        <v>830</v>
      </c>
      <c r="B31" s="1512" t="s">
        <v>1307</v>
      </c>
      <c r="C31" s="1508">
        <f>ROUND(240/23*1.55,1)*2350/12*4</f>
        <v>12690</v>
      </c>
    </row>
    <row r="32" spans="1:3" ht="12.75" customHeight="1">
      <c r="A32" s="1059" t="s">
        <v>831</v>
      </c>
      <c r="B32" s="1512" t="s">
        <v>1308</v>
      </c>
      <c r="C32" s="1508">
        <f>ROUND(228/23*1.76,1)*2350/12*4</f>
        <v>13630</v>
      </c>
    </row>
    <row r="33" spans="1:3" ht="12.75" customHeight="1">
      <c r="A33" s="1059" t="s">
        <v>832</v>
      </c>
      <c r="B33" s="1512" t="s">
        <v>1270</v>
      </c>
      <c r="C33" s="1507">
        <v>0</v>
      </c>
    </row>
    <row r="34" spans="1:3" ht="12.75" customHeight="1">
      <c r="A34" s="1059" t="s">
        <v>833</v>
      </c>
      <c r="B34" s="1512" t="s">
        <v>778</v>
      </c>
      <c r="C34" s="1507">
        <v>90</v>
      </c>
    </row>
    <row r="35" spans="1:3" ht="12.75" customHeight="1">
      <c r="A35" s="1059" t="s">
        <v>834</v>
      </c>
      <c r="B35" s="1512" t="s">
        <v>1309</v>
      </c>
      <c r="C35" s="1507">
        <f>4*358.4*8/12</f>
        <v>955.7333333333332</v>
      </c>
    </row>
    <row r="36" spans="1:3" ht="12.75" customHeight="1">
      <c r="A36" s="1059" t="s">
        <v>835</v>
      </c>
      <c r="B36" s="1512" t="s">
        <v>1310</v>
      </c>
      <c r="C36" s="1507">
        <f>2*358.4*4/12</f>
        <v>238.9333333333333</v>
      </c>
    </row>
    <row r="37" spans="1:3" ht="12.75" customHeight="1">
      <c r="A37" s="1059" t="s">
        <v>836</v>
      </c>
      <c r="B37" s="1512" t="s">
        <v>1279</v>
      </c>
      <c r="C37" s="1507">
        <f>25*179.2*8/12</f>
        <v>2986.6666666666665</v>
      </c>
    </row>
    <row r="38" spans="1:3" ht="12.75" customHeight="1">
      <c r="A38" s="1059" t="s">
        <v>837</v>
      </c>
      <c r="B38" s="1512" t="s">
        <v>1311</v>
      </c>
      <c r="C38" s="1507">
        <f>17*179.2*4/12</f>
        <v>1015.4666666666666</v>
      </c>
    </row>
    <row r="39" spans="1:3" ht="12.75" customHeight="1">
      <c r="A39" s="1059" t="s">
        <v>838</v>
      </c>
      <c r="B39" s="1512" t="s">
        <v>1312</v>
      </c>
      <c r="C39" s="1507">
        <f>87*156.8*8/12</f>
        <v>9094.4</v>
      </c>
    </row>
    <row r="40" spans="1:3" ht="12.75" customHeight="1">
      <c r="A40" s="1059" t="s">
        <v>839</v>
      </c>
      <c r="B40" s="1512" t="s">
        <v>1454</v>
      </c>
      <c r="C40" s="1507">
        <f>78*156.8*4/12-2614</f>
        <v>1462.8000000000006</v>
      </c>
    </row>
    <row r="41" spans="1:3" ht="12.75" customHeight="1">
      <c r="A41" s="1059" t="s">
        <v>840</v>
      </c>
      <c r="B41" s="1512" t="s">
        <v>1313</v>
      </c>
      <c r="C41" s="1507">
        <f>8*240</f>
        <v>1920</v>
      </c>
    </row>
    <row r="42" spans="1:3" ht="12.75" customHeight="1">
      <c r="A42" s="1059" t="s">
        <v>841</v>
      </c>
      <c r="B42" s="1515" t="s">
        <v>1280</v>
      </c>
      <c r="C42" s="1435">
        <f>3*427</f>
        <v>1281</v>
      </c>
    </row>
    <row r="43" spans="1:3" ht="12.75" customHeight="1">
      <c r="A43" s="1059" t="s">
        <v>842</v>
      </c>
      <c r="B43" s="1512" t="s">
        <v>1314</v>
      </c>
      <c r="C43" s="1508">
        <f>ROUND(679/28*2.33,1)*2350/12*8</f>
        <v>88516.66666666667</v>
      </c>
    </row>
    <row r="44" spans="1:3" ht="12.75" customHeight="1">
      <c r="A44" s="1059" t="s">
        <v>843</v>
      </c>
      <c r="B44" s="1516" t="s">
        <v>1455</v>
      </c>
      <c r="C44" s="1508">
        <f>ROUND(667/28*2.33,1)*2350/12*4-22325</f>
        <v>21150</v>
      </c>
    </row>
    <row r="45" spans="1:3" ht="12.75" customHeight="1">
      <c r="A45" s="1059" t="s">
        <v>844</v>
      </c>
      <c r="B45" s="1512" t="s">
        <v>1281</v>
      </c>
      <c r="C45" s="1508">
        <f>ROUND(542/28*2.76,1)*2350/12*8</f>
        <v>83660</v>
      </c>
    </row>
    <row r="46" spans="1:3" ht="12.75" customHeight="1">
      <c r="A46" s="1059" t="s">
        <v>845</v>
      </c>
      <c r="B46" s="1516" t="s">
        <v>1456</v>
      </c>
      <c r="C46" s="1508">
        <f>ROUND(523/28*2.76,1)*2350/12*4-12455</f>
        <v>27965</v>
      </c>
    </row>
    <row r="47" spans="1:3" ht="12.75" customHeight="1">
      <c r="A47" s="1059" t="s">
        <v>846</v>
      </c>
      <c r="B47" s="1515" t="s">
        <v>1315</v>
      </c>
      <c r="C47" s="1435">
        <f>ROUND(421/28*2.03,1)*2350/12*8</f>
        <v>47783.333333333336</v>
      </c>
    </row>
    <row r="48" spans="1:3" ht="12.75" customHeight="1">
      <c r="A48" s="1059" t="s">
        <v>847</v>
      </c>
      <c r="B48" s="1517" t="s">
        <v>1457</v>
      </c>
      <c r="C48" s="1435">
        <f>ROUND(389/28*2.03,1)*2350/12*4-19192</f>
        <v>2898</v>
      </c>
    </row>
    <row r="49" spans="1:3" ht="12.75" customHeight="1">
      <c r="A49" s="1059" t="s">
        <v>848</v>
      </c>
      <c r="B49" s="1515" t="s">
        <v>1316</v>
      </c>
      <c r="C49" s="1435">
        <f>166*35*8/12</f>
        <v>3873.3333333333335</v>
      </c>
    </row>
    <row r="50" spans="1:3" ht="12.75" customHeight="1">
      <c r="A50" s="1059" t="s">
        <v>849</v>
      </c>
      <c r="B50" s="1518" t="s">
        <v>1458</v>
      </c>
      <c r="C50" s="1435">
        <f>173*35*4/12-2018</f>
        <v>0.33333333333325754</v>
      </c>
    </row>
    <row r="51" spans="1:3" ht="12.75" customHeight="1">
      <c r="A51" s="1059" t="s">
        <v>869</v>
      </c>
      <c r="B51" s="1515" t="s">
        <v>1317</v>
      </c>
      <c r="C51" s="1435">
        <f>3*98*8/12</f>
        <v>196</v>
      </c>
    </row>
    <row r="52" spans="1:3" ht="12.75" customHeight="1">
      <c r="A52" s="1059" t="s">
        <v>870</v>
      </c>
      <c r="B52" s="1515" t="s">
        <v>1318</v>
      </c>
      <c r="C52" s="1435">
        <f>102*137.2*8/12</f>
        <v>9329.6</v>
      </c>
    </row>
    <row r="53" spans="1:3" ht="12.75" customHeight="1">
      <c r="A53" s="1059" t="s">
        <v>871</v>
      </c>
      <c r="B53" s="1515" t="s">
        <v>1319</v>
      </c>
      <c r="C53" s="1435">
        <f>15*58.8*8/12</f>
        <v>588</v>
      </c>
    </row>
    <row r="54" spans="1:3" ht="12.75" customHeight="1">
      <c r="A54" s="1059" t="s">
        <v>872</v>
      </c>
      <c r="B54" s="1515" t="s">
        <v>1320</v>
      </c>
      <c r="C54" s="1435">
        <f>228*19.6*8/12</f>
        <v>2979.2000000000003</v>
      </c>
    </row>
    <row r="55" spans="1:3" ht="12.75" customHeight="1">
      <c r="A55" s="1059" t="s">
        <v>873</v>
      </c>
      <c r="B55" s="1515" t="s">
        <v>1459</v>
      </c>
      <c r="C55" s="1435">
        <f>8*98*4/12-261</f>
        <v>0.3333333333333144</v>
      </c>
    </row>
    <row r="56" spans="1:3" ht="12.75" customHeight="1">
      <c r="A56" s="1059" t="s">
        <v>874</v>
      </c>
      <c r="B56" s="1515" t="s">
        <v>1460</v>
      </c>
      <c r="C56" s="1435">
        <f>82*137.2*4/12-3750</f>
        <v>0.13333333333321207</v>
      </c>
    </row>
    <row r="57" spans="1:3" ht="12.75" customHeight="1">
      <c r="A57" s="1059" t="s">
        <v>875</v>
      </c>
      <c r="B57" s="1519" t="s">
        <v>1461</v>
      </c>
      <c r="C57" s="1435">
        <f>28*58.8*4/12-549</f>
        <v>-0.20000000000004547</v>
      </c>
    </row>
    <row r="58" spans="1:3" ht="12.75" customHeight="1" thickBot="1">
      <c r="A58" s="1522" t="s">
        <v>876</v>
      </c>
      <c r="B58" s="1520" t="s">
        <v>1462</v>
      </c>
      <c r="C58" s="1509">
        <f>220*19.6*4/12-1437</f>
        <v>0.33333333333325754</v>
      </c>
    </row>
    <row r="59" spans="1:3" ht="12.75" customHeight="1">
      <c r="A59" s="168"/>
      <c r="B59" s="1352"/>
      <c r="C59" s="1337"/>
    </row>
    <row r="60" spans="1:3" ht="12.75" customHeight="1">
      <c r="A60" s="168"/>
      <c r="B60" s="1352"/>
      <c r="C60" s="1337"/>
    </row>
    <row r="61" spans="1:3" ht="12.75" customHeight="1">
      <c r="A61" s="168"/>
      <c r="B61" s="1336"/>
      <c r="C61" s="1337"/>
    </row>
    <row r="62" spans="1:5" ht="12.75">
      <c r="A62" s="571" t="s">
        <v>1348</v>
      </c>
      <c r="B62" s="571"/>
      <c r="C62" s="571"/>
      <c r="D62" s="571"/>
      <c r="E62" s="571"/>
    </row>
    <row r="63" spans="2:3" ht="12.75">
      <c r="B63" s="1576">
        <v>2</v>
      </c>
      <c r="C63" s="1576"/>
    </row>
    <row r="64" spans="2:3" ht="15.75">
      <c r="B64" s="1566" t="s">
        <v>559</v>
      </c>
      <c r="C64" s="1566"/>
    </row>
    <row r="65" spans="2:3" ht="13.5" thickBot="1">
      <c r="B65" s="1"/>
      <c r="C65" s="46" t="s">
        <v>9</v>
      </c>
    </row>
    <row r="66" spans="1:3" ht="26.25" thickBot="1">
      <c r="A66" s="666" t="s">
        <v>801</v>
      </c>
      <c r="B66" s="669" t="s">
        <v>91</v>
      </c>
      <c r="C66" s="667" t="s">
        <v>39</v>
      </c>
    </row>
    <row r="67" spans="1:3" ht="13.5" thickBot="1">
      <c r="A67" s="657" t="s">
        <v>802</v>
      </c>
      <c r="B67" s="252" t="s">
        <v>803</v>
      </c>
      <c r="C67" s="853" t="s">
        <v>804</v>
      </c>
    </row>
    <row r="68" spans="1:3" ht="12.75" customHeight="1">
      <c r="A68" s="1521" t="s">
        <v>877</v>
      </c>
      <c r="B68" s="1523" t="s">
        <v>1283</v>
      </c>
      <c r="C68" s="1506">
        <f>ROUND(273/8*0.36,1)*2350/12*8</f>
        <v>19270</v>
      </c>
    </row>
    <row r="69" spans="1:3" ht="12.75" customHeight="1">
      <c r="A69" s="1059" t="s">
        <v>878</v>
      </c>
      <c r="B69" s="1515" t="s">
        <v>1284</v>
      </c>
      <c r="C69" s="1435">
        <f>ROUND(142/10*0.18,1)*2350/12*8</f>
        <v>4073.3333333333335</v>
      </c>
    </row>
    <row r="70" spans="1:3" ht="12.75" customHeight="1">
      <c r="A70" s="1059" t="s">
        <v>879</v>
      </c>
      <c r="B70" s="1515" t="s">
        <v>1285</v>
      </c>
      <c r="C70" s="1435">
        <f>ROUND(273/8*0.36,1)*2350/12*4</f>
        <v>9635</v>
      </c>
    </row>
    <row r="71" spans="1:3" ht="12.75" customHeight="1">
      <c r="A71" s="1059" t="s">
        <v>880</v>
      </c>
      <c r="B71" s="1515" t="s">
        <v>1286</v>
      </c>
      <c r="C71" s="1435">
        <f>ROUND(142/10*0.18,1)*2350/12*4</f>
        <v>2036.6666666666667</v>
      </c>
    </row>
    <row r="72" spans="1:3" ht="12.75" customHeight="1">
      <c r="A72" s="1059" t="s">
        <v>886</v>
      </c>
      <c r="B72" s="1515" t="s">
        <v>1471</v>
      </c>
      <c r="C72" s="1435">
        <f>ROUND(74/25*3.04,1)*2350/12*8</f>
        <v>14100</v>
      </c>
    </row>
    <row r="73" spans="1:3" ht="12.75" customHeight="1">
      <c r="A73" s="1059" t="s">
        <v>887</v>
      </c>
      <c r="B73" s="1515" t="s">
        <v>779</v>
      </c>
      <c r="C73" s="1435">
        <f>ROUND(74/25*3.04,1)*2350/12*4</f>
        <v>7050</v>
      </c>
    </row>
    <row r="74" spans="1:3" ht="12.75" customHeight="1">
      <c r="A74" s="1059" t="s">
        <v>888</v>
      </c>
      <c r="B74" s="1515" t="s">
        <v>1287</v>
      </c>
      <c r="C74" s="1435">
        <f>ROUND(378/25*0.24,1)*2350/12*8</f>
        <v>5640</v>
      </c>
    </row>
    <row r="75" spans="1:3" ht="12.75" customHeight="1">
      <c r="A75" s="1059" t="s">
        <v>889</v>
      </c>
      <c r="B75" s="1515" t="s">
        <v>1288</v>
      </c>
      <c r="C75" s="1435">
        <f>ROUND(162/25*0.16,1)*2350/12*8</f>
        <v>1566.6666666666667</v>
      </c>
    </row>
    <row r="76" spans="1:3" ht="12.75" customHeight="1">
      <c r="A76" s="1059" t="s">
        <v>890</v>
      </c>
      <c r="B76" s="1515" t="s">
        <v>1289</v>
      </c>
      <c r="C76" s="1435">
        <f>ROUND(378/25*0.24,1)*2350/12*4</f>
        <v>2820</v>
      </c>
    </row>
    <row r="77" spans="1:3" ht="12.75" customHeight="1">
      <c r="A77" s="1059" t="s">
        <v>891</v>
      </c>
      <c r="B77" s="1515" t="s">
        <v>1290</v>
      </c>
      <c r="C77" s="1435">
        <f>ROUND(162/25*0.16,1)*2350/12*4</f>
        <v>783.3333333333334</v>
      </c>
    </row>
    <row r="78" spans="1:3" ht="12.75" customHeight="1">
      <c r="A78" s="1059" t="s">
        <v>892</v>
      </c>
      <c r="B78" s="1515" t="s">
        <v>1291</v>
      </c>
      <c r="C78" s="1435">
        <f>35*64*8/12</f>
        <v>1493.3333333333333</v>
      </c>
    </row>
    <row r="79" spans="1:3" ht="12.75" customHeight="1">
      <c r="A79" s="1059" t="s">
        <v>893</v>
      </c>
      <c r="B79" s="1515" t="s">
        <v>1292</v>
      </c>
      <c r="C79" s="1435">
        <f>34*64*4/12</f>
        <v>725.3333333333334</v>
      </c>
    </row>
    <row r="80" spans="1:3" ht="12.75" customHeight="1">
      <c r="A80" s="1059" t="s">
        <v>894</v>
      </c>
      <c r="B80" s="1519" t="s">
        <v>1321</v>
      </c>
      <c r="C80" s="1507">
        <f>269*6</f>
        <v>1614</v>
      </c>
    </row>
    <row r="81" spans="1:3" ht="12.75" customHeight="1">
      <c r="A81" s="1059" t="s">
        <v>895</v>
      </c>
      <c r="B81" s="1519" t="s">
        <v>1322</v>
      </c>
      <c r="C81" s="1507">
        <f>198*6</f>
        <v>1188</v>
      </c>
    </row>
    <row r="82" spans="1:3" ht="12.75" customHeight="1">
      <c r="A82" s="1059" t="s">
        <v>896</v>
      </c>
      <c r="B82" s="1515" t="s">
        <v>1293</v>
      </c>
      <c r="C82" s="1435">
        <f>995*15.3*8/12</f>
        <v>10149</v>
      </c>
    </row>
    <row r="83" spans="1:3" ht="12.75" customHeight="1">
      <c r="A83" s="1059" t="s">
        <v>897</v>
      </c>
      <c r="B83" s="1515" t="s">
        <v>1463</v>
      </c>
      <c r="C83" s="1435">
        <f>970*15.3*4/12-3213</f>
        <v>1734</v>
      </c>
    </row>
    <row r="84" spans="1:3" ht="12.75" customHeight="1">
      <c r="A84" s="1059" t="s">
        <v>898</v>
      </c>
      <c r="B84" s="1515" t="s">
        <v>1294</v>
      </c>
      <c r="C84" s="1435">
        <f>44*32*8/12</f>
        <v>938.6666666666666</v>
      </c>
    </row>
    <row r="85" spans="1:3" ht="12.75" customHeight="1">
      <c r="A85" s="1059" t="s">
        <v>899</v>
      </c>
      <c r="B85" s="1515" t="s">
        <v>1158</v>
      </c>
      <c r="C85" s="1435">
        <f>44*32*4/12</f>
        <v>469.3333333333333</v>
      </c>
    </row>
    <row r="86" spans="1:3" ht="12.75" customHeight="1">
      <c r="A86" s="1059" t="s">
        <v>900</v>
      </c>
      <c r="B86" s="1515" t="s">
        <v>1159</v>
      </c>
      <c r="C86" s="1435">
        <f>68*32*4/12</f>
        <v>725.3333333333334</v>
      </c>
    </row>
    <row r="87" spans="1:3" ht="12.75" customHeight="1">
      <c r="A87" s="1059" t="s">
        <v>901</v>
      </c>
      <c r="B87" s="1516" t="s">
        <v>1157</v>
      </c>
      <c r="C87" s="1508">
        <f>68*32*8/12</f>
        <v>1450.6666666666667</v>
      </c>
    </row>
    <row r="88" spans="1:3" ht="12.75" customHeight="1" thickBot="1">
      <c r="A88" s="1522" t="s">
        <v>902</v>
      </c>
      <c r="B88" s="1515"/>
      <c r="C88" s="1509"/>
    </row>
    <row r="89" spans="1:5" ht="12.75" customHeight="1" thickBot="1">
      <c r="A89" s="673" t="s">
        <v>903</v>
      </c>
      <c r="B89" s="671" t="s">
        <v>95</v>
      </c>
      <c r="C89" s="672">
        <f>SUM(C8:C88)</f>
        <v>927703.7330000001</v>
      </c>
      <c r="E89" s="96"/>
    </row>
    <row r="90" spans="2:3" ht="9.75" customHeight="1">
      <c r="B90" s="48"/>
      <c r="C90" s="49"/>
    </row>
    <row r="91" spans="1:3" ht="12.75" customHeight="1">
      <c r="A91" s="1546" t="s">
        <v>1349</v>
      </c>
      <c r="B91" s="1546"/>
      <c r="C91" s="1546"/>
    </row>
    <row r="92" spans="2:3" ht="12.75" customHeight="1">
      <c r="B92" s="1566" t="s">
        <v>560</v>
      </c>
      <c r="C92" s="1566"/>
    </row>
    <row r="93" spans="2:3" ht="12.75" customHeight="1" thickBot="1">
      <c r="B93" s="1"/>
      <c r="C93" s="46" t="s">
        <v>9</v>
      </c>
    </row>
    <row r="94" spans="1:3" ht="12.75" customHeight="1" thickBot="1">
      <c r="A94" s="666" t="s">
        <v>801</v>
      </c>
      <c r="B94" s="676" t="s">
        <v>91</v>
      </c>
      <c r="C94" s="483" t="s">
        <v>39</v>
      </c>
    </row>
    <row r="95" spans="1:3" ht="12.75" customHeight="1" thickBot="1">
      <c r="A95" s="657" t="s">
        <v>802</v>
      </c>
      <c r="B95" s="665" t="s">
        <v>803</v>
      </c>
      <c r="C95" s="628" t="s">
        <v>804</v>
      </c>
    </row>
    <row r="96" spans="1:3" ht="12.75" customHeight="1">
      <c r="A96" s="674" t="s">
        <v>806</v>
      </c>
      <c r="B96" s="677" t="s">
        <v>774</v>
      </c>
      <c r="C96" s="492"/>
    </row>
    <row r="97" spans="1:3" ht="12.75" customHeight="1">
      <c r="A97" s="626" t="s">
        <v>807</v>
      </c>
      <c r="B97" s="678" t="s">
        <v>565</v>
      </c>
      <c r="C97" s="335"/>
    </row>
    <row r="98" spans="1:3" ht="12.75" customHeight="1">
      <c r="A98" s="674" t="s">
        <v>808</v>
      </c>
      <c r="B98" s="670" t="s">
        <v>1295</v>
      </c>
      <c r="C98" s="668">
        <f>9*1200*8/12</f>
        <v>7200</v>
      </c>
    </row>
    <row r="99" spans="1:3" ht="12.75" customHeight="1">
      <c r="A99" s="626" t="s">
        <v>809</v>
      </c>
      <c r="B99" s="670" t="s">
        <v>1296</v>
      </c>
      <c r="C99" s="668">
        <f>9*1200*4/12</f>
        <v>3600</v>
      </c>
    </row>
    <row r="100" spans="1:3" ht="12.75" customHeight="1">
      <c r="A100" s="674" t="s">
        <v>810</v>
      </c>
      <c r="B100" s="670" t="s">
        <v>1168</v>
      </c>
      <c r="C100" s="668">
        <f>283*6.3*8/12</f>
        <v>1188.6</v>
      </c>
    </row>
    <row r="101" spans="1:3" ht="12.75" customHeight="1">
      <c r="A101" s="626" t="s">
        <v>811</v>
      </c>
      <c r="B101" s="670" t="s">
        <v>1464</v>
      </c>
      <c r="C101" s="668">
        <f>283*6.3*4/12-139</f>
        <v>455.29999999999995</v>
      </c>
    </row>
    <row r="102" spans="1:3" ht="12.75" customHeight="1">
      <c r="A102" s="674" t="s">
        <v>812</v>
      </c>
      <c r="B102" s="670" t="s">
        <v>1170</v>
      </c>
      <c r="C102" s="668">
        <f>119*26*8/12</f>
        <v>2062.6666666666665</v>
      </c>
    </row>
    <row r="103" spans="1:3" ht="12.75" customHeight="1">
      <c r="A103" s="626" t="s">
        <v>813</v>
      </c>
      <c r="B103" s="670" t="s">
        <v>1465</v>
      </c>
      <c r="C103" s="668">
        <f>106*26*4/12-303</f>
        <v>615.6666666666666</v>
      </c>
    </row>
    <row r="104" spans="1:3" ht="12.75" customHeight="1">
      <c r="A104" s="674" t="s">
        <v>814</v>
      </c>
      <c r="B104" s="670" t="s">
        <v>1172</v>
      </c>
      <c r="C104" s="668">
        <f>6*65*8/12</f>
        <v>260</v>
      </c>
    </row>
    <row r="105" spans="1:3" ht="12.75" customHeight="1">
      <c r="A105" s="626" t="s">
        <v>815</v>
      </c>
      <c r="B105" s="670" t="s">
        <v>1173</v>
      </c>
      <c r="C105" s="668">
        <f>6*65*4/12</f>
        <v>130</v>
      </c>
    </row>
    <row r="106" spans="1:3" ht="12.75" customHeight="1">
      <c r="A106" s="674" t="s">
        <v>816</v>
      </c>
      <c r="B106" s="670" t="s">
        <v>1323</v>
      </c>
      <c r="C106" s="668">
        <f>207*68</f>
        <v>14076</v>
      </c>
    </row>
    <row r="107" spans="1:5" ht="12.75" customHeight="1">
      <c r="A107" s="626" t="s">
        <v>817</v>
      </c>
      <c r="B107" s="670" t="s">
        <v>1324</v>
      </c>
      <c r="C107" s="668">
        <f>384*68</f>
        <v>26112</v>
      </c>
      <c r="D107" s="710"/>
      <c r="E107" s="710"/>
    </row>
    <row r="108" spans="1:3" ht="12.75" customHeight="1">
      <c r="A108" s="674" t="s">
        <v>818</v>
      </c>
      <c r="B108" s="670" t="s">
        <v>1325</v>
      </c>
      <c r="C108" s="668">
        <f>44*68</f>
        <v>2992</v>
      </c>
    </row>
    <row r="109" spans="1:3" ht="12.75" customHeight="1">
      <c r="A109" s="626" t="s">
        <v>819</v>
      </c>
      <c r="B109" s="670" t="s">
        <v>1466</v>
      </c>
      <c r="C109" s="668">
        <f>8*68-204</f>
        <v>340</v>
      </c>
    </row>
    <row r="110" spans="1:3" ht="12.75" customHeight="1">
      <c r="A110" s="674" t="s">
        <v>820</v>
      </c>
      <c r="B110" s="670" t="s">
        <v>1326</v>
      </c>
      <c r="C110" s="668">
        <f>34*68</f>
        <v>2312</v>
      </c>
    </row>
    <row r="111" spans="1:3" ht="12.75" customHeight="1">
      <c r="A111" s="674" t="s">
        <v>824</v>
      </c>
      <c r="B111" s="670" t="s">
        <v>1327</v>
      </c>
      <c r="C111" s="1350">
        <f>2070*1.75*4/12</f>
        <v>1207.5</v>
      </c>
    </row>
    <row r="112" spans="1:3" ht="12.75" customHeight="1">
      <c r="A112" s="626" t="s">
        <v>826</v>
      </c>
      <c r="B112" s="670" t="s">
        <v>1467</v>
      </c>
      <c r="C112" s="668">
        <f>2147*1.75*8/12-292</f>
        <v>2212.8333333333335</v>
      </c>
    </row>
    <row r="113" spans="1:3" ht="12.75" customHeight="1">
      <c r="A113" s="674" t="s">
        <v>827</v>
      </c>
      <c r="B113" s="670" t="s">
        <v>1468</v>
      </c>
      <c r="C113" s="668">
        <f>1291*12-6000</f>
        <v>9492</v>
      </c>
    </row>
    <row r="114" spans="1:3" ht="12.75" customHeight="1">
      <c r="A114" s="626" t="s">
        <v>828</v>
      </c>
      <c r="B114" s="678" t="s">
        <v>566</v>
      </c>
      <c r="C114" s="335"/>
    </row>
    <row r="115" spans="1:3" ht="12.75" customHeight="1">
      <c r="A115" s="674" t="s">
        <v>829</v>
      </c>
      <c r="B115" s="639" t="s">
        <v>773</v>
      </c>
      <c r="C115" s="335">
        <v>218725</v>
      </c>
    </row>
    <row r="116" spans="1:3" ht="12.75" customHeight="1">
      <c r="A116" s="674" t="s">
        <v>830</v>
      </c>
      <c r="B116" s="639" t="s">
        <v>1282</v>
      </c>
      <c r="C116" s="335">
        <v>340</v>
      </c>
    </row>
    <row r="117" spans="1:3" ht="12.75" customHeight="1" thickBot="1">
      <c r="A117" s="1379" t="s">
        <v>831</v>
      </c>
      <c r="B117" s="639" t="s">
        <v>776</v>
      </c>
      <c r="C117" s="335">
        <v>31</v>
      </c>
    </row>
    <row r="118" spans="1:5" ht="12.75" customHeight="1" thickBot="1">
      <c r="A118" s="675" t="s">
        <v>832</v>
      </c>
      <c r="B118" s="637" t="s">
        <v>1044</v>
      </c>
      <c r="C118" s="338">
        <f>SUM(C97:C117)</f>
        <v>293352.56666666665</v>
      </c>
      <c r="E118" s="96"/>
    </row>
    <row r="119" spans="1:3" ht="12.75">
      <c r="A119" s="19"/>
      <c r="B119" s="1"/>
      <c r="C119" s="1"/>
    </row>
    <row r="120" spans="1:4" ht="12.75">
      <c r="A120" s="19"/>
      <c r="B120" s="1"/>
      <c r="C120" s="491"/>
      <c r="D120" s="96"/>
    </row>
    <row r="121" spans="1:4" ht="12.75">
      <c r="A121" s="19"/>
      <c r="B121" s="1"/>
      <c r="C121" s="1"/>
      <c r="D121" s="96"/>
    </row>
    <row r="122" spans="2:4" ht="12.75">
      <c r="B122" s="1"/>
      <c r="C122" s="491"/>
      <c r="D122" s="96"/>
    </row>
    <row r="123" spans="2:4" ht="12.75">
      <c r="B123" s="1"/>
      <c r="C123" s="1"/>
      <c r="D123" s="96"/>
    </row>
    <row r="124" spans="2:4" ht="12.75">
      <c r="B124" s="1"/>
      <c r="C124" s="1"/>
      <c r="D124" s="96"/>
    </row>
    <row r="125" spans="2:4" ht="12.75">
      <c r="B125" s="1"/>
      <c r="C125" s="1"/>
      <c r="D125" s="96"/>
    </row>
    <row r="126" spans="2:4" ht="12.75">
      <c r="B126" s="1"/>
      <c r="C126" s="1"/>
      <c r="D126" s="96"/>
    </row>
    <row r="127" spans="2:4" ht="12.75">
      <c r="B127" s="1"/>
      <c r="C127" s="1"/>
      <c r="D127" s="96"/>
    </row>
    <row r="128" spans="2:4" ht="12.75">
      <c r="B128" s="1"/>
      <c r="C128" s="1"/>
      <c r="D128" s="96"/>
    </row>
    <row r="129" spans="2:4" ht="12.75">
      <c r="B129" s="1"/>
      <c r="C129" s="1"/>
      <c r="D129" s="96"/>
    </row>
    <row r="130" spans="2:4" ht="12.75">
      <c r="B130" s="1"/>
      <c r="C130" s="1"/>
      <c r="D130" s="96"/>
    </row>
    <row r="131" spans="2:4" ht="12.75">
      <c r="B131" s="1"/>
      <c r="C131" s="1"/>
      <c r="D131" s="96"/>
    </row>
    <row r="132" spans="2:4" ht="12.75">
      <c r="B132" s="1"/>
      <c r="C132" s="1"/>
      <c r="D132" s="96"/>
    </row>
    <row r="133" spans="2:4" ht="12.75">
      <c r="B133" s="1"/>
      <c r="C133" s="1"/>
      <c r="D133" s="96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5" ht="12.75">
      <c r="B148" s="1"/>
      <c r="C148" s="1"/>
      <c r="E148" s="96"/>
    </row>
    <row r="149" spans="2:3" ht="12.75">
      <c r="B149" s="1"/>
      <c r="C149" s="1"/>
    </row>
    <row r="150" spans="2:5" ht="12.75">
      <c r="B150" s="1"/>
      <c r="C150" s="1"/>
      <c r="E150" s="96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</sheetData>
  <sheetProtection/>
  <mergeCells count="5">
    <mergeCell ref="B3:C3"/>
    <mergeCell ref="B63:C63"/>
    <mergeCell ref="B64:C64"/>
    <mergeCell ref="B92:C92"/>
    <mergeCell ref="A91:C91"/>
  </mergeCells>
  <printOptions/>
  <pageMargins left="0.7086614173228347" right="0.7086614173228347" top="0.5511811023622047" bottom="0.551181102362204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64">
      <selection activeCell="D99" sqref="D99"/>
    </sheetView>
  </sheetViews>
  <sheetFormatPr defaultColWidth="9.140625" defaultRowHeight="12.75"/>
  <cols>
    <col min="1" max="1" width="5.28125" style="0" customWidth="1"/>
    <col min="2" max="2" width="55.00390625" style="0" customWidth="1"/>
    <col min="3" max="3" width="21.8515625" style="0" customWidth="1"/>
  </cols>
  <sheetData>
    <row r="1" spans="1:5" ht="12.75">
      <c r="A1" s="571" t="s">
        <v>1350</v>
      </c>
      <c r="B1" s="571"/>
      <c r="C1" s="571"/>
      <c r="D1" s="571"/>
      <c r="E1" s="571"/>
    </row>
    <row r="2" spans="2:3" ht="15.75">
      <c r="B2" s="140"/>
      <c r="C2" s="1"/>
    </row>
    <row r="3" spans="1:3" ht="15.75">
      <c r="A3" s="1566" t="s">
        <v>561</v>
      </c>
      <c r="B3" s="1545"/>
      <c r="C3" s="1545"/>
    </row>
    <row r="4" spans="2:3" ht="15.75">
      <c r="B4" s="45"/>
      <c r="C4" s="139"/>
    </row>
    <row r="5" spans="2:3" ht="13.5" thickBot="1">
      <c r="B5" s="1571" t="s">
        <v>53</v>
      </c>
      <c r="C5" s="1571"/>
    </row>
    <row r="6" spans="1:3" ht="15.75">
      <c r="A6" s="1578" t="s">
        <v>801</v>
      </c>
      <c r="B6" s="162" t="s">
        <v>98</v>
      </c>
      <c r="C6" s="422" t="s">
        <v>55</v>
      </c>
    </row>
    <row r="7" spans="1:3" ht="13.5" thickBot="1">
      <c r="A7" s="1579"/>
      <c r="B7" s="172"/>
      <c r="C7" s="679" t="s">
        <v>10</v>
      </c>
    </row>
    <row r="8" spans="1:3" ht="13.5" thickBot="1">
      <c r="A8" s="647" t="s">
        <v>802</v>
      </c>
      <c r="B8" s="252" t="s">
        <v>803</v>
      </c>
      <c r="C8" s="589" t="s">
        <v>804</v>
      </c>
    </row>
    <row r="9" spans="1:3" ht="12.75">
      <c r="A9" s="615" t="s">
        <v>806</v>
      </c>
      <c r="B9" s="291" t="s">
        <v>1387</v>
      </c>
      <c r="C9" s="681">
        <f>10810+9411+9357</f>
        <v>29578</v>
      </c>
    </row>
    <row r="10" spans="1:3" ht="12.75">
      <c r="A10" s="615" t="s">
        <v>807</v>
      </c>
      <c r="B10" s="291" t="s">
        <v>1419</v>
      </c>
      <c r="C10" s="681">
        <v>2435</v>
      </c>
    </row>
    <row r="11" spans="1:3" ht="12.75">
      <c r="A11" s="615" t="s">
        <v>808</v>
      </c>
      <c r="B11" s="291" t="s">
        <v>1420</v>
      </c>
      <c r="C11" s="681">
        <v>1788</v>
      </c>
    </row>
    <row r="12" spans="1:3" ht="12.75">
      <c r="A12" s="599" t="s">
        <v>809</v>
      </c>
      <c r="B12" s="1405" t="s">
        <v>1421</v>
      </c>
      <c r="C12" s="1406">
        <v>50080</v>
      </c>
    </row>
    <row r="13" spans="1:3" ht="13.5" thickBot="1">
      <c r="A13" s="602" t="s">
        <v>810</v>
      </c>
      <c r="B13" s="172" t="s">
        <v>1406</v>
      </c>
      <c r="C13" s="426">
        <v>5170</v>
      </c>
    </row>
    <row r="14" spans="1:3" ht="13.5" thickBot="1">
      <c r="A14" s="1464" t="s">
        <v>811</v>
      </c>
      <c r="B14" s="228" t="s">
        <v>562</v>
      </c>
      <c r="C14" s="1381">
        <f>SUM(C9:C13)</f>
        <v>89051</v>
      </c>
    </row>
    <row r="15" spans="1:3" ht="12.75">
      <c r="A15" s="580"/>
      <c r="B15" s="48"/>
      <c r="C15" s="593"/>
    </row>
    <row r="16" spans="1:3" ht="12.75">
      <c r="A16" s="580"/>
      <c r="B16" s="48"/>
      <c r="C16" s="593"/>
    </row>
    <row r="17" spans="1:3" ht="12.75">
      <c r="A17" s="580"/>
      <c r="B17" s="48"/>
      <c r="C17" s="593"/>
    </row>
    <row r="18" spans="2:3" ht="12.75">
      <c r="B18" s="48"/>
      <c r="C18" s="320"/>
    </row>
    <row r="19" spans="1:5" ht="12.75">
      <c r="A19" s="571" t="s">
        <v>1351</v>
      </c>
      <c r="B19" s="571"/>
      <c r="C19" s="571"/>
      <c r="D19" s="571"/>
      <c r="E19" s="571"/>
    </row>
    <row r="20" spans="2:3" ht="12.75">
      <c r="B20" s="1"/>
      <c r="C20" s="1"/>
    </row>
    <row r="21" spans="1:3" ht="15.75">
      <c r="A21" s="1566" t="s">
        <v>563</v>
      </c>
      <c r="B21" s="1545"/>
      <c r="C21" s="1545"/>
    </row>
    <row r="22" spans="2:3" ht="15.75">
      <c r="B22" s="140"/>
      <c r="C22" s="1"/>
    </row>
    <row r="23" spans="2:3" ht="13.5" thickBot="1">
      <c r="B23" s="1571" t="s">
        <v>99</v>
      </c>
      <c r="C23" s="1571"/>
    </row>
    <row r="24" spans="1:3" ht="15.75">
      <c r="A24" s="1578" t="s">
        <v>801</v>
      </c>
      <c r="B24" s="162" t="s">
        <v>98</v>
      </c>
      <c r="C24" s="422" t="s">
        <v>55</v>
      </c>
    </row>
    <row r="25" spans="1:3" ht="13.5" thickBot="1">
      <c r="A25" s="1579"/>
      <c r="B25" s="172"/>
      <c r="C25" s="423" t="s">
        <v>10</v>
      </c>
    </row>
    <row r="26" spans="1:3" ht="13.5" thickBot="1">
      <c r="A26" s="647" t="s">
        <v>802</v>
      </c>
      <c r="B26" s="252" t="s">
        <v>803</v>
      </c>
      <c r="C26" s="628" t="s">
        <v>804</v>
      </c>
    </row>
    <row r="27" spans="1:3" ht="12.75">
      <c r="A27" s="615" t="s">
        <v>806</v>
      </c>
      <c r="B27" s="172" t="s">
        <v>564</v>
      </c>
      <c r="C27" s="427">
        <v>83985</v>
      </c>
    </row>
    <row r="28" spans="1:3" ht="38.25">
      <c r="A28" s="599" t="s">
        <v>807</v>
      </c>
      <c r="B28" s="949" t="s">
        <v>1045</v>
      </c>
      <c r="C28" s="400"/>
    </row>
    <row r="29" spans="1:3" ht="13.5" thickBot="1">
      <c r="A29" s="602" t="s">
        <v>808</v>
      </c>
      <c r="B29" s="1407" t="s">
        <v>1391</v>
      </c>
      <c r="C29" s="1408">
        <f>37279+19902</f>
        <v>57181</v>
      </c>
    </row>
    <row r="30" spans="1:3" ht="13.5" thickBot="1">
      <c r="A30" s="582" t="s">
        <v>809</v>
      </c>
      <c r="B30" s="228" t="s">
        <v>563</v>
      </c>
      <c r="C30" s="454">
        <f>SUM(C27:C29)</f>
        <v>141166</v>
      </c>
    </row>
    <row r="31" spans="2:3" ht="12.75">
      <c r="B31" s="48"/>
      <c r="C31" s="320"/>
    </row>
    <row r="32" spans="2:3" ht="12.75">
      <c r="B32" s="48"/>
      <c r="C32" s="320"/>
    </row>
    <row r="33" spans="2:3" ht="12.75">
      <c r="B33" s="48"/>
      <c r="C33" s="320"/>
    </row>
    <row r="34" spans="2:3" ht="12.75">
      <c r="B34" s="48"/>
      <c r="C34" s="320"/>
    </row>
    <row r="35" spans="2:3" ht="12.75">
      <c r="B35" s="48"/>
      <c r="C35" s="320"/>
    </row>
    <row r="36" spans="2:3" ht="12.75">
      <c r="B36" s="48"/>
      <c r="C36" s="320"/>
    </row>
    <row r="37" spans="2:3" ht="12.75">
      <c r="B37" s="48"/>
      <c r="C37" s="320"/>
    </row>
    <row r="38" spans="2:3" ht="12.75">
      <c r="B38" s="48"/>
      <c r="C38" s="320"/>
    </row>
    <row r="39" spans="2:3" ht="12.75">
      <c r="B39" s="48"/>
      <c r="C39" s="320"/>
    </row>
    <row r="40" spans="2:3" ht="12.75">
      <c r="B40" s="48"/>
      <c r="C40" s="320"/>
    </row>
    <row r="41" spans="2:3" ht="12.75">
      <c r="B41" s="48"/>
      <c r="C41" s="320"/>
    </row>
    <row r="42" spans="2:3" ht="12.75">
      <c r="B42" s="48"/>
      <c r="C42" s="320"/>
    </row>
    <row r="43" spans="2:3" ht="12.75">
      <c r="B43" s="48"/>
      <c r="C43" s="320"/>
    </row>
    <row r="44" spans="2:3" ht="12.75">
      <c r="B44" s="48"/>
      <c r="C44" s="320"/>
    </row>
    <row r="45" spans="2:3" ht="12.75">
      <c r="B45" s="48"/>
      <c r="C45" s="320"/>
    </row>
    <row r="46" spans="2:3" ht="12.75">
      <c r="B46" s="48"/>
      <c r="C46" s="320"/>
    </row>
    <row r="47" spans="2:3" ht="12.75">
      <c r="B47" s="48"/>
      <c r="C47" s="320"/>
    </row>
    <row r="48" spans="2:3" ht="12.75">
      <c r="B48" s="48"/>
      <c r="C48" s="320"/>
    </row>
    <row r="49" spans="2:3" ht="12.75">
      <c r="B49" s="48"/>
      <c r="C49" s="320"/>
    </row>
    <row r="50" spans="2:3" ht="12.75">
      <c r="B50" s="48"/>
      <c r="C50" s="320"/>
    </row>
    <row r="51" spans="2:3" ht="12.75">
      <c r="B51" s="48"/>
      <c r="C51" s="320"/>
    </row>
    <row r="52" spans="2:3" ht="12.75">
      <c r="B52" s="48"/>
      <c r="C52" s="320"/>
    </row>
    <row r="53" spans="1:5" ht="12.75">
      <c r="A53" s="571" t="s">
        <v>1352</v>
      </c>
      <c r="B53" s="571"/>
      <c r="C53" s="571"/>
      <c r="D53" s="571"/>
      <c r="E53" s="571"/>
    </row>
    <row r="54" spans="2:3" ht="7.5" customHeight="1">
      <c r="B54" s="1"/>
      <c r="C54" s="1"/>
    </row>
    <row r="55" spans="2:3" ht="15.75">
      <c r="B55" s="1577" t="s">
        <v>664</v>
      </c>
      <c r="C55" s="1577"/>
    </row>
    <row r="56" spans="2:5" ht="9" customHeight="1">
      <c r="B56" s="45"/>
      <c r="C56" s="45"/>
      <c r="D56" s="15"/>
      <c r="E56" s="15"/>
    </row>
    <row r="57" spans="2:3" ht="13.5" thickBot="1">
      <c r="B57" s="168"/>
      <c r="C57" s="168" t="s">
        <v>675</v>
      </c>
    </row>
    <row r="58" spans="1:3" ht="26.25" customHeight="1" thickBot="1">
      <c r="A58" s="644" t="s">
        <v>801</v>
      </c>
      <c r="B58" s="573" t="s">
        <v>98</v>
      </c>
      <c r="C58" s="825" t="s">
        <v>40</v>
      </c>
    </row>
    <row r="59" spans="1:3" ht="11.25" customHeight="1" thickBot="1">
      <c r="A59" s="1013" t="s">
        <v>802</v>
      </c>
      <c r="B59" s="1467" t="s">
        <v>803</v>
      </c>
      <c r="C59" s="1470" t="s">
        <v>804</v>
      </c>
    </row>
    <row r="60" spans="1:3" ht="13.5" thickBot="1">
      <c r="A60" s="723" t="s">
        <v>806</v>
      </c>
      <c r="B60" s="1530" t="s">
        <v>1047</v>
      </c>
      <c r="C60" s="1202">
        <f>C61+C79+C84</f>
        <v>464493</v>
      </c>
    </row>
    <row r="61" spans="1:3" ht="13.5" thickBot="1">
      <c r="A61" s="553" t="s">
        <v>807</v>
      </c>
      <c r="B61" s="1531" t="s">
        <v>673</v>
      </c>
      <c r="C61" s="197">
        <f>SUM(C62:C78)</f>
        <v>328528</v>
      </c>
    </row>
    <row r="62" spans="1:3" ht="12.75">
      <c r="A62" s="553" t="s">
        <v>808</v>
      </c>
      <c r="B62" s="291" t="s">
        <v>665</v>
      </c>
      <c r="C62" s="355">
        <f>287183+12210</f>
        <v>299393</v>
      </c>
    </row>
    <row r="63" spans="1:3" ht="12.75">
      <c r="A63" s="553" t="s">
        <v>809</v>
      </c>
      <c r="B63" s="4" t="s">
        <v>676</v>
      </c>
      <c r="C63" s="219">
        <v>1186</v>
      </c>
    </row>
    <row r="64" spans="1:3" ht="12.75">
      <c r="A64" s="553" t="s">
        <v>810</v>
      </c>
      <c r="B64" s="4" t="s">
        <v>1187</v>
      </c>
      <c r="C64" s="219">
        <f>7000+630</f>
        <v>7630</v>
      </c>
    </row>
    <row r="65" spans="1:3" ht="12.75">
      <c r="A65" s="553" t="s">
        <v>811</v>
      </c>
      <c r="B65" s="1532" t="s">
        <v>1392</v>
      </c>
      <c r="C65" s="221">
        <f>101+29+433</f>
        <v>563</v>
      </c>
    </row>
    <row r="66" spans="1:3" ht="12.75">
      <c r="A66" s="553" t="s">
        <v>812</v>
      </c>
      <c r="B66" s="1532" t="s">
        <v>1393</v>
      </c>
      <c r="C66" s="221">
        <f>1269+465</f>
        <v>1734</v>
      </c>
    </row>
    <row r="67" spans="1:3" ht="12.75">
      <c r="A67" s="553" t="s">
        <v>813</v>
      </c>
      <c r="B67" s="1532" t="s">
        <v>1394</v>
      </c>
      <c r="C67" s="221">
        <f>797+519</f>
        <v>1316</v>
      </c>
    </row>
    <row r="68" spans="1:3" ht="12.75">
      <c r="A68" s="553" t="s">
        <v>814</v>
      </c>
      <c r="B68" s="1532" t="s">
        <v>1470</v>
      </c>
      <c r="C68" s="221">
        <v>304</v>
      </c>
    </row>
    <row r="69" spans="1:3" ht="12.75">
      <c r="A69" s="553" t="s">
        <v>815</v>
      </c>
      <c r="B69" s="1532" t="s">
        <v>1395</v>
      </c>
      <c r="C69" s="221">
        <v>158</v>
      </c>
    </row>
    <row r="70" spans="1:3" ht="12.75">
      <c r="A70" s="553" t="s">
        <v>816</v>
      </c>
      <c r="B70" s="206" t="s">
        <v>1407</v>
      </c>
      <c r="C70" s="190">
        <f>138+230</f>
        <v>368</v>
      </c>
    </row>
    <row r="71" spans="1:3" ht="12.75">
      <c r="A71" s="553" t="s">
        <v>817</v>
      </c>
      <c r="B71" s="206" t="s">
        <v>1408</v>
      </c>
      <c r="C71" s="190">
        <v>151</v>
      </c>
    </row>
    <row r="72" spans="1:3" ht="12.75">
      <c r="A72" s="553" t="s">
        <v>818</v>
      </c>
      <c r="B72" s="1533" t="s">
        <v>1409</v>
      </c>
      <c r="C72" s="190">
        <v>400</v>
      </c>
    </row>
    <row r="73" spans="1:3" ht="12.75">
      <c r="A73" s="553" t="s">
        <v>819</v>
      </c>
      <c r="B73" s="1533" t="s">
        <v>1410</v>
      </c>
      <c r="C73" s="190">
        <v>84</v>
      </c>
    </row>
    <row r="74" spans="1:3" ht="12.75">
      <c r="A74" s="553" t="s">
        <v>820</v>
      </c>
      <c r="B74" s="39" t="s">
        <v>1398</v>
      </c>
      <c r="C74" s="198">
        <f>851+2827</f>
        <v>3678</v>
      </c>
    </row>
    <row r="75" spans="1:3" ht="12.75">
      <c r="A75" s="553" t="s">
        <v>821</v>
      </c>
      <c r="B75" s="1054" t="s">
        <v>1400</v>
      </c>
      <c r="C75" s="195">
        <f>7087+3276</f>
        <v>10363</v>
      </c>
    </row>
    <row r="76" spans="1:3" ht="12.75">
      <c r="A76" s="553" t="s">
        <v>822</v>
      </c>
      <c r="B76" s="1054" t="s">
        <v>1401</v>
      </c>
      <c r="C76" s="195">
        <v>126</v>
      </c>
    </row>
    <row r="77" spans="1:3" ht="12.75">
      <c r="A77" s="553" t="s">
        <v>823</v>
      </c>
      <c r="B77" s="1054"/>
      <c r="C77" s="195"/>
    </row>
    <row r="78" spans="1:3" ht="13.5" thickBot="1">
      <c r="A78" s="553" t="s">
        <v>824</v>
      </c>
      <c r="B78" s="1054" t="s">
        <v>1399</v>
      </c>
      <c r="C78" s="195">
        <f>299+322+453</f>
        <v>1074</v>
      </c>
    </row>
    <row r="79" spans="1:3" ht="13.5" thickBot="1">
      <c r="A79" s="553" t="s">
        <v>826</v>
      </c>
      <c r="B79" s="450" t="s">
        <v>38</v>
      </c>
      <c r="C79" s="197">
        <f>C80+C81+C82+C83</f>
        <v>1659</v>
      </c>
    </row>
    <row r="80" spans="1:3" ht="12.75">
      <c r="A80" s="553" t="s">
        <v>827</v>
      </c>
      <c r="B80" s="1534" t="s">
        <v>1244</v>
      </c>
      <c r="C80" s="193">
        <f>10694-10694</f>
        <v>0</v>
      </c>
    </row>
    <row r="81" spans="1:3" ht="12.75">
      <c r="A81" s="553" t="s">
        <v>828</v>
      </c>
      <c r="B81" s="1535" t="s">
        <v>1243</v>
      </c>
      <c r="C81" s="190">
        <v>1659</v>
      </c>
    </row>
    <row r="82" spans="1:3" ht="12.75">
      <c r="A82" s="553" t="s">
        <v>829</v>
      </c>
      <c r="B82" s="453"/>
      <c r="C82" s="194"/>
    </row>
    <row r="83" spans="1:3" ht="13.5" thickBot="1">
      <c r="A83" s="553" t="s">
        <v>830</v>
      </c>
      <c r="B83" s="1536"/>
      <c r="C83" s="191"/>
    </row>
    <row r="84" spans="1:3" ht="13.5" thickBot="1">
      <c r="A84" s="553" t="s">
        <v>831</v>
      </c>
      <c r="B84" s="450" t="s">
        <v>55</v>
      </c>
      <c r="C84" s="197">
        <f>SUM(C85:C98)</f>
        <v>134306</v>
      </c>
    </row>
    <row r="85" spans="1:3" ht="12.75">
      <c r="A85" s="553" t="s">
        <v>832</v>
      </c>
      <c r="B85" s="39" t="s">
        <v>666</v>
      </c>
      <c r="C85" s="355">
        <v>35568</v>
      </c>
    </row>
    <row r="86" spans="1:3" ht="12.75">
      <c r="A86" s="553" t="s">
        <v>833</v>
      </c>
      <c r="B86" s="206" t="s">
        <v>667</v>
      </c>
      <c r="C86" s="219">
        <v>4000</v>
      </c>
    </row>
    <row r="87" spans="1:3" ht="12.75">
      <c r="A87" s="553" t="s">
        <v>834</v>
      </c>
      <c r="B87" s="206" t="s">
        <v>668</v>
      </c>
      <c r="C87" s="219">
        <v>0</v>
      </c>
    </row>
    <row r="88" spans="1:3" ht="12.75">
      <c r="A88" s="553" t="s">
        <v>835</v>
      </c>
      <c r="B88" s="1535" t="s">
        <v>669</v>
      </c>
      <c r="C88" s="219">
        <v>1426</v>
      </c>
    </row>
    <row r="89" spans="1:3" ht="12.75">
      <c r="A89" s="553" t="s">
        <v>836</v>
      </c>
      <c r="B89" s="1535" t="s">
        <v>670</v>
      </c>
      <c r="C89" s="219">
        <v>0</v>
      </c>
    </row>
    <row r="90" spans="1:3" ht="12.75">
      <c r="A90" s="553" t="s">
        <v>837</v>
      </c>
      <c r="B90" s="1535" t="s">
        <v>671</v>
      </c>
      <c r="C90" s="357">
        <v>10000</v>
      </c>
    </row>
    <row r="91" spans="1:3" ht="12.75">
      <c r="A91" s="553" t="s">
        <v>838</v>
      </c>
      <c r="B91" s="1535" t="s">
        <v>672</v>
      </c>
      <c r="C91" s="357">
        <v>17200</v>
      </c>
    </row>
    <row r="92" spans="1:3" ht="12.75">
      <c r="A92" s="553" t="s">
        <v>839</v>
      </c>
      <c r="B92" s="1535" t="s">
        <v>1074</v>
      </c>
      <c r="C92" s="357">
        <v>16436</v>
      </c>
    </row>
    <row r="93" spans="1:8" s="42" customFormat="1" ht="12.75">
      <c r="A93" s="553" t="s">
        <v>840</v>
      </c>
      <c r="B93" s="1535" t="s">
        <v>1075</v>
      </c>
      <c r="C93" s="357">
        <v>2623</v>
      </c>
      <c r="H93"/>
    </row>
    <row r="94" spans="1:8" s="18" customFormat="1" ht="12.75">
      <c r="A94" s="553" t="s">
        <v>841</v>
      </c>
      <c r="B94" s="1535" t="s">
        <v>1076</v>
      </c>
      <c r="C94" s="357">
        <v>18153</v>
      </c>
      <c r="H94" s="42"/>
    </row>
    <row r="95" spans="1:3" s="18" customFormat="1" ht="12.75">
      <c r="A95" s="553" t="s">
        <v>842</v>
      </c>
      <c r="B95" s="1535" t="s">
        <v>1077</v>
      </c>
      <c r="C95" s="357">
        <v>15940</v>
      </c>
    </row>
    <row r="96" spans="1:3" s="18" customFormat="1" ht="12.75">
      <c r="A96" s="553" t="s">
        <v>843</v>
      </c>
      <c r="B96" s="1535" t="s">
        <v>1244</v>
      </c>
      <c r="C96" s="357">
        <v>1790</v>
      </c>
    </row>
    <row r="97" spans="1:3" s="18" customFormat="1" ht="12.75">
      <c r="A97" s="553" t="s">
        <v>844</v>
      </c>
      <c r="B97" s="1537" t="s">
        <v>1402</v>
      </c>
      <c r="C97" s="357">
        <v>440</v>
      </c>
    </row>
    <row r="98" spans="1:3" s="18" customFormat="1" ht="13.5" thickBot="1">
      <c r="A98" s="656" t="s">
        <v>845</v>
      </c>
      <c r="B98" s="1538" t="s">
        <v>1475</v>
      </c>
      <c r="C98" s="490">
        <f>7527+3203</f>
        <v>10730</v>
      </c>
    </row>
    <row r="99" spans="1:3" s="18" customFormat="1" ht="12.75">
      <c r="A99" s="580"/>
      <c r="B99" s="1465"/>
      <c r="C99" s="33"/>
    </row>
    <row r="100" spans="1:3" s="18" customFormat="1" ht="12.75">
      <c r="A100" s="580"/>
      <c r="B100" s="1465"/>
      <c r="C100" s="33"/>
    </row>
    <row r="101" spans="1:3" s="18" customFormat="1" ht="12.75">
      <c r="A101" s="580"/>
      <c r="B101" s="1465"/>
      <c r="C101" s="33"/>
    </row>
    <row r="102" spans="1:3" s="18" customFormat="1" ht="12.75">
      <c r="A102" s="580"/>
      <c r="B102" s="1465"/>
      <c r="C102" s="33"/>
    </row>
    <row r="103" spans="1:3" s="18" customFormat="1" ht="12.75">
      <c r="A103" s="580"/>
      <c r="B103" s="1465"/>
      <c r="C103" s="33"/>
    </row>
    <row r="104" spans="1:3" s="18" customFormat="1" ht="12.75">
      <c r="A104" s="580"/>
      <c r="B104" s="1465"/>
      <c r="C104" s="33"/>
    </row>
    <row r="105" spans="1:3" s="18" customFormat="1" ht="12.75">
      <c r="A105" s="580"/>
      <c r="B105" s="1465"/>
      <c r="C105" s="33"/>
    </row>
    <row r="106" spans="1:3" s="18" customFormat="1" ht="12.75">
      <c r="A106" s="580"/>
      <c r="B106" s="1465"/>
      <c r="C106" s="33"/>
    </row>
    <row r="107" spans="1:3" s="18" customFormat="1" ht="12.75">
      <c r="A107" s="580"/>
      <c r="B107" s="1465"/>
      <c r="C107" s="33"/>
    </row>
    <row r="108" spans="1:3" s="18" customFormat="1" ht="12.75">
      <c r="A108" s="580"/>
      <c r="B108" s="1465"/>
      <c r="C108" s="33"/>
    </row>
    <row r="109" spans="1:3" s="18" customFormat="1" ht="12.75">
      <c r="A109" s="1567">
        <v>2</v>
      </c>
      <c r="B109" s="1545"/>
      <c r="C109" s="1545"/>
    </row>
    <row r="110" spans="1:3" s="18" customFormat="1" ht="12.75">
      <c r="A110" s="1482"/>
      <c r="B110" s="16"/>
      <c r="C110" s="16"/>
    </row>
    <row r="111" spans="1:3" s="18" customFormat="1" ht="12.75">
      <c r="A111" s="571" t="s">
        <v>1352</v>
      </c>
      <c r="B111" s="571"/>
      <c r="C111" s="571"/>
    </row>
    <row r="112" spans="1:3" s="18" customFormat="1" ht="12.75">
      <c r="A112"/>
      <c r="B112" s="1"/>
      <c r="C112" s="1"/>
    </row>
    <row r="113" spans="1:3" s="18" customFormat="1" ht="15.75">
      <c r="A113"/>
      <c r="B113" s="1577" t="s">
        <v>664</v>
      </c>
      <c r="C113" s="1577"/>
    </row>
    <row r="114" spans="1:3" s="18" customFormat="1" ht="15.75">
      <c r="A114"/>
      <c r="B114" s="45"/>
      <c r="C114" s="45"/>
    </row>
    <row r="115" spans="1:3" s="18" customFormat="1" ht="13.5" thickBot="1">
      <c r="A115"/>
      <c r="B115" s="168"/>
      <c r="C115" s="168" t="s">
        <v>675</v>
      </c>
    </row>
    <row r="116" spans="1:3" s="18" customFormat="1" ht="30.75" customHeight="1" thickBot="1">
      <c r="A116" s="644" t="s">
        <v>801</v>
      </c>
      <c r="B116" s="162" t="s">
        <v>98</v>
      </c>
      <c r="C116" s="216" t="s">
        <v>40</v>
      </c>
    </row>
    <row r="117" spans="1:3" s="18" customFormat="1" ht="13.5" thickBot="1">
      <c r="A117" s="1013" t="s">
        <v>802</v>
      </c>
      <c r="B117" s="696" t="s">
        <v>803</v>
      </c>
      <c r="C117" s="699" t="s">
        <v>804</v>
      </c>
    </row>
    <row r="118" spans="1:3" ht="13.5" thickBot="1">
      <c r="A118" s="615" t="s">
        <v>846</v>
      </c>
      <c r="B118" s="1466" t="s">
        <v>1046</v>
      </c>
      <c r="C118" s="510">
        <f>C119+C124+C127</f>
        <v>1838</v>
      </c>
    </row>
    <row r="119" spans="1:3" ht="13.5" thickBot="1">
      <c r="A119" s="615" t="s">
        <v>847</v>
      </c>
      <c r="B119" s="1048" t="s">
        <v>18</v>
      </c>
      <c r="C119" s="192">
        <f>SUM(C120:C123)</f>
        <v>463</v>
      </c>
    </row>
    <row r="120" spans="1:3" ht="12.75">
      <c r="A120" s="615" t="s">
        <v>848</v>
      </c>
      <c r="B120" s="765" t="s">
        <v>1184</v>
      </c>
      <c r="C120" s="193">
        <v>197</v>
      </c>
    </row>
    <row r="121" spans="1:3" ht="12.75">
      <c r="A121" s="615" t="s">
        <v>849</v>
      </c>
      <c r="B121" s="763" t="s">
        <v>1396</v>
      </c>
      <c r="C121" s="190">
        <v>100</v>
      </c>
    </row>
    <row r="122" spans="1:3" ht="12.75">
      <c r="A122" s="615" t="s">
        <v>869</v>
      </c>
      <c r="B122" s="1291" t="s">
        <v>1397</v>
      </c>
      <c r="C122" s="190">
        <v>76</v>
      </c>
    </row>
    <row r="123" spans="1:3" ht="13.5" thickBot="1">
      <c r="A123" s="615" t="s">
        <v>870</v>
      </c>
      <c r="B123" s="39" t="s">
        <v>1474</v>
      </c>
      <c r="C123" s="198">
        <v>90</v>
      </c>
    </row>
    <row r="124" spans="1:3" ht="13.5" thickBot="1">
      <c r="A124" s="615" t="s">
        <v>871</v>
      </c>
      <c r="B124" s="450" t="s">
        <v>674</v>
      </c>
      <c r="C124" s="192">
        <f>SUM(C125:C126)</f>
        <v>0</v>
      </c>
    </row>
    <row r="125" spans="1:3" ht="12.75">
      <c r="A125" s="615" t="s">
        <v>872</v>
      </c>
      <c r="B125" s="765"/>
      <c r="C125" s="193"/>
    </row>
    <row r="126" spans="1:3" ht="13.5" thickBot="1">
      <c r="A126" s="615" t="s">
        <v>873</v>
      </c>
      <c r="B126" s="763"/>
      <c r="C126" s="190"/>
    </row>
    <row r="127" spans="1:3" ht="13.5" thickBot="1">
      <c r="A127" s="615" t="s">
        <v>874</v>
      </c>
      <c r="B127" s="173" t="s">
        <v>124</v>
      </c>
      <c r="C127" s="192">
        <f>SUM(C128:C129)</f>
        <v>1375</v>
      </c>
    </row>
    <row r="128" spans="1:3" ht="12.75">
      <c r="A128" s="615" t="s">
        <v>875</v>
      </c>
      <c r="B128" s="765" t="s">
        <v>1073</v>
      </c>
      <c r="C128" s="1023">
        <v>1375</v>
      </c>
    </row>
    <row r="129" spans="1:3" ht="12.75">
      <c r="A129" s="615" t="s">
        <v>876</v>
      </c>
      <c r="B129" s="1468"/>
      <c r="C129" s="190"/>
    </row>
    <row r="130" spans="1:3" ht="12.75">
      <c r="A130" s="615" t="s">
        <v>877</v>
      </c>
      <c r="B130" s="1469" t="s">
        <v>1423</v>
      </c>
      <c r="C130" s="190"/>
    </row>
    <row r="131" spans="1:3" ht="13.5" thickBot="1">
      <c r="A131" s="615" t="s">
        <v>878</v>
      </c>
      <c r="B131" s="764" t="s">
        <v>1424</v>
      </c>
      <c r="C131" s="195"/>
    </row>
    <row r="132" spans="1:3" ht="13.5" thickBot="1">
      <c r="A132" s="615" t="s">
        <v>879</v>
      </c>
      <c r="B132" s="1500" t="s">
        <v>1425</v>
      </c>
      <c r="C132" s="192"/>
    </row>
    <row r="133" spans="1:3" ht="12.75">
      <c r="A133" s="615" t="s">
        <v>880</v>
      </c>
      <c r="B133" s="1468"/>
      <c r="C133" s="193"/>
    </row>
    <row r="134" spans="1:3" ht="12.75">
      <c r="A134" s="615" t="s">
        <v>881</v>
      </c>
      <c r="B134" s="763" t="s">
        <v>1426</v>
      </c>
      <c r="C134" s="190"/>
    </row>
    <row r="135" spans="1:3" ht="12.75">
      <c r="A135" s="615" t="s">
        <v>882</v>
      </c>
      <c r="B135" s="763" t="s">
        <v>1427</v>
      </c>
      <c r="C135" s="190">
        <f>C61+C119</f>
        <v>328991</v>
      </c>
    </row>
    <row r="136" spans="1:3" ht="12.75">
      <c r="A136" s="615" t="s">
        <v>883</v>
      </c>
      <c r="B136" s="763" t="s">
        <v>1428</v>
      </c>
      <c r="C136" s="190">
        <f>C79+C124</f>
        <v>1659</v>
      </c>
    </row>
    <row r="137" spans="1:3" ht="13.5" thickBot="1">
      <c r="A137" s="615" t="s">
        <v>884</v>
      </c>
      <c r="B137" s="764" t="s">
        <v>1429</v>
      </c>
      <c r="C137" s="195">
        <f>C84+C127+C132</f>
        <v>135681</v>
      </c>
    </row>
    <row r="138" spans="1:3" ht="13.5" thickBot="1">
      <c r="A138" s="615" t="s">
        <v>885</v>
      </c>
      <c r="B138" s="450" t="s">
        <v>1426</v>
      </c>
      <c r="C138" s="197">
        <f>SUM(C135:C137)</f>
        <v>466331</v>
      </c>
    </row>
    <row r="140" s="20" customFormat="1" ht="12.75">
      <c r="E140"/>
    </row>
    <row r="141" ht="12.75">
      <c r="H141" s="20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</sheetData>
  <sheetProtection/>
  <mergeCells count="9">
    <mergeCell ref="A3:C3"/>
    <mergeCell ref="A21:C21"/>
    <mergeCell ref="B55:C55"/>
    <mergeCell ref="B113:C113"/>
    <mergeCell ref="A109:C109"/>
    <mergeCell ref="B23:C23"/>
    <mergeCell ref="B5:C5"/>
    <mergeCell ref="A6:A7"/>
    <mergeCell ref="A24:A2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546" t="s">
        <v>1353</v>
      </c>
      <c r="B1" s="1546"/>
      <c r="C1" s="1546"/>
      <c r="D1" s="1546"/>
      <c r="E1" s="1546"/>
    </row>
    <row r="2" spans="2:6" ht="15.75">
      <c r="B2" s="1566" t="s">
        <v>567</v>
      </c>
      <c r="C2" s="1566"/>
      <c r="D2" s="1566"/>
      <c r="E2" s="1566"/>
      <c r="F2" s="24"/>
    </row>
    <row r="3" spans="2:5" ht="7.5" customHeight="1">
      <c r="B3" s="21"/>
      <c r="C3" s="21"/>
      <c r="D3" s="21"/>
      <c r="E3" s="21"/>
    </row>
    <row r="4" spans="2:6" ht="15.75" thickBot="1">
      <c r="B4" s="21"/>
      <c r="C4" s="21"/>
      <c r="D4" s="21"/>
      <c r="E4" s="40" t="s">
        <v>115</v>
      </c>
      <c r="F4" s="40"/>
    </row>
    <row r="5" spans="1:6" ht="13.5" thickBot="1">
      <c r="A5" s="1578" t="s">
        <v>801</v>
      </c>
      <c r="B5" s="1586" t="s">
        <v>102</v>
      </c>
      <c r="C5" s="1588" t="s">
        <v>103</v>
      </c>
      <c r="D5" s="1589"/>
      <c r="E5" s="1589"/>
      <c r="F5" s="1590"/>
    </row>
    <row r="6" spans="1:6" ht="13.5" thickBot="1">
      <c r="A6" s="1579"/>
      <c r="B6" s="1587"/>
      <c r="C6" s="1147" t="s">
        <v>104</v>
      </c>
      <c r="D6" s="1148" t="s">
        <v>105</v>
      </c>
      <c r="E6" s="1149" t="s">
        <v>55</v>
      </c>
      <c r="F6" s="1150" t="s">
        <v>249</v>
      </c>
    </row>
    <row r="7" spans="1:6" ht="13.5" thickBot="1">
      <c r="A7" s="647" t="s">
        <v>802</v>
      </c>
      <c r="B7" s="685" t="s">
        <v>803</v>
      </c>
      <c r="C7" s="686" t="s">
        <v>804</v>
      </c>
      <c r="D7" s="687" t="s">
        <v>805</v>
      </c>
      <c r="E7" s="1353" t="s">
        <v>825</v>
      </c>
      <c r="F7" s="216" t="s">
        <v>850</v>
      </c>
    </row>
    <row r="8" spans="1:6" ht="12.75">
      <c r="A8" s="615" t="s">
        <v>806</v>
      </c>
      <c r="B8" s="682"/>
      <c r="C8" s="683"/>
      <c r="D8" s="684"/>
      <c r="E8" s="1142"/>
      <c r="F8" s="956"/>
    </row>
    <row r="9" spans="1:6" ht="13.5" thickBot="1">
      <c r="A9" s="602" t="s">
        <v>807</v>
      </c>
      <c r="B9" s="435"/>
      <c r="C9" s="430"/>
      <c r="D9" s="431"/>
      <c r="E9" s="1143">
        <f>SUM(C9:D9)</f>
        <v>0</v>
      </c>
      <c r="F9" s="508"/>
    </row>
    <row r="10" spans="1:6" ht="13.5" thickBot="1">
      <c r="A10" s="582" t="s">
        <v>808</v>
      </c>
      <c r="B10" s="436" t="s">
        <v>107</v>
      </c>
      <c r="C10" s="315">
        <f>SUM(C8:C9)</f>
        <v>0</v>
      </c>
      <c r="D10" s="315">
        <f>SUM(D8:D9)</f>
        <v>0</v>
      </c>
      <c r="E10" s="1354">
        <f>SUM(E8:E9)</f>
        <v>0</v>
      </c>
      <c r="F10" s="1357">
        <f>SUM(F8:F9)</f>
        <v>0</v>
      </c>
    </row>
    <row r="11" spans="1:6" ht="12.75">
      <c r="A11" s="615" t="s">
        <v>809</v>
      </c>
      <c r="B11" s="435"/>
      <c r="C11" s="316"/>
      <c r="D11" s="317"/>
      <c r="E11" s="1144"/>
      <c r="F11" s="955"/>
    </row>
    <row r="12" spans="1:6" ht="16.5" thickBot="1">
      <c r="A12" s="602" t="s">
        <v>810</v>
      </c>
      <c r="B12" s="376"/>
      <c r="C12" s="318"/>
      <c r="D12" s="319"/>
      <c r="E12" s="1145"/>
      <c r="F12" s="508"/>
    </row>
    <row r="13" spans="1:6" ht="12.75" customHeight="1" thickBot="1">
      <c r="A13" s="726" t="s">
        <v>811</v>
      </c>
      <c r="B13" s="173" t="s">
        <v>108</v>
      </c>
      <c r="C13" s="1153">
        <f>SUM(C11:C12)</f>
        <v>0</v>
      </c>
      <c r="D13" s="1153">
        <f>SUM(D11:D12)</f>
        <v>0</v>
      </c>
      <c r="E13" s="1355">
        <f>SUM(E11:E12)</f>
        <v>0</v>
      </c>
      <c r="F13" s="429">
        <f>SUM(F11:F12)</f>
        <v>0</v>
      </c>
    </row>
    <row r="14" spans="1:6" ht="12.75" customHeight="1">
      <c r="A14" s="615" t="s">
        <v>812</v>
      </c>
      <c r="B14" s="376" t="s">
        <v>1256</v>
      </c>
      <c r="C14" s="1151"/>
      <c r="D14" s="1152"/>
      <c r="E14" s="1143">
        <v>2133</v>
      </c>
      <c r="F14" s="1023">
        <f>SUM(C14:E14)</f>
        <v>2133</v>
      </c>
    </row>
    <row r="15" spans="1:6" ht="16.5" thickBot="1">
      <c r="A15" s="602" t="s">
        <v>813</v>
      </c>
      <c r="B15" s="376" t="s">
        <v>1257</v>
      </c>
      <c r="C15" s="318"/>
      <c r="D15" s="319"/>
      <c r="E15" s="93">
        <v>551828</v>
      </c>
      <c r="F15" s="198">
        <f>SUM(C15:E15)</f>
        <v>551828</v>
      </c>
    </row>
    <row r="16" spans="1:6" ht="13.5" thickBot="1">
      <c r="A16" s="582" t="s">
        <v>814</v>
      </c>
      <c r="B16" s="175" t="s">
        <v>1048</v>
      </c>
      <c r="C16" s="309">
        <f>SUM(C14:C15)</f>
        <v>0</v>
      </c>
      <c r="D16" s="309">
        <f>SUM(D14:D15)</f>
        <v>0</v>
      </c>
      <c r="E16" s="309">
        <f>SUM(E14:E15)</f>
        <v>553961</v>
      </c>
      <c r="F16" s="354">
        <f>SUM(F14:F15)</f>
        <v>553961</v>
      </c>
    </row>
    <row r="17" spans="1:6" ht="13.5" thickBot="1">
      <c r="A17" s="656" t="s">
        <v>815</v>
      </c>
      <c r="B17" s="437" t="s">
        <v>568</v>
      </c>
      <c r="C17" s="438">
        <f>C10+C13+C16</f>
        <v>0</v>
      </c>
      <c r="D17" s="438">
        <f>D10+D13+D16</f>
        <v>0</v>
      </c>
      <c r="E17" s="1356">
        <f>E10+E13+E16</f>
        <v>553961</v>
      </c>
      <c r="F17" s="1358">
        <f>F10+F13+F16</f>
        <v>553961</v>
      </c>
    </row>
    <row r="18" spans="2:5" ht="15">
      <c r="B18" s="21"/>
      <c r="C18" s="21"/>
      <c r="D18" s="21"/>
      <c r="E18" s="21"/>
    </row>
    <row r="19" spans="2:5" ht="15">
      <c r="B19" s="21"/>
      <c r="C19" s="21"/>
      <c r="D19" s="21"/>
      <c r="E19" s="21"/>
    </row>
    <row r="20" spans="1:5" ht="12.75">
      <c r="A20" s="1546" t="s">
        <v>1354</v>
      </c>
      <c r="B20" s="1546"/>
      <c r="C20" s="1546"/>
      <c r="D20" s="1546"/>
      <c r="E20" s="1546"/>
    </row>
    <row r="21" spans="2:5" ht="15">
      <c r="B21" s="21"/>
      <c r="C21" s="21"/>
      <c r="D21" s="21"/>
      <c r="E21" s="21"/>
    </row>
    <row r="22" spans="2:5" ht="15.75">
      <c r="B22" s="1566" t="s">
        <v>569</v>
      </c>
      <c r="C22" s="1545"/>
      <c r="D22" s="1545"/>
      <c r="E22" s="1545"/>
    </row>
    <row r="23" spans="2:5" ht="14.25">
      <c r="B23" s="1580" t="s">
        <v>109</v>
      </c>
      <c r="C23" s="1580"/>
      <c r="D23" s="1580"/>
      <c r="E23" s="1580"/>
    </row>
    <row r="24" spans="2:5" ht="14.25">
      <c r="B24" s="432"/>
      <c r="C24" s="432"/>
      <c r="D24" s="432"/>
      <c r="E24" s="432"/>
    </row>
    <row r="25" spans="2:5" ht="15.75" thickBot="1">
      <c r="B25" s="21"/>
      <c r="C25" s="21"/>
      <c r="D25" s="21"/>
      <c r="E25" s="40" t="s">
        <v>115</v>
      </c>
    </row>
    <row r="26" spans="1:6" ht="13.5" thickBot="1">
      <c r="A26" s="1578" t="s">
        <v>801</v>
      </c>
      <c r="B26" s="1581" t="s">
        <v>91</v>
      </c>
      <c r="C26" s="1583" t="s">
        <v>103</v>
      </c>
      <c r="D26" s="1584"/>
      <c r="E26" s="1584"/>
      <c r="F26" s="1585"/>
    </row>
    <row r="27" spans="1:6" ht="13.5" thickBot="1">
      <c r="A27" s="1579"/>
      <c r="B27" s="1582"/>
      <c r="C27" s="1137" t="s">
        <v>104</v>
      </c>
      <c r="D27" s="433" t="s">
        <v>105</v>
      </c>
      <c r="E27" s="434" t="s">
        <v>55</v>
      </c>
      <c r="F27" s="1134" t="s">
        <v>249</v>
      </c>
    </row>
    <row r="28" spans="1:6" ht="13.5" thickBot="1">
      <c r="A28" s="647" t="s">
        <v>802</v>
      </c>
      <c r="B28" s="696" t="s">
        <v>803</v>
      </c>
      <c r="C28" s="685" t="s">
        <v>804</v>
      </c>
      <c r="D28" s="687" t="s">
        <v>805</v>
      </c>
      <c r="E28" s="695" t="s">
        <v>825</v>
      </c>
      <c r="F28" s="825" t="s">
        <v>850</v>
      </c>
    </row>
    <row r="29" spans="1:6" ht="26.25">
      <c r="A29" s="615" t="s">
        <v>806</v>
      </c>
      <c r="B29" s="1135" t="s">
        <v>110</v>
      </c>
      <c r="C29" s="1138">
        <v>0</v>
      </c>
      <c r="D29" s="688">
        <v>0</v>
      </c>
      <c r="E29" s="1360">
        <v>226310</v>
      </c>
      <c r="F29" s="1221">
        <f>SUM(C29:E29)</f>
        <v>226310</v>
      </c>
    </row>
    <row r="30" spans="1:6" ht="15">
      <c r="A30" s="599" t="s">
        <v>807</v>
      </c>
      <c r="B30" s="200" t="s">
        <v>111</v>
      </c>
      <c r="C30" s="1139">
        <v>0</v>
      </c>
      <c r="D30" s="583">
        <v>0</v>
      </c>
      <c r="E30" s="1361">
        <v>4658</v>
      </c>
      <c r="F30" s="1221">
        <f>SUM(C30:E30)</f>
        <v>4658</v>
      </c>
    </row>
    <row r="31" spans="1:6" ht="15.75" thickBot="1">
      <c r="A31" s="602" t="s">
        <v>808</v>
      </c>
      <c r="B31" s="452" t="s">
        <v>112</v>
      </c>
      <c r="C31" s="1140">
        <v>0</v>
      </c>
      <c r="D31" s="584">
        <v>0</v>
      </c>
      <c r="E31" s="1362">
        <v>0</v>
      </c>
      <c r="F31" s="1359">
        <f>SUM(C31:E31)</f>
        <v>0</v>
      </c>
    </row>
    <row r="32" spans="1:6" ht="24.75" thickBot="1">
      <c r="A32" s="582" t="s">
        <v>809</v>
      </c>
      <c r="B32" s="1136" t="s">
        <v>570</v>
      </c>
      <c r="C32" s="1141">
        <f>SUM(C29:C31)</f>
        <v>0</v>
      </c>
      <c r="D32" s="585">
        <f>SUM(D29:D31)</f>
        <v>0</v>
      </c>
      <c r="E32" s="1363">
        <f>SUM(E29:E31)</f>
        <v>230968</v>
      </c>
      <c r="F32" s="197">
        <f>SUM(C32:E32)</f>
        <v>230968</v>
      </c>
    </row>
    <row r="33" spans="2:5" ht="15">
      <c r="B33" s="21"/>
      <c r="C33" s="21"/>
      <c r="D33" s="21"/>
      <c r="E33" s="21"/>
    </row>
    <row r="34" spans="2:5" ht="15">
      <c r="B34" s="21"/>
      <c r="C34" s="21"/>
      <c r="D34" s="21"/>
      <c r="E34" s="21"/>
    </row>
    <row r="35" spans="1:5" ht="12.75">
      <c r="A35" s="1546" t="s">
        <v>1355</v>
      </c>
      <c r="B35" s="1546"/>
      <c r="C35" s="1546"/>
      <c r="D35" s="1546"/>
      <c r="E35" s="1546"/>
    </row>
    <row r="36" spans="2:5" ht="15">
      <c r="B36" s="21"/>
      <c r="C36" s="21"/>
      <c r="D36" s="21"/>
      <c r="E36" s="21"/>
    </row>
    <row r="37" spans="2:6" ht="15.75">
      <c r="B37" s="1577" t="s">
        <v>571</v>
      </c>
      <c r="C37" s="1577"/>
      <c r="D37" s="1577"/>
      <c r="E37" s="1577"/>
      <c r="F37" s="1545"/>
    </row>
    <row r="38" spans="2:5" ht="15">
      <c r="B38" s="21"/>
      <c r="C38" s="21"/>
      <c r="D38" s="21"/>
      <c r="E38" s="21"/>
    </row>
    <row r="39" spans="2:5" ht="15.75" thickBot="1">
      <c r="B39" s="21"/>
      <c r="C39" s="21"/>
      <c r="D39" s="21"/>
      <c r="E39" s="40" t="s">
        <v>115</v>
      </c>
    </row>
    <row r="40" spans="1:6" ht="13.5" thickBot="1">
      <c r="A40" s="1578" t="s">
        <v>801</v>
      </c>
      <c r="B40" s="1581" t="s">
        <v>91</v>
      </c>
      <c r="C40" s="1583" t="s">
        <v>103</v>
      </c>
      <c r="D40" s="1584"/>
      <c r="E40" s="1584"/>
      <c r="F40" s="1585"/>
    </row>
    <row r="41" spans="1:6" ht="13.5" thickBot="1">
      <c r="A41" s="1579"/>
      <c r="B41" s="1591"/>
      <c r="C41" s="1133" t="s">
        <v>104</v>
      </c>
      <c r="D41" s="690" t="s">
        <v>105</v>
      </c>
      <c r="E41" s="691" t="s">
        <v>106</v>
      </c>
      <c r="F41" s="1134" t="s">
        <v>249</v>
      </c>
    </row>
    <row r="42" spans="1:6" ht="13.5" thickBot="1">
      <c r="A42" s="647" t="s">
        <v>802</v>
      </c>
      <c r="B42" s="696" t="s">
        <v>803</v>
      </c>
      <c r="C42" s="685" t="s">
        <v>804</v>
      </c>
      <c r="D42" s="687" t="s">
        <v>805</v>
      </c>
      <c r="E42" s="695" t="s">
        <v>825</v>
      </c>
      <c r="F42" s="939" t="s">
        <v>850</v>
      </c>
    </row>
    <row r="43" spans="1:6" ht="12.75">
      <c r="A43" s="615" t="s">
        <v>806</v>
      </c>
      <c r="B43" s="544" t="s">
        <v>113</v>
      </c>
      <c r="C43" s="1471">
        <v>0</v>
      </c>
      <c r="D43" s="1472">
        <v>0</v>
      </c>
      <c r="E43" s="1473">
        <v>0</v>
      </c>
      <c r="F43" s="1474">
        <f>SUM(C43:E43)</f>
        <v>0</v>
      </c>
    </row>
    <row r="44" spans="1:6" ht="13.5" thickBot="1">
      <c r="A44" s="602" t="s">
        <v>807</v>
      </c>
      <c r="B44" s="1132" t="s">
        <v>114</v>
      </c>
      <c r="C44" s="1475">
        <v>0</v>
      </c>
      <c r="D44" s="1476">
        <v>0</v>
      </c>
      <c r="E44" s="1477">
        <v>130000</v>
      </c>
      <c r="F44" s="1477">
        <v>130000</v>
      </c>
    </row>
    <row r="45" spans="1:6" ht="18.75" customHeight="1" thickBot="1">
      <c r="A45" s="582" t="s">
        <v>808</v>
      </c>
      <c r="B45" s="1479" t="s">
        <v>572</v>
      </c>
      <c r="C45" s="1478">
        <f>SUM(C43:C44)</f>
        <v>0</v>
      </c>
      <c r="D45" s="1478">
        <f>SUM(D43:D44)</f>
        <v>0</v>
      </c>
      <c r="E45" s="1478">
        <f>SUM(E43:E44)</f>
        <v>130000</v>
      </c>
      <c r="F45" s="1478">
        <f>SUM(F43:F44)</f>
        <v>130000</v>
      </c>
    </row>
    <row r="46" spans="2:5" ht="15">
      <c r="B46" s="21"/>
      <c r="C46" s="21"/>
      <c r="D46" s="21"/>
      <c r="E46" s="21"/>
    </row>
    <row r="47" spans="2:5" ht="15">
      <c r="B47" s="21"/>
      <c r="C47" s="21"/>
      <c r="D47" s="21"/>
      <c r="E47" s="21"/>
    </row>
    <row r="48" spans="2:5" ht="15">
      <c r="B48" s="21"/>
      <c r="C48" s="21"/>
      <c r="D48" s="21"/>
      <c r="E48" s="21"/>
    </row>
    <row r="49" spans="2:5" ht="15">
      <c r="B49" s="21"/>
      <c r="C49" s="21"/>
      <c r="D49" s="21"/>
      <c r="E49" s="21"/>
    </row>
    <row r="50" spans="2:5" ht="15">
      <c r="B50" s="21"/>
      <c r="C50" s="21"/>
      <c r="D50" s="21"/>
      <c r="E50" s="21"/>
    </row>
    <row r="51" spans="2:5" ht="15">
      <c r="B51" s="21"/>
      <c r="C51" s="21"/>
      <c r="D51" s="21"/>
      <c r="E51" s="21"/>
    </row>
    <row r="52" spans="2:5" ht="12.75">
      <c r="B52" s="1"/>
      <c r="C52" s="1"/>
      <c r="D52" s="1"/>
      <c r="E52" s="1"/>
    </row>
    <row r="60" ht="16.5" customHeight="1"/>
    <row r="61" ht="16.5" customHeight="1"/>
    <row r="62" ht="16.5" customHeight="1"/>
  </sheetData>
  <sheetProtection/>
  <mergeCells count="16">
    <mergeCell ref="A40:A41"/>
    <mergeCell ref="A26:A27"/>
    <mergeCell ref="A5:A6"/>
    <mergeCell ref="A1:E1"/>
    <mergeCell ref="A20:E20"/>
    <mergeCell ref="A35:E35"/>
    <mergeCell ref="B5:B6"/>
    <mergeCell ref="B2:E2"/>
    <mergeCell ref="C5:F5"/>
    <mergeCell ref="B40:B41"/>
    <mergeCell ref="B22:E22"/>
    <mergeCell ref="B23:E23"/>
    <mergeCell ref="B26:B27"/>
    <mergeCell ref="C40:F40"/>
    <mergeCell ref="B37:F37"/>
    <mergeCell ref="C26:F26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9.421875" style="0" customWidth="1"/>
  </cols>
  <sheetData>
    <row r="2" spans="1:5" ht="12.75">
      <c r="A2" s="571" t="s">
        <v>1356</v>
      </c>
      <c r="B2" s="571"/>
      <c r="C2" s="571"/>
      <c r="D2" s="571"/>
      <c r="E2" s="571"/>
    </row>
    <row r="3" spans="2:3" ht="15.75">
      <c r="B3" s="140"/>
      <c r="C3" s="1"/>
    </row>
    <row r="4" spans="2:3" ht="15.75">
      <c r="B4" s="1566" t="s">
        <v>573</v>
      </c>
      <c r="C4" s="1566"/>
    </row>
    <row r="5" spans="2:3" ht="15.75">
      <c r="B5" s="45"/>
      <c r="C5" s="139"/>
    </row>
    <row r="6" spans="2:3" ht="13.5" thickBot="1">
      <c r="B6" s="1571" t="s">
        <v>53</v>
      </c>
      <c r="C6" s="1571"/>
    </row>
    <row r="7" spans="1:3" ht="15.75">
      <c r="A7" s="1578" t="s">
        <v>801</v>
      </c>
      <c r="B7" s="162" t="s">
        <v>98</v>
      </c>
      <c r="C7" s="422" t="s">
        <v>55</v>
      </c>
    </row>
    <row r="8" spans="1:3" ht="13.5" thickBot="1">
      <c r="A8" s="1579"/>
      <c r="B8" s="227"/>
      <c r="C8" s="423" t="s">
        <v>10</v>
      </c>
    </row>
    <row r="9" spans="1:3" ht="13.5" thickBot="1">
      <c r="A9" s="647" t="s">
        <v>802</v>
      </c>
      <c r="B9" s="685" t="s">
        <v>803</v>
      </c>
      <c r="C9" s="692" t="s">
        <v>804</v>
      </c>
    </row>
    <row r="10" spans="1:3" ht="12.75">
      <c r="A10" s="615" t="s">
        <v>806</v>
      </c>
      <c r="B10" s="171" t="s">
        <v>574</v>
      </c>
      <c r="C10" s="424"/>
    </row>
    <row r="11" spans="1:3" ht="12.75">
      <c r="A11" s="599" t="s">
        <v>807</v>
      </c>
      <c r="B11" s="171" t="s">
        <v>1390</v>
      </c>
      <c r="C11" s="425">
        <v>6176</v>
      </c>
    </row>
    <row r="12" spans="1:3" ht="12.75">
      <c r="A12" s="602" t="s">
        <v>808</v>
      </c>
      <c r="B12" s="171"/>
      <c r="C12" s="425"/>
    </row>
    <row r="13" spans="1:3" ht="12.75">
      <c r="A13" s="602" t="s">
        <v>809</v>
      </c>
      <c r="B13" s="172"/>
      <c r="C13" s="425"/>
    </row>
    <row r="14" spans="1:3" ht="12.75">
      <c r="A14" s="602" t="s">
        <v>810</v>
      </c>
      <c r="B14" s="171"/>
      <c r="C14" s="425"/>
    </row>
    <row r="15" spans="1:3" ht="12.75">
      <c r="A15" s="602" t="s">
        <v>811</v>
      </c>
      <c r="B15" s="155"/>
      <c r="C15" s="425"/>
    </row>
    <row r="16" spans="1:3" ht="13.5" thickBot="1">
      <c r="A16" s="602" t="s">
        <v>812</v>
      </c>
      <c r="B16" s="172"/>
      <c r="C16" s="426"/>
    </row>
    <row r="17" spans="1:3" ht="13.5" thickBot="1">
      <c r="A17" s="582" t="s">
        <v>813</v>
      </c>
      <c r="B17" s="228" t="s">
        <v>575</v>
      </c>
      <c r="C17" s="1381">
        <f>SUM(C11:C16)</f>
        <v>6176</v>
      </c>
    </row>
    <row r="21" spans="1:5" ht="12.75">
      <c r="A21" s="571" t="s">
        <v>1357</v>
      </c>
      <c r="B21" s="571"/>
      <c r="C21" s="571"/>
      <c r="D21" s="571"/>
      <c r="E21" s="571"/>
    </row>
    <row r="22" spans="2:3" ht="15.75">
      <c r="B22" s="140"/>
      <c r="C22" s="1"/>
    </row>
    <row r="23" spans="2:3" ht="15.75">
      <c r="B23" s="1566" t="s">
        <v>576</v>
      </c>
      <c r="C23" s="1566"/>
    </row>
    <row r="24" spans="2:3" ht="15.75">
      <c r="B24" s="45"/>
      <c r="C24" s="139"/>
    </row>
    <row r="25" spans="2:3" ht="13.5" thickBot="1">
      <c r="B25" s="1571" t="s">
        <v>53</v>
      </c>
      <c r="C25" s="1571"/>
    </row>
    <row r="26" spans="1:3" ht="15.75">
      <c r="A26" s="1578" t="s">
        <v>801</v>
      </c>
      <c r="B26" s="162" t="s">
        <v>98</v>
      </c>
      <c r="C26" s="422" t="s">
        <v>55</v>
      </c>
    </row>
    <row r="27" spans="1:3" ht="13.5" thickBot="1">
      <c r="A27" s="1579"/>
      <c r="B27" s="227"/>
      <c r="C27" s="423" t="s">
        <v>10</v>
      </c>
    </row>
    <row r="28" spans="1:3" ht="13.5" thickBot="1">
      <c r="A28" s="647" t="s">
        <v>802</v>
      </c>
      <c r="B28" s="685" t="s">
        <v>803</v>
      </c>
      <c r="C28" s="692" t="s">
        <v>804</v>
      </c>
    </row>
    <row r="29" spans="1:3" ht="12.75">
      <c r="A29" s="615" t="s">
        <v>806</v>
      </c>
      <c r="B29" s="171" t="s">
        <v>578</v>
      </c>
      <c r="C29" s="424"/>
    </row>
    <row r="30" spans="1:3" ht="12.75">
      <c r="A30" s="599" t="s">
        <v>807</v>
      </c>
      <c r="B30" s="200" t="s">
        <v>582</v>
      </c>
      <c r="C30" s="425"/>
    </row>
    <row r="31" spans="1:3" ht="12.75">
      <c r="A31" s="602" t="s">
        <v>808</v>
      </c>
      <c r="B31" s="440" t="s">
        <v>579</v>
      </c>
      <c r="C31" s="425"/>
    </row>
    <row r="32" spans="1:3" ht="12.75">
      <c r="A32" s="602" t="s">
        <v>809</v>
      </c>
      <c r="B32" s="440" t="s">
        <v>580</v>
      </c>
      <c r="C32" s="425"/>
    </row>
    <row r="33" spans="1:3" ht="12.75">
      <c r="A33" s="602" t="s">
        <v>810</v>
      </c>
      <c r="B33" s="441" t="s">
        <v>581</v>
      </c>
      <c r="C33" s="425"/>
    </row>
    <row r="34" spans="1:3" ht="13.5" thickBot="1">
      <c r="A34" s="602" t="s">
        <v>811</v>
      </c>
      <c r="B34" s="172"/>
      <c r="C34" s="426"/>
    </row>
    <row r="35" spans="1:3" ht="13.5" thickBot="1">
      <c r="A35" s="582" t="s">
        <v>812</v>
      </c>
      <c r="B35" s="228" t="s">
        <v>577</v>
      </c>
      <c r="C35" s="680"/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546" t="s">
        <v>1358</v>
      </c>
      <c r="B1" s="1546"/>
      <c r="C1" s="1546"/>
      <c r="D1" s="1546"/>
      <c r="E1" s="1546"/>
      <c r="F1" s="40"/>
    </row>
    <row r="2" spans="2:6" ht="15.75">
      <c r="B2" s="1566" t="s">
        <v>583</v>
      </c>
      <c r="C2" s="1566"/>
      <c r="D2" s="1566"/>
      <c r="E2" s="1566"/>
      <c r="F2" s="1"/>
    </row>
    <row r="3" spans="2:6" ht="11.25" customHeight="1">
      <c r="B3" s="45"/>
      <c r="C3" s="45"/>
      <c r="D3" s="45"/>
      <c r="E3" s="45"/>
      <c r="F3" s="1"/>
    </row>
    <row r="4" spans="2:6" ht="13.5" thickBot="1">
      <c r="B4" s="168"/>
      <c r="C4" s="168"/>
      <c r="D4" s="168"/>
      <c r="E4" s="168" t="s">
        <v>99</v>
      </c>
      <c r="F4" s="1"/>
    </row>
    <row r="5" spans="1:6" ht="15.75">
      <c r="A5" s="1578" t="s">
        <v>801</v>
      </c>
      <c r="B5" s="693" t="s">
        <v>98</v>
      </c>
      <c r="C5" s="385" t="s">
        <v>100</v>
      </c>
      <c r="D5" s="694" t="s">
        <v>101</v>
      </c>
      <c r="E5" s="1155" t="s">
        <v>55</v>
      </c>
      <c r="F5" s="1592" t="s">
        <v>971</v>
      </c>
    </row>
    <row r="6" spans="1:6" ht="13.5" thickBot="1">
      <c r="A6" s="1579"/>
      <c r="B6" s="160"/>
      <c r="C6" s="421" t="s">
        <v>10</v>
      </c>
      <c r="D6" s="48" t="s">
        <v>10</v>
      </c>
      <c r="E6" s="1156" t="s">
        <v>10</v>
      </c>
      <c r="F6" s="1593"/>
    </row>
    <row r="7" spans="1:6" ht="13.5" thickBot="1">
      <c r="A7" s="647" t="s">
        <v>802</v>
      </c>
      <c r="B7" s="685" t="s">
        <v>803</v>
      </c>
      <c r="C7" s="1428" t="s">
        <v>804</v>
      </c>
      <c r="D7" s="699" t="s">
        <v>805</v>
      </c>
      <c r="E7" s="1409" t="s">
        <v>825</v>
      </c>
      <c r="F7" s="695" t="s">
        <v>850</v>
      </c>
    </row>
    <row r="8" spans="1:6" ht="26.25" customHeight="1">
      <c r="A8" s="615" t="s">
        <v>806</v>
      </c>
      <c r="B8" s="377" t="s">
        <v>662</v>
      </c>
      <c r="C8" s="1429">
        <v>0</v>
      </c>
      <c r="D8" s="1433"/>
      <c r="E8" s="1431"/>
      <c r="F8" s="1424">
        <f>SUM(C8:E8)</f>
        <v>0</v>
      </c>
    </row>
    <row r="9" spans="1:6" ht="24" customHeight="1">
      <c r="A9" s="602" t="s">
        <v>807</v>
      </c>
      <c r="B9" s="1420" t="s">
        <v>663</v>
      </c>
      <c r="C9" s="503">
        <v>8299</v>
      </c>
      <c r="D9" s="191"/>
      <c r="E9" s="184"/>
      <c r="F9" s="185">
        <f>SUM(C9:E9)</f>
        <v>8299</v>
      </c>
    </row>
    <row r="10" spans="1:6" ht="12.75">
      <c r="A10" s="602" t="s">
        <v>808</v>
      </c>
      <c r="B10" s="1421"/>
      <c r="C10" s="339"/>
      <c r="D10" s="194"/>
      <c r="E10" s="186"/>
      <c r="F10" s="185">
        <f>SUM(C10:E10)</f>
        <v>0</v>
      </c>
    </row>
    <row r="11" spans="1:6" ht="13.5" thickBot="1">
      <c r="A11" s="602" t="s">
        <v>809</v>
      </c>
      <c r="B11" s="1422"/>
      <c r="C11" s="1002"/>
      <c r="D11" s="510"/>
      <c r="E11" s="382"/>
      <c r="F11" s="189">
        <f>SUM(C11:E11)</f>
        <v>0</v>
      </c>
    </row>
    <row r="12" spans="1:6" ht="13.5" thickBot="1">
      <c r="A12" s="582" t="s">
        <v>810</v>
      </c>
      <c r="B12" s="1422" t="s">
        <v>18</v>
      </c>
      <c r="C12" s="351">
        <f>SUM(C8:C11)</f>
        <v>8299</v>
      </c>
      <c r="D12" s="197">
        <f>SUM(D8:D11)</f>
        <v>0</v>
      </c>
      <c r="E12" s="352">
        <f>SUM(E8:E11)</f>
        <v>0</v>
      </c>
      <c r="F12" s="328">
        <f>SUM(C12:E12)</f>
        <v>8299</v>
      </c>
    </row>
    <row r="13" spans="1:6" ht="12.75">
      <c r="A13" s="648" t="s">
        <v>811</v>
      </c>
      <c r="B13" s="377"/>
      <c r="C13" s="1430"/>
      <c r="D13" s="1081"/>
      <c r="E13" s="1082"/>
      <c r="F13" s="185">
        <f>C13+D13+E13</f>
        <v>0</v>
      </c>
    </row>
    <row r="14" spans="1:6" ht="12.75">
      <c r="A14" s="602" t="s">
        <v>812</v>
      </c>
      <c r="B14" s="949"/>
      <c r="C14" s="340"/>
      <c r="D14" s="355"/>
      <c r="E14" s="333"/>
      <c r="F14" s="185">
        <f>C14+D14+E14</f>
        <v>0</v>
      </c>
    </row>
    <row r="15" spans="1:6" ht="12.75">
      <c r="A15" s="602" t="s">
        <v>813</v>
      </c>
      <c r="B15" s="949"/>
      <c r="C15" s="340"/>
      <c r="D15" s="355"/>
      <c r="E15" s="333"/>
      <c r="F15" s="185">
        <f>C15+D15+E15</f>
        <v>0</v>
      </c>
    </row>
    <row r="16" spans="1:6" ht="13.5" thickBot="1">
      <c r="A16" s="602" t="s">
        <v>814</v>
      </c>
      <c r="B16" s="1420"/>
      <c r="C16" s="336"/>
      <c r="D16" s="198"/>
      <c r="E16" s="189"/>
      <c r="F16" s="185">
        <f>C16+D16+E16</f>
        <v>0</v>
      </c>
    </row>
    <row r="17" spans="1:6" ht="13.5" thickBot="1">
      <c r="A17" s="1330" t="s">
        <v>815</v>
      </c>
      <c r="B17" s="1154" t="s">
        <v>116</v>
      </c>
      <c r="C17" s="348">
        <f>SUM(C13:C16)</f>
        <v>0</v>
      </c>
      <c r="D17" s="192">
        <f>SUM(D13:D16)</f>
        <v>0</v>
      </c>
      <c r="E17" s="362">
        <f>SUM(E13:E16)</f>
        <v>0</v>
      </c>
      <c r="F17" s="328">
        <f>SUM(C17:E17)</f>
        <v>0</v>
      </c>
    </row>
    <row r="18" spans="1:6" ht="12.75">
      <c r="A18" s="723" t="s">
        <v>816</v>
      </c>
      <c r="B18" s="1327" t="s">
        <v>860</v>
      </c>
      <c r="C18" s="340"/>
      <c r="D18" s="355"/>
      <c r="E18" s="333"/>
      <c r="F18" s="1424"/>
    </row>
    <row r="19" spans="1:6" ht="12.75">
      <c r="A19" s="552" t="s">
        <v>817</v>
      </c>
      <c r="B19" s="1328" t="s">
        <v>1249</v>
      </c>
      <c r="C19" s="334"/>
      <c r="D19" s="219"/>
      <c r="E19" s="335">
        <v>71671</v>
      </c>
      <c r="F19" s="183">
        <f>SUM(C19:E19)</f>
        <v>71671</v>
      </c>
    </row>
    <row r="20" spans="1:6" ht="12.75">
      <c r="A20" s="552" t="s">
        <v>818</v>
      </c>
      <c r="B20" s="1328" t="s">
        <v>1255</v>
      </c>
      <c r="C20" s="346"/>
      <c r="D20" s="357"/>
      <c r="E20" s="347">
        <v>1019</v>
      </c>
      <c r="F20" s="183">
        <f aca="true" t="shared" si="0" ref="F20:F31">SUM(C20:E20)</f>
        <v>1019</v>
      </c>
    </row>
    <row r="21" spans="1:6" ht="25.5">
      <c r="A21" s="552" t="s">
        <v>819</v>
      </c>
      <c r="B21" s="1328" t="s">
        <v>861</v>
      </c>
      <c r="C21" s="376"/>
      <c r="D21" s="1434"/>
      <c r="E21" s="347">
        <v>1685204</v>
      </c>
      <c r="F21" s="183">
        <f t="shared" si="0"/>
        <v>1685204</v>
      </c>
    </row>
    <row r="22" spans="1:6" ht="12.75">
      <c r="A22" s="552" t="s">
        <v>820</v>
      </c>
      <c r="B22" s="1329" t="s">
        <v>862</v>
      </c>
      <c r="C22" s="376"/>
      <c r="D22" s="1434"/>
      <c r="E22" s="347">
        <f>76955+16806</f>
        <v>93761</v>
      </c>
      <c r="F22" s="183">
        <f t="shared" si="0"/>
        <v>93761</v>
      </c>
    </row>
    <row r="23" spans="1:6" ht="12.75">
      <c r="A23" s="552" t="s">
        <v>821</v>
      </c>
      <c r="B23" s="1329" t="s">
        <v>1253</v>
      </c>
      <c r="C23" s="376"/>
      <c r="D23" s="1434"/>
      <c r="E23" s="347">
        <v>106622</v>
      </c>
      <c r="F23" s="183">
        <f t="shared" si="0"/>
        <v>106622</v>
      </c>
    </row>
    <row r="24" spans="1:6" ht="12.75">
      <c r="A24" s="552" t="s">
        <v>822</v>
      </c>
      <c r="B24" s="1329" t="s">
        <v>1254</v>
      </c>
      <c r="C24" s="376"/>
      <c r="D24" s="1434"/>
      <c r="E24" s="347">
        <v>32169</v>
      </c>
      <c r="F24" s="183">
        <f t="shared" si="0"/>
        <v>32169</v>
      </c>
    </row>
    <row r="25" spans="1:6" ht="12.75">
      <c r="A25" s="552" t="s">
        <v>823</v>
      </c>
      <c r="B25" s="1329" t="s">
        <v>863</v>
      </c>
      <c r="C25" s="376"/>
      <c r="D25" s="1434"/>
      <c r="E25" s="347">
        <v>84217</v>
      </c>
      <c r="F25" s="183">
        <f t="shared" si="0"/>
        <v>84217</v>
      </c>
    </row>
    <row r="26" spans="1:6" ht="12.75">
      <c r="A26" s="552" t="s">
        <v>824</v>
      </c>
      <c r="B26" s="1329" t="s">
        <v>864</v>
      </c>
      <c r="C26" s="376"/>
      <c r="D26" s="1434"/>
      <c r="E26" s="347">
        <v>45900</v>
      </c>
      <c r="F26" s="183">
        <f t="shared" si="0"/>
        <v>45900</v>
      </c>
    </row>
    <row r="27" spans="1:6" ht="15.75" customHeight="1">
      <c r="A27" s="552" t="s">
        <v>826</v>
      </c>
      <c r="B27" s="1329" t="s">
        <v>1248</v>
      </c>
      <c r="C27" s="376"/>
      <c r="D27" s="1434"/>
      <c r="E27" s="347">
        <v>10726</v>
      </c>
      <c r="F27" s="183">
        <f t="shared" si="0"/>
        <v>10726</v>
      </c>
    </row>
    <row r="28" spans="1:6" ht="12.75">
      <c r="A28" s="552" t="s">
        <v>827</v>
      </c>
      <c r="B28" s="1329" t="s">
        <v>1250</v>
      </c>
      <c r="C28" s="376"/>
      <c r="D28" s="1434"/>
      <c r="E28" s="347">
        <v>91346</v>
      </c>
      <c r="F28" s="183">
        <f t="shared" si="0"/>
        <v>91346</v>
      </c>
    </row>
    <row r="29" spans="1:6" ht="12.75">
      <c r="A29" s="552" t="s">
        <v>828</v>
      </c>
      <c r="B29" s="1329" t="s">
        <v>1251</v>
      </c>
      <c r="C29" s="376"/>
      <c r="D29" s="1434"/>
      <c r="E29" s="347">
        <v>40248</v>
      </c>
      <c r="F29" s="183">
        <f t="shared" si="0"/>
        <v>40248</v>
      </c>
    </row>
    <row r="30" spans="1:6" ht="12.75">
      <c r="A30" s="617" t="s">
        <v>829</v>
      </c>
      <c r="B30" s="1329" t="s">
        <v>1252</v>
      </c>
      <c r="C30" s="376"/>
      <c r="D30" s="1434"/>
      <c r="E30" s="347">
        <v>187827</v>
      </c>
      <c r="F30" s="187">
        <f t="shared" si="0"/>
        <v>187827</v>
      </c>
    </row>
    <row r="31" spans="1:6" ht="25.5">
      <c r="A31" s="617" t="s">
        <v>830</v>
      </c>
      <c r="B31" s="1423" t="s">
        <v>1403</v>
      </c>
      <c r="C31" s="200"/>
      <c r="D31" s="1435"/>
      <c r="E31" s="183">
        <v>150</v>
      </c>
      <c r="F31" s="1425">
        <f t="shared" si="0"/>
        <v>150</v>
      </c>
    </row>
    <row r="32" spans="1:6" ht="13.5" thickBot="1">
      <c r="A32" s="617" t="s">
        <v>831</v>
      </c>
      <c r="B32" s="1404" t="s">
        <v>1049</v>
      </c>
      <c r="C32" s="1427">
        <f>SUM(C19:C30)</f>
        <v>0</v>
      </c>
      <c r="D32" s="1436">
        <f>SUM(D19:D30)</f>
        <v>0</v>
      </c>
      <c r="E32" s="1432">
        <f>SUM(E19:E31)</f>
        <v>2450860</v>
      </c>
      <c r="F32" s="1426">
        <f>SUM(C32:E32)</f>
        <v>2450860</v>
      </c>
    </row>
    <row r="33" spans="1:6" ht="26.25" thickBot="1">
      <c r="A33" s="582" t="s">
        <v>832</v>
      </c>
      <c r="B33" s="954" t="s">
        <v>1050</v>
      </c>
      <c r="C33" s="344">
        <f>C12+C17+C32</f>
        <v>8299</v>
      </c>
      <c r="D33" s="197">
        <f>D12+D17+D32</f>
        <v>0</v>
      </c>
      <c r="E33" s="328">
        <f>E12+E17+E32</f>
        <v>2450860</v>
      </c>
      <c r="F33" s="328">
        <f>SUM(C33:E33)</f>
        <v>2459159</v>
      </c>
    </row>
    <row r="34" spans="2:6" ht="12.75">
      <c r="B34" s="1"/>
      <c r="C34" s="1"/>
      <c r="D34" s="1"/>
      <c r="E34" s="1"/>
      <c r="F34" s="1"/>
    </row>
    <row r="35" spans="1:6" ht="12.75">
      <c r="A35" s="1546" t="s">
        <v>1359</v>
      </c>
      <c r="B35" s="1546"/>
      <c r="C35" s="1546"/>
      <c r="D35" s="1546"/>
      <c r="E35" s="1546"/>
      <c r="F35" s="1"/>
    </row>
    <row r="36" spans="2:6" ht="12.75">
      <c r="B36" s="1"/>
      <c r="C36" s="1"/>
      <c r="D36" s="1"/>
      <c r="E36" s="1"/>
      <c r="F36" s="1"/>
    </row>
    <row r="37" spans="2:6" ht="15.75">
      <c r="B37" s="1566" t="s">
        <v>584</v>
      </c>
      <c r="C37" s="1566"/>
      <c r="D37" s="1566"/>
      <c r="E37" s="1566"/>
      <c r="F37" s="1"/>
    </row>
    <row r="38" spans="2:6" ht="12.75">
      <c r="B38" s="1"/>
      <c r="C38" s="1"/>
      <c r="D38" s="1"/>
      <c r="E38" s="1"/>
      <c r="F38" s="1"/>
    </row>
    <row r="39" spans="2:6" ht="13.5" thickBot="1">
      <c r="B39" s="168"/>
      <c r="C39" s="168"/>
      <c r="D39" s="168"/>
      <c r="E39" s="168" t="s">
        <v>99</v>
      </c>
      <c r="F39" s="1"/>
    </row>
    <row r="40" spans="1:6" ht="15.75">
      <c r="A40" s="1578" t="s">
        <v>801</v>
      </c>
      <c r="B40" s="693" t="s">
        <v>98</v>
      </c>
      <c r="C40" s="697" t="s">
        <v>100</v>
      </c>
      <c r="D40" s="697" t="s">
        <v>101</v>
      </c>
      <c r="E40" s="386" t="s">
        <v>55</v>
      </c>
      <c r="F40" s="1592" t="s">
        <v>971</v>
      </c>
    </row>
    <row r="41" spans="1:6" ht="13.5" thickBot="1">
      <c r="A41" s="1579"/>
      <c r="B41" s="287"/>
      <c r="C41" s="698" t="s">
        <v>10</v>
      </c>
      <c r="D41" s="698" t="s">
        <v>10</v>
      </c>
      <c r="E41" s="700" t="s">
        <v>10</v>
      </c>
      <c r="F41" s="1593"/>
    </row>
    <row r="42" spans="1:6" ht="13.5" thickBot="1">
      <c r="A42" s="647" t="s">
        <v>802</v>
      </c>
      <c r="B42" s="696" t="s">
        <v>803</v>
      </c>
      <c r="C42" s="699" t="s">
        <v>804</v>
      </c>
      <c r="D42" s="699" t="s">
        <v>805</v>
      </c>
      <c r="E42" s="689" t="s">
        <v>825</v>
      </c>
      <c r="F42" s="1159" t="s">
        <v>850</v>
      </c>
    </row>
    <row r="43" spans="1:6" ht="26.25">
      <c r="A43" s="602" t="s">
        <v>806</v>
      </c>
      <c r="B43" s="1160" t="s">
        <v>865</v>
      </c>
      <c r="C43" s="169"/>
      <c r="D43" s="701"/>
      <c r="E43" s="1157">
        <v>25378</v>
      </c>
      <c r="F43" s="190">
        <f>SUM(C43:E43)</f>
        <v>25378</v>
      </c>
    </row>
    <row r="44" spans="1:6" ht="26.25">
      <c r="A44" s="602" t="s">
        <v>807</v>
      </c>
      <c r="B44" s="1160" t="s">
        <v>868</v>
      </c>
      <c r="C44" s="169"/>
      <c r="D44" s="701"/>
      <c r="E44" s="1157">
        <f>59600+297664</f>
        <v>357264</v>
      </c>
      <c r="F44" s="190">
        <f>SUM(C44:E44)</f>
        <v>357264</v>
      </c>
    </row>
    <row r="45" spans="1:6" ht="39" customHeight="1" thickBot="1">
      <c r="A45" s="602" t="s">
        <v>808</v>
      </c>
      <c r="B45" s="1161" t="s">
        <v>1411</v>
      </c>
      <c r="C45" s="195">
        <v>3637</v>
      </c>
      <c r="D45" s="702"/>
      <c r="E45" s="1158"/>
      <c r="F45" s="193">
        <f>SUM(C45:E45)</f>
        <v>3637</v>
      </c>
    </row>
    <row r="46" spans="1:6" ht="24.75" thickBot="1">
      <c r="A46" s="582" t="s">
        <v>809</v>
      </c>
      <c r="B46" s="640" t="s">
        <v>584</v>
      </c>
      <c r="C46" s="703">
        <f>SUM(C43:C45)</f>
        <v>3637</v>
      </c>
      <c r="D46" s="703">
        <f>SUM(D43:D45)</f>
        <v>0</v>
      </c>
      <c r="E46" s="703">
        <f>SUM(E43:E45)</f>
        <v>382642</v>
      </c>
      <c r="F46" s="703">
        <f>SUM(F43:F45)</f>
        <v>386279</v>
      </c>
    </row>
    <row r="47" spans="2:6" ht="12.75">
      <c r="B47" s="1"/>
      <c r="C47" s="1"/>
      <c r="D47" s="1"/>
      <c r="E47" s="1"/>
      <c r="F47" s="1"/>
    </row>
    <row r="48" spans="2:6" ht="12.75">
      <c r="B48" s="1594"/>
      <c r="C48" s="1594"/>
      <c r="D48" s="1"/>
      <c r="E48" s="1"/>
      <c r="F48" s="1"/>
    </row>
    <row r="49" ht="12.75" customHeight="1">
      <c r="B49" s="40"/>
    </row>
    <row r="50" ht="12.75">
      <c r="B50" s="1"/>
    </row>
    <row r="51" ht="15.75">
      <c r="B51" s="24"/>
    </row>
    <row r="52" ht="12.75" customHeight="1">
      <c r="B52" s="24"/>
    </row>
    <row r="53" ht="16.5" customHeight="1">
      <c r="B53" s="1"/>
    </row>
    <row r="54" ht="16.5" customHeight="1"/>
    <row r="55" ht="16.5" customHeight="1"/>
    <row r="59" ht="12.75">
      <c r="B59" s="1"/>
    </row>
    <row r="60" ht="12.75">
      <c r="B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3.5" customHeight="1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s="3" customFormat="1" ht="1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32.25" customHeight="1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28.5" customHeight="1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3.5" thickBot="1">
      <c r="B99" s="1"/>
      <c r="C99" s="1"/>
      <c r="D99" s="1"/>
      <c r="E99" s="1"/>
      <c r="F99" s="1"/>
    </row>
    <row r="100" spans="1:19" s="43" customFormat="1" ht="13.5" thickBot="1">
      <c r="A100" s="42"/>
      <c r="B100" s="1"/>
      <c r="C100" s="1"/>
      <c r="D100" s="1"/>
      <c r="E100" s="1"/>
      <c r="F100" s="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</row>
    <row r="101" spans="2:19" s="20" customFormat="1" ht="12.75">
      <c r="B101" s="1"/>
      <c r="C101" s="1"/>
      <c r="D101" s="1"/>
      <c r="E101" s="1"/>
      <c r="F101" s="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</row>
    <row r="102" spans="2:19" s="20" customFormat="1" ht="12.75">
      <c r="B102" s="1"/>
      <c r="C102" s="1"/>
      <c r="D102" s="1"/>
      <c r="E102" s="1"/>
      <c r="F102" s="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</row>
    <row r="103" spans="2:19" s="20" customFormat="1" ht="12.75">
      <c r="B103" s="1"/>
      <c r="C103" s="1"/>
      <c r="D103" s="1"/>
      <c r="E103" s="1"/>
      <c r="F103" s="1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</row>
    <row r="104" spans="2:19" s="20" customFormat="1" ht="12.75">
      <c r="B104" s="1"/>
      <c r="C104" s="1"/>
      <c r="D104" s="1"/>
      <c r="E104" s="1"/>
      <c r="F104" s="1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</row>
    <row r="105" spans="2:19" s="20" customFormat="1" ht="13.5" thickBot="1">
      <c r="B105" s="1"/>
      <c r="C105" s="1"/>
      <c r="D105" s="1"/>
      <c r="E105" s="1"/>
      <c r="F105" s="1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</row>
    <row r="106" spans="1:19" s="43" customFormat="1" ht="13.5" thickBot="1">
      <c r="A106" s="42"/>
      <c r="B106" s="1"/>
      <c r="C106" s="1"/>
      <c r="D106" s="1"/>
      <c r="E106" s="1"/>
      <c r="F106" s="1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</row>
    <row r="107" spans="2:6" ht="12.75">
      <c r="B107" s="1"/>
      <c r="C107" s="1"/>
      <c r="D107" s="1"/>
      <c r="E107" s="1"/>
      <c r="F107" s="1"/>
    </row>
    <row r="108" spans="2:6" ht="27" customHeight="1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</sheetData>
  <sheetProtection/>
  <mergeCells count="9">
    <mergeCell ref="A1:E1"/>
    <mergeCell ref="A35:E35"/>
    <mergeCell ref="F5:F6"/>
    <mergeCell ref="F40:F41"/>
    <mergeCell ref="B48:C48"/>
    <mergeCell ref="B37:E37"/>
    <mergeCell ref="B2:E2"/>
    <mergeCell ref="A5:A6"/>
    <mergeCell ref="A40:A41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6">
      <selection activeCell="A33" sqref="A1:C33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571" t="s">
        <v>1360</v>
      </c>
      <c r="B2" s="571"/>
      <c r="C2" s="571"/>
      <c r="D2" s="571"/>
      <c r="E2" s="571"/>
    </row>
    <row r="3" spans="1:5" ht="12.75">
      <c r="A3" s="571"/>
      <c r="B3" s="571"/>
      <c r="C3" s="571"/>
      <c r="D3" s="571"/>
      <c r="E3" s="571"/>
    </row>
    <row r="4" spans="2:3" ht="15.75">
      <c r="B4" s="1566" t="s">
        <v>585</v>
      </c>
      <c r="C4" s="1566"/>
    </row>
    <row r="5" spans="2:3" ht="15.75">
      <c r="B5" s="140"/>
      <c r="C5" s="1"/>
    </row>
    <row r="6" spans="2:3" ht="13.5" thickBot="1">
      <c r="B6" s="1"/>
      <c r="C6" s="25" t="s">
        <v>53</v>
      </c>
    </row>
    <row r="7" spans="1:3" ht="15.75">
      <c r="A7" s="1578" t="s">
        <v>801</v>
      </c>
      <c r="B7" s="223" t="s">
        <v>54</v>
      </c>
      <c r="C7" s="216" t="s">
        <v>55</v>
      </c>
    </row>
    <row r="8" spans="1:3" ht="13.5" thickBot="1">
      <c r="A8" s="1579"/>
      <c r="B8" s="172"/>
      <c r="C8" s="217" t="s">
        <v>10</v>
      </c>
    </row>
    <row r="9" spans="1:3" ht="13.5" thickBot="1">
      <c r="A9" s="647" t="s">
        <v>802</v>
      </c>
      <c r="B9" s="685" t="s">
        <v>803</v>
      </c>
      <c r="C9" s="692" t="s">
        <v>804</v>
      </c>
    </row>
    <row r="10" spans="1:3" ht="12.75">
      <c r="A10" s="615" t="s">
        <v>806</v>
      </c>
      <c r="B10" s="180" t="s">
        <v>587</v>
      </c>
      <c r="C10" s="704">
        <f>C11+C13</f>
        <v>0</v>
      </c>
    </row>
    <row r="11" spans="1:3" ht="12.75">
      <c r="A11" s="602" t="s">
        <v>807</v>
      </c>
      <c r="B11" s="200" t="s">
        <v>588</v>
      </c>
      <c r="C11" s="218"/>
    </row>
    <row r="12" spans="1:3" ht="12.75">
      <c r="A12" s="602" t="s">
        <v>808</v>
      </c>
      <c r="B12" s="200"/>
      <c r="C12" s="218"/>
    </row>
    <row r="13" spans="1:3" ht="12.75">
      <c r="A13" s="602" t="s">
        <v>809</v>
      </c>
      <c r="B13" s="200" t="s">
        <v>589</v>
      </c>
      <c r="C13" s="218"/>
    </row>
    <row r="14" spans="1:3" ht="12.75">
      <c r="A14" s="602" t="s">
        <v>810</v>
      </c>
      <c r="B14" s="200"/>
      <c r="C14" s="218"/>
    </row>
    <row r="15" spans="1:3" ht="12.75">
      <c r="A15" s="602" t="s">
        <v>811</v>
      </c>
      <c r="B15" s="225" t="s">
        <v>586</v>
      </c>
      <c r="C15" s="196">
        <f>C16+C20</f>
        <v>64877</v>
      </c>
    </row>
    <row r="16" spans="1:3" ht="12.75">
      <c r="A16" s="602" t="s">
        <v>812</v>
      </c>
      <c r="B16" s="171" t="s">
        <v>1051</v>
      </c>
      <c r="C16" s="190">
        <f>C17+C18+C19</f>
        <v>3577</v>
      </c>
    </row>
    <row r="17" spans="1:3" ht="12.75">
      <c r="A17" s="602" t="s">
        <v>813</v>
      </c>
      <c r="B17" s="171" t="s">
        <v>596</v>
      </c>
      <c r="C17" s="219">
        <v>377</v>
      </c>
    </row>
    <row r="18" spans="1:3" ht="12.75">
      <c r="A18" s="602" t="s">
        <v>814</v>
      </c>
      <c r="B18" s="376" t="s">
        <v>1078</v>
      </c>
      <c r="C18" s="219">
        <v>3200</v>
      </c>
    </row>
    <row r="19" spans="1:3" ht="12.75">
      <c r="A19" s="602" t="s">
        <v>815</v>
      </c>
      <c r="B19" s="226"/>
      <c r="C19" s="219"/>
    </row>
    <row r="20" spans="1:3" ht="12.75">
      <c r="A20" s="602" t="s">
        <v>816</v>
      </c>
      <c r="B20" s="226" t="s">
        <v>1052</v>
      </c>
      <c r="C20" s="219">
        <f>C21+C22+C23+C24+C25+C26</f>
        <v>61300</v>
      </c>
    </row>
    <row r="21" spans="1:3" ht="12.75">
      <c r="A21" s="602" t="s">
        <v>817</v>
      </c>
      <c r="B21" s="171" t="s">
        <v>591</v>
      </c>
      <c r="C21" s="219">
        <v>153</v>
      </c>
    </row>
    <row r="22" spans="1:3" ht="12.75">
      <c r="A22" s="602" t="s">
        <v>818</v>
      </c>
      <c r="B22" s="171" t="s">
        <v>592</v>
      </c>
      <c r="C22" s="219">
        <v>250</v>
      </c>
    </row>
    <row r="23" spans="1:3" ht="12.75">
      <c r="A23" s="602" t="s">
        <v>819</v>
      </c>
      <c r="B23" s="160" t="s">
        <v>593</v>
      </c>
      <c r="C23" s="219">
        <v>0</v>
      </c>
    </row>
    <row r="24" spans="1:3" ht="12.75">
      <c r="A24" s="602" t="s">
        <v>820</v>
      </c>
      <c r="B24" s="5" t="s">
        <v>594</v>
      </c>
      <c r="C24" s="219">
        <v>3366</v>
      </c>
    </row>
    <row r="25" spans="1:3" ht="12.75">
      <c r="A25" s="602" t="s">
        <v>821</v>
      </c>
      <c r="B25" s="171" t="s">
        <v>590</v>
      </c>
      <c r="C25" s="219">
        <v>331</v>
      </c>
    </row>
    <row r="26" spans="1:3" ht="12.75">
      <c r="A26" s="602" t="s">
        <v>822</v>
      </c>
      <c r="B26" s="171" t="s">
        <v>1422</v>
      </c>
      <c r="C26" s="219">
        <v>57200</v>
      </c>
    </row>
    <row r="27" spans="1:3" ht="12.75">
      <c r="A27" s="602" t="s">
        <v>823</v>
      </c>
      <c r="B27" s="171"/>
      <c r="C27" s="219"/>
    </row>
    <row r="28" spans="1:3" ht="12.75">
      <c r="A28" s="602" t="s">
        <v>824</v>
      </c>
      <c r="B28" s="225" t="s">
        <v>595</v>
      </c>
      <c r="C28" s="220">
        <f>C29+C31</f>
        <v>0</v>
      </c>
    </row>
    <row r="29" spans="1:3" ht="12.75">
      <c r="A29" s="602" t="s">
        <v>826</v>
      </c>
      <c r="B29" s="171" t="s">
        <v>597</v>
      </c>
      <c r="C29" s="219"/>
    </row>
    <row r="30" spans="1:3" ht="12.75">
      <c r="A30" s="602" t="s">
        <v>827</v>
      </c>
      <c r="B30" s="171"/>
      <c r="C30" s="219"/>
    </row>
    <row r="31" spans="1:3" ht="12.75">
      <c r="A31" s="602" t="s">
        <v>828</v>
      </c>
      <c r="B31" s="226" t="s">
        <v>598</v>
      </c>
      <c r="C31" s="221"/>
    </row>
    <row r="32" spans="1:3" ht="13.5" thickBot="1">
      <c r="A32" s="602" t="s">
        <v>829</v>
      </c>
      <c r="B32" s="705"/>
      <c r="C32" s="706"/>
    </row>
    <row r="33" spans="1:3" ht="13.5" thickBot="1">
      <c r="A33" s="582" t="s">
        <v>830</v>
      </c>
      <c r="B33" s="381" t="s">
        <v>599</v>
      </c>
      <c r="C33" s="510">
        <f>C10+C15+C28</f>
        <v>64877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82">
      <selection activeCell="D104" sqref="D104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5.7109375" style="0" customWidth="1"/>
    <col min="4" max="4" width="13.7109375" style="0" customWidth="1"/>
    <col min="5" max="5" width="16.00390625" style="0" customWidth="1"/>
  </cols>
  <sheetData>
    <row r="1" spans="1:6" ht="12.75">
      <c r="A1" s="1546" t="s">
        <v>1361</v>
      </c>
      <c r="B1" s="1546"/>
      <c r="C1" s="1546"/>
      <c r="D1" s="1546"/>
      <c r="E1" s="1546"/>
      <c r="F1" s="1"/>
    </row>
    <row r="2" spans="2:6" ht="15.75">
      <c r="B2" s="1566" t="s">
        <v>1053</v>
      </c>
      <c r="C2" s="1566"/>
      <c r="D2" s="1566"/>
      <c r="E2" s="1566"/>
      <c r="F2" s="1"/>
    </row>
    <row r="3" spans="2:6" ht="13.5" thickBot="1">
      <c r="B3" s="1"/>
      <c r="C3" s="1"/>
      <c r="D3" s="46"/>
      <c r="E3" s="46" t="s">
        <v>9</v>
      </c>
      <c r="F3" s="1"/>
    </row>
    <row r="4" spans="1:6" ht="39" customHeight="1" thickBot="1">
      <c r="A4" s="1162" t="s">
        <v>801</v>
      </c>
      <c r="B4" s="1163" t="s">
        <v>91</v>
      </c>
      <c r="C4" s="574" t="s">
        <v>155</v>
      </c>
      <c r="D4" s="575" t="s">
        <v>1025</v>
      </c>
      <c r="E4" s="576" t="s">
        <v>20</v>
      </c>
      <c r="F4" s="1"/>
    </row>
    <row r="5" spans="1:6" ht="12" customHeight="1" thickBot="1">
      <c r="A5" s="825" t="s">
        <v>802</v>
      </c>
      <c r="B5" s="695" t="s">
        <v>803</v>
      </c>
      <c r="C5" s="1164" t="s">
        <v>804</v>
      </c>
      <c r="D5" s="1165" t="s">
        <v>805</v>
      </c>
      <c r="E5" s="1198" t="s">
        <v>825</v>
      </c>
      <c r="F5" s="1"/>
    </row>
    <row r="6" spans="1:6" ht="15" customHeight="1" thickBot="1">
      <c r="A6" s="825" t="s">
        <v>806</v>
      </c>
      <c r="B6" s="1166" t="s">
        <v>511</v>
      </c>
      <c r="C6" s="1185">
        <f>C12+C19</f>
        <v>7630</v>
      </c>
      <c r="D6" s="1185">
        <f>D12+D19</f>
        <v>563</v>
      </c>
      <c r="E6" s="361">
        <f>E12+E19</f>
        <v>10988</v>
      </c>
      <c r="F6" s="1"/>
    </row>
    <row r="7" spans="1:6" ht="12" customHeight="1">
      <c r="A7" s="1076" t="s">
        <v>807</v>
      </c>
      <c r="B7" s="369" t="s">
        <v>503</v>
      </c>
      <c r="C7" s="444"/>
      <c r="D7" s="444"/>
      <c r="E7" s="360"/>
      <c r="F7" s="1"/>
    </row>
    <row r="8" spans="1:6" ht="12.75" customHeight="1">
      <c r="A8" s="218" t="s">
        <v>808</v>
      </c>
      <c r="B8" s="179" t="s">
        <v>499</v>
      </c>
      <c r="C8" s="332"/>
      <c r="D8" s="332"/>
      <c r="E8" s="201"/>
      <c r="F8" s="1"/>
    </row>
    <row r="9" spans="1:6" ht="12.75" customHeight="1">
      <c r="A9" s="218" t="s">
        <v>809</v>
      </c>
      <c r="B9" s="171" t="s">
        <v>500</v>
      </c>
      <c r="C9" s="334"/>
      <c r="D9" s="334"/>
      <c r="E9" s="201">
        <v>7300</v>
      </c>
      <c r="F9" s="1"/>
    </row>
    <row r="10" spans="1:6" ht="12.75" customHeight="1">
      <c r="A10" s="218" t="s">
        <v>810</v>
      </c>
      <c r="B10" s="171" t="s">
        <v>501</v>
      </c>
      <c r="C10" s="334"/>
      <c r="D10" s="334"/>
      <c r="E10" s="201"/>
      <c r="F10" s="1"/>
    </row>
    <row r="11" spans="1:6" s="20" customFormat="1" ht="12.75" customHeight="1" thickBot="1">
      <c r="A11" s="1077" t="s">
        <v>811</v>
      </c>
      <c r="B11" s="370" t="s">
        <v>502</v>
      </c>
      <c r="C11" s="336"/>
      <c r="D11" s="1197"/>
      <c r="E11" s="207"/>
      <c r="F11" s="44"/>
    </row>
    <row r="12" spans="1:6" ht="15" customHeight="1" thickBot="1">
      <c r="A12" s="825" t="s">
        <v>812</v>
      </c>
      <c r="B12" s="175" t="s">
        <v>117</v>
      </c>
      <c r="C12" s="337">
        <f>SUM(C8:C11)</f>
        <v>0</v>
      </c>
      <c r="D12" s="1095">
        <f>SUM(D8:D11)</f>
        <v>0</v>
      </c>
      <c r="E12" s="197">
        <f>SUM(E8:E11)</f>
        <v>7300</v>
      </c>
      <c r="F12" s="1"/>
    </row>
    <row r="13" spans="1:6" ht="11.25" customHeight="1">
      <c r="A13" s="1076" t="s">
        <v>813</v>
      </c>
      <c r="B13" s="174" t="s">
        <v>512</v>
      </c>
      <c r="C13" s="339"/>
      <c r="D13" s="323"/>
      <c r="E13" s="196"/>
      <c r="F13" s="1"/>
    </row>
    <row r="14" spans="1:6" ht="12.75" customHeight="1">
      <c r="A14" s="218" t="s">
        <v>814</v>
      </c>
      <c r="B14" s="371" t="s">
        <v>513</v>
      </c>
      <c r="C14" s="340">
        <f>'19 21_sz_ melléklet'!C64</f>
        <v>7630</v>
      </c>
      <c r="D14" s="311">
        <f>'19 21_sz_ melléklet'!C65</f>
        <v>563</v>
      </c>
      <c r="E14" s="355">
        <f>'19 21_sz_ melléklet'!C66+'19 21_sz_ melléklet'!C67+'19 21_sz_ melléklet'!C69+'19 21_sz_ melléklet'!C68</f>
        <v>3512</v>
      </c>
      <c r="F14" s="1"/>
    </row>
    <row r="15" spans="1:6" ht="12.75" customHeight="1">
      <c r="A15" s="218" t="s">
        <v>815</v>
      </c>
      <c r="B15" s="372" t="s">
        <v>66</v>
      </c>
      <c r="C15" s="341"/>
      <c r="D15" s="310"/>
      <c r="E15" s="355"/>
      <c r="F15" s="1"/>
    </row>
    <row r="16" spans="1:6" ht="12.75" customHeight="1">
      <c r="A16" s="218" t="s">
        <v>816</v>
      </c>
      <c r="B16" s="372" t="s">
        <v>516</v>
      </c>
      <c r="C16" s="341"/>
      <c r="D16" s="310"/>
      <c r="E16" s="355">
        <f>'19 21_sz_ melléklet'!C121+'19 21_sz_ melléklet'!C122</f>
        <v>176</v>
      </c>
      <c r="F16" s="1"/>
    </row>
    <row r="17" spans="1:6" s="20" customFormat="1" ht="12.75" customHeight="1">
      <c r="A17" s="218" t="s">
        <v>817</v>
      </c>
      <c r="B17" s="373" t="s">
        <v>514</v>
      </c>
      <c r="C17" s="342"/>
      <c r="D17" s="322"/>
      <c r="E17" s="355"/>
      <c r="F17" s="44"/>
    </row>
    <row r="18" spans="1:6" ht="15" customHeight="1" thickBot="1">
      <c r="A18" s="1077" t="s">
        <v>818</v>
      </c>
      <c r="B18" s="374" t="s">
        <v>517</v>
      </c>
      <c r="C18" s="343"/>
      <c r="D18" s="325"/>
      <c r="E18" s="355"/>
      <c r="F18" s="1"/>
    </row>
    <row r="19" spans="1:6" ht="15" customHeight="1" thickBot="1">
      <c r="A19" s="825" t="s">
        <v>819</v>
      </c>
      <c r="B19" s="173" t="s">
        <v>515</v>
      </c>
      <c r="C19" s="344">
        <f>C14+C16+C17+C18</f>
        <v>7630</v>
      </c>
      <c r="D19" s="326">
        <f>D14+D16+D17+D18</f>
        <v>563</v>
      </c>
      <c r="E19" s="197">
        <f>E14+E16+E17+E18</f>
        <v>3688</v>
      </c>
      <c r="F19" s="1"/>
    </row>
    <row r="20" spans="1:6" ht="6.75" customHeight="1" thickBot="1">
      <c r="A20" s="825"/>
      <c r="B20" s="375"/>
      <c r="C20" s="336"/>
      <c r="D20" s="308"/>
      <c r="E20" s="198"/>
      <c r="F20" s="1"/>
    </row>
    <row r="21" spans="1:6" ht="15" customHeight="1" thickBot="1">
      <c r="A21" s="825" t="s">
        <v>820</v>
      </c>
      <c r="B21" s="329" t="s">
        <v>524</v>
      </c>
      <c r="C21" s="348">
        <f>C25+C30</f>
        <v>0</v>
      </c>
      <c r="D21" s="330">
        <f>D25+D30</f>
        <v>0</v>
      </c>
      <c r="E21" s="192">
        <f>E25+E30</f>
        <v>0</v>
      </c>
      <c r="F21" s="1"/>
    </row>
    <row r="22" spans="1:6" ht="15" customHeight="1">
      <c r="A22" s="1076" t="s">
        <v>821</v>
      </c>
      <c r="B22" s="174" t="s">
        <v>518</v>
      </c>
      <c r="C22" s="345"/>
      <c r="D22" s="321"/>
      <c r="E22" s="356"/>
      <c r="F22" s="1"/>
    </row>
    <row r="23" spans="1:6" ht="12.75" customHeight="1">
      <c r="A23" s="218" t="s">
        <v>822</v>
      </c>
      <c r="B23" s="171" t="s">
        <v>519</v>
      </c>
      <c r="C23" s="334"/>
      <c r="D23" s="36"/>
      <c r="E23" s="219"/>
      <c r="F23" s="1"/>
    </row>
    <row r="24" spans="1:6" ht="15" customHeight="1" thickBot="1">
      <c r="A24" s="1077" t="s">
        <v>823</v>
      </c>
      <c r="B24" s="376" t="s">
        <v>526</v>
      </c>
      <c r="C24" s="346"/>
      <c r="D24" s="313"/>
      <c r="E24" s="357"/>
      <c r="F24" s="1"/>
    </row>
    <row r="25" spans="1:6" s="20" customFormat="1" ht="12.75" customHeight="1" thickBot="1">
      <c r="A25" s="825" t="s">
        <v>824</v>
      </c>
      <c r="B25" s="329" t="s">
        <v>527</v>
      </c>
      <c r="C25" s="348">
        <f>C23+C24</f>
        <v>0</v>
      </c>
      <c r="D25" s="330">
        <f>D23+D24</f>
        <v>0</v>
      </c>
      <c r="E25" s="192">
        <f>E23+E24</f>
        <v>0</v>
      </c>
      <c r="F25" s="44"/>
    </row>
    <row r="26" spans="1:6" ht="15" customHeight="1">
      <c r="A26" s="1076" t="s">
        <v>826</v>
      </c>
      <c r="B26" s="174" t="s">
        <v>520</v>
      </c>
      <c r="C26" s="336"/>
      <c r="D26" s="308"/>
      <c r="E26" s="198"/>
      <c r="F26" s="1"/>
    </row>
    <row r="27" spans="1:6" ht="12.75" customHeight="1">
      <c r="A27" s="218" t="s">
        <v>827</v>
      </c>
      <c r="B27" s="171" t="s">
        <v>521</v>
      </c>
      <c r="C27" s="346"/>
      <c r="D27" s="324"/>
      <c r="E27" s="190"/>
      <c r="F27" s="1"/>
    </row>
    <row r="28" spans="1:6" ht="15" customHeight="1">
      <c r="A28" s="218" t="s">
        <v>828</v>
      </c>
      <c r="B28" s="372" t="s">
        <v>522</v>
      </c>
      <c r="C28" s="349"/>
      <c r="D28" s="327"/>
      <c r="E28" s="190"/>
      <c r="F28" s="1"/>
    </row>
    <row r="29" spans="1:6" ht="15" customHeight="1" thickBot="1">
      <c r="A29" s="1077" t="s">
        <v>829</v>
      </c>
      <c r="B29" s="374" t="s">
        <v>523</v>
      </c>
      <c r="C29" s="336"/>
      <c r="D29" s="308"/>
      <c r="E29" s="190"/>
      <c r="F29" s="1"/>
    </row>
    <row r="30" spans="1:6" ht="15" customHeight="1" thickBot="1">
      <c r="A30" s="825" t="s">
        <v>830</v>
      </c>
      <c r="B30" s="173" t="s">
        <v>525</v>
      </c>
      <c r="C30" s="344">
        <f>C27+C28+C29</f>
        <v>0</v>
      </c>
      <c r="D30" s="326">
        <f>D27+D28+D29</f>
        <v>0</v>
      </c>
      <c r="E30" s="197">
        <f>E27+E28+E29</f>
        <v>0</v>
      </c>
      <c r="F30" s="1"/>
    </row>
    <row r="31" spans="1:6" ht="7.5" customHeight="1" thickBot="1">
      <c r="A31" s="825"/>
      <c r="B31" s="375"/>
      <c r="C31" s="336"/>
      <c r="D31" s="314"/>
      <c r="E31" s="198"/>
      <c r="F31" s="1"/>
    </row>
    <row r="32" spans="1:6" ht="27" customHeight="1" thickBot="1">
      <c r="A32" s="825" t="s">
        <v>831</v>
      </c>
      <c r="B32" s="363" t="s">
        <v>528</v>
      </c>
      <c r="C32" s="348"/>
      <c r="D32" s="364"/>
      <c r="E32" s="192"/>
      <c r="F32" s="1"/>
    </row>
    <row r="33" spans="1:6" ht="6" customHeight="1" thickBot="1">
      <c r="A33" s="825"/>
      <c r="B33" s="172"/>
      <c r="C33" s="336"/>
      <c r="D33" s="308"/>
      <c r="E33" s="198"/>
      <c r="F33" s="1"/>
    </row>
    <row r="34" spans="1:6" ht="20.25" customHeight="1" thickBot="1">
      <c r="A34" s="825" t="s">
        <v>832</v>
      </c>
      <c r="B34" s="173" t="s">
        <v>529</v>
      </c>
      <c r="C34" s="348">
        <f>C35</f>
        <v>0</v>
      </c>
      <c r="D34" s="348">
        <f>D35</f>
        <v>0</v>
      </c>
      <c r="E34" s="192">
        <f>E35</f>
        <v>0</v>
      </c>
      <c r="F34" s="1"/>
    </row>
    <row r="35" spans="1:6" ht="12" customHeight="1">
      <c r="A35" s="1076" t="s">
        <v>833</v>
      </c>
      <c r="B35" s="641" t="s">
        <v>531</v>
      </c>
      <c r="C35" s="365"/>
      <c r="D35" s="366"/>
      <c r="E35" s="367"/>
      <c r="F35" s="1"/>
    </row>
    <row r="36" spans="1:6" ht="6.75" customHeight="1" thickBot="1">
      <c r="A36" s="1168"/>
      <c r="B36" s="642"/>
      <c r="C36" s="336"/>
      <c r="D36" s="314"/>
      <c r="E36" s="358"/>
      <c r="F36" s="1"/>
    </row>
    <row r="37" spans="1:6" ht="31.5" customHeight="1" thickBot="1">
      <c r="A37" s="825" t="s">
        <v>834</v>
      </c>
      <c r="B37" s="954" t="s">
        <v>530</v>
      </c>
      <c r="C37" s="344">
        <f>C6+C21+C32+C34</f>
        <v>7630</v>
      </c>
      <c r="D37" s="344">
        <f>D6+D21+D32+D34</f>
        <v>563</v>
      </c>
      <c r="E37" s="197">
        <f>E6+E21+E32+E34</f>
        <v>10988</v>
      </c>
      <c r="F37" s="1"/>
    </row>
    <row r="38" spans="1:6" s="20" customFormat="1" ht="3" customHeight="1" thickBot="1">
      <c r="A38" s="1169"/>
      <c r="B38" s="178"/>
      <c r="C38" s="351"/>
      <c r="D38" s="312"/>
      <c r="E38" s="359"/>
      <c r="F38" s="44"/>
    </row>
    <row r="39" spans="1:6" ht="25.5" customHeight="1" thickBot="1">
      <c r="A39" s="216" t="s">
        <v>835</v>
      </c>
      <c r="B39" s="1201" t="s">
        <v>557</v>
      </c>
      <c r="C39" s="1202">
        <f>C43+C40</f>
        <v>0</v>
      </c>
      <c r="D39" s="1202">
        <f>D43+D40</f>
        <v>0</v>
      </c>
      <c r="E39" s="1202">
        <f>E43+E40</f>
        <v>0</v>
      </c>
      <c r="F39" s="1"/>
    </row>
    <row r="40" spans="1:6" ht="12.75" customHeight="1">
      <c r="A40" s="1076" t="s">
        <v>836</v>
      </c>
      <c r="B40" s="1203" t="s">
        <v>1035</v>
      </c>
      <c r="C40" s="194">
        <f>C41+C42</f>
        <v>0</v>
      </c>
      <c r="D40" s="194">
        <f>D41+D42</f>
        <v>0</v>
      </c>
      <c r="E40" s="194">
        <f>E41+E42</f>
        <v>0</v>
      </c>
      <c r="F40" s="1"/>
    </row>
    <row r="41" spans="1:6" ht="12.75" customHeight="1">
      <c r="A41" s="218" t="s">
        <v>837</v>
      </c>
      <c r="B41" s="171" t="s">
        <v>532</v>
      </c>
      <c r="C41" s="194"/>
      <c r="D41" s="194"/>
      <c r="E41" s="194"/>
      <c r="F41" s="1"/>
    </row>
    <row r="42" spans="1:6" ht="12.75" customHeight="1">
      <c r="A42" s="218" t="s">
        <v>838</v>
      </c>
      <c r="B42" s="171" t="s">
        <v>533</v>
      </c>
      <c r="C42" s="194"/>
      <c r="D42" s="194"/>
      <c r="E42" s="194"/>
      <c r="F42" s="1"/>
    </row>
    <row r="43" spans="1:6" ht="15" customHeight="1">
      <c r="A43" s="218" t="s">
        <v>839</v>
      </c>
      <c r="B43" s="378" t="s">
        <v>1036</v>
      </c>
      <c r="C43" s="355">
        <f>C44+C45</f>
        <v>0</v>
      </c>
      <c r="D43" s="355">
        <f>D44+D45</f>
        <v>0</v>
      </c>
      <c r="E43" s="355">
        <f>E44+E45</f>
        <v>0</v>
      </c>
      <c r="F43" s="1"/>
    </row>
    <row r="44" spans="1:6" ht="12.75">
      <c r="A44" s="218" t="s">
        <v>840</v>
      </c>
      <c r="B44" s="171" t="s">
        <v>532</v>
      </c>
      <c r="C44" s="219"/>
      <c r="D44" s="219"/>
      <c r="E44" s="219"/>
      <c r="F44" s="1"/>
    </row>
    <row r="45" spans="1:6" ht="13.5" thickBot="1">
      <c r="A45" s="1169" t="s">
        <v>841</v>
      </c>
      <c r="B45" s="541" t="s">
        <v>533</v>
      </c>
      <c r="C45" s="1204"/>
      <c r="D45" s="1204"/>
      <c r="E45" s="1204"/>
      <c r="F45" s="1"/>
    </row>
    <row r="46" spans="1:6" ht="6" customHeight="1" thickBot="1">
      <c r="A46" s="217"/>
      <c r="B46" s="178"/>
      <c r="C46" s="1002"/>
      <c r="D46" s="510"/>
      <c r="E46" s="510"/>
      <c r="F46" s="1"/>
    </row>
    <row r="47" spans="1:6" ht="21.75" thickBot="1">
      <c r="A47" s="216" t="s">
        <v>842</v>
      </c>
      <c r="B47" s="1171" t="s">
        <v>534</v>
      </c>
      <c r="C47" s="439">
        <f>C48+C52</f>
        <v>0</v>
      </c>
      <c r="D47" s="353">
        <f>D48+D52</f>
        <v>0</v>
      </c>
      <c r="E47" s="197">
        <f>E48+E52</f>
        <v>0</v>
      </c>
      <c r="F47" s="1"/>
    </row>
    <row r="48" spans="1:6" ht="13.5" thickBot="1">
      <c r="A48" s="216" t="s">
        <v>843</v>
      </c>
      <c r="B48" s="1172" t="s">
        <v>1037</v>
      </c>
      <c r="C48" s="1173">
        <f>C49+C50</f>
        <v>0</v>
      </c>
      <c r="D48" s="1174">
        <f>D49+D50</f>
        <v>0</v>
      </c>
      <c r="E48" s="196">
        <f>E49+E50</f>
        <v>0</v>
      </c>
      <c r="F48" s="1"/>
    </row>
    <row r="49" spans="1:6" ht="13.5" thickBot="1">
      <c r="A49" s="216" t="s">
        <v>844</v>
      </c>
      <c r="B49" s="200" t="s">
        <v>535</v>
      </c>
      <c r="C49" s="1175"/>
      <c r="D49" s="1176"/>
      <c r="E49" s="194"/>
      <c r="F49" s="1"/>
    </row>
    <row r="50" spans="1:6" ht="13.5" thickBot="1">
      <c r="A50" s="216" t="s">
        <v>845</v>
      </c>
      <c r="B50" s="200" t="s">
        <v>536</v>
      </c>
      <c r="C50" s="1175"/>
      <c r="D50" s="1176"/>
      <c r="E50" s="194"/>
      <c r="F50" s="1"/>
    </row>
    <row r="51" spans="1:6" ht="4.5" customHeight="1" thickBot="1">
      <c r="A51" s="216"/>
      <c r="B51" s="224"/>
      <c r="C51" s="1175"/>
      <c r="D51" s="1176"/>
      <c r="E51" s="194"/>
      <c r="F51" s="1"/>
    </row>
    <row r="52" spans="1:6" ht="13.5" thickBot="1">
      <c r="A52" s="216" t="s">
        <v>846</v>
      </c>
      <c r="B52" s="1177" t="s">
        <v>1038</v>
      </c>
      <c r="C52" s="1175">
        <f>C53+C54</f>
        <v>0</v>
      </c>
      <c r="D52" s="1176">
        <f>D53+D54</f>
        <v>0</v>
      </c>
      <c r="E52" s="194">
        <f>E53+E54</f>
        <v>0</v>
      </c>
      <c r="F52" s="1"/>
    </row>
    <row r="53" spans="1:6" ht="13.5" thickBot="1">
      <c r="A53" s="216" t="s">
        <v>847</v>
      </c>
      <c r="B53" s="200" t="s">
        <v>537</v>
      </c>
      <c r="C53" s="1175"/>
      <c r="D53" s="1176"/>
      <c r="E53" s="194"/>
      <c r="F53" s="1"/>
    </row>
    <row r="54" spans="1:6" ht="13.5" thickBot="1">
      <c r="A54" s="216" t="s">
        <v>848</v>
      </c>
      <c r="B54" s="200" t="s">
        <v>538</v>
      </c>
      <c r="C54" s="1175"/>
      <c r="D54" s="1176"/>
      <c r="E54" s="194"/>
      <c r="F54" s="1"/>
    </row>
    <row r="55" spans="1:6" ht="6.75" customHeight="1" thickBot="1">
      <c r="A55" s="216"/>
      <c r="B55" s="1123"/>
      <c r="C55" s="1178"/>
      <c r="D55" s="1179"/>
      <c r="E55" s="191"/>
      <c r="F55" s="1"/>
    </row>
    <row r="56" spans="1:6" ht="13.5" thickBot="1">
      <c r="A56" s="216" t="s">
        <v>849</v>
      </c>
      <c r="B56" s="1180" t="s">
        <v>539</v>
      </c>
      <c r="C56" s="144">
        <f>238299+3294+785+2195+19442</f>
        <v>264015</v>
      </c>
      <c r="D56" s="353">
        <f>230591+4617+1046+3353</f>
        <v>239607</v>
      </c>
      <c r="E56" s="197">
        <f>446822+7170+1590+13416</f>
        <v>468998</v>
      </c>
      <c r="F56" s="1"/>
    </row>
    <row r="57" spans="1:6" ht="6" customHeight="1" thickBot="1">
      <c r="A57" s="216"/>
      <c r="B57" s="1181"/>
      <c r="C57" s="1110"/>
      <c r="D57" s="1182"/>
      <c r="E57" s="447"/>
      <c r="F57" s="1"/>
    </row>
    <row r="58" spans="1:6" ht="18.75" customHeight="1" thickBot="1">
      <c r="A58" s="1077" t="s">
        <v>869</v>
      </c>
      <c r="B58" s="1183" t="s">
        <v>540</v>
      </c>
      <c r="C58" s="1184">
        <f>C37+C39+C47+C56</f>
        <v>271645</v>
      </c>
      <c r="D58" s="1127">
        <f>D37+D39+D47+D56</f>
        <v>240170</v>
      </c>
      <c r="E58" s="1026">
        <f>E37+E39+E47+E56</f>
        <v>479986</v>
      </c>
      <c r="F58" s="1"/>
    </row>
    <row r="59" spans="1:5" ht="14.25" customHeight="1">
      <c r="A59" s="1595">
        <v>2</v>
      </c>
      <c r="B59" s="1545"/>
      <c r="C59" s="1545"/>
      <c r="D59" s="1545"/>
      <c r="E59" s="1545"/>
    </row>
    <row r="60" spans="1:5" ht="13.5" customHeight="1">
      <c r="A60" s="1546" t="s">
        <v>1361</v>
      </c>
      <c r="B60" s="1546"/>
      <c r="C60" s="1546"/>
      <c r="D60" s="1546"/>
      <c r="E60" s="1546"/>
    </row>
    <row r="61" spans="2:5" ht="16.5" customHeight="1">
      <c r="B61" s="1566" t="s">
        <v>1053</v>
      </c>
      <c r="C61" s="1566"/>
      <c r="D61" s="1566"/>
      <c r="E61" s="1566"/>
    </row>
    <row r="62" spans="2:5" ht="12.75" customHeight="1" thickBot="1">
      <c r="B62" s="1"/>
      <c r="C62" s="1"/>
      <c r="D62" s="46"/>
      <c r="E62" s="46" t="s">
        <v>9</v>
      </c>
    </row>
    <row r="63" spans="1:5" ht="38.25" customHeight="1" thickBot="1">
      <c r="A63" s="1162" t="s">
        <v>801</v>
      </c>
      <c r="B63" s="1163" t="s">
        <v>91</v>
      </c>
      <c r="C63" s="574" t="s">
        <v>1026</v>
      </c>
      <c r="D63" s="575" t="s">
        <v>1027</v>
      </c>
      <c r="E63" s="576" t="s">
        <v>1028</v>
      </c>
    </row>
    <row r="64" spans="1:5" ht="12" customHeight="1" thickBot="1">
      <c r="A64" s="825" t="s">
        <v>802</v>
      </c>
      <c r="B64" s="695" t="s">
        <v>803</v>
      </c>
      <c r="C64" s="1164" t="s">
        <v>804</v>
      </c>
      <c r="D64" s="1165" t="s">
        <v>805</v>
      </c>
      <c r="E64" s="1198" t="s">
        <v>825</v>
      </c>
    </row>
    <row r="65" spans="1:5" ht="12" customHeight="1" thickBot="1">
      <c r="A65" s="825" t="s">
        <v>806</v>
      </c>
      <c r="B65" s="1166" t="s">
        <v>511</v>
      </c>
      <c r="C65" s="1185">
        <f>C71+C78</f>
        <v>4613</v>
      </c>
      <c r="D65" s="1185">
        <f>D71+D78</f>
        <v>42386</v>
      </c>
      <c r="E65" s="361">
        <f>E71+E78</f>
        <v>154718</v>
      </c>
    </row>
    <row r="66" spans="1:5" ht="11.25" customHeight="1">
      <c r="A66" s="1076" t="s">
        <v>807</v>
      </c>
      <c r="B66" s="369" t="s">
        <v>503</v>
      </c>
      <c r="C66" s="444"/>
      <c r="D66" s="444"/>
      <c r="E66" s="360"/>
    </row>
    <row r="67" spans="1:5" ht="12" customHeight="1">
      <c r="A67" s="218" t="s">
        <v>808</v>
      </c>
      <c r="B67" s="179" t="s">
        <v>499</v>
      </c>
      <c r="C67" s="332"/>
      <c r="D67" s="332">
        <v>5982</v>
      </c>
      <c r="E67" s="201"/>
    </row>
    <row r="68" spans="1:5" ht="14.25" customHeight="1">
      <c r="A68" s="218" t="s">
        <v>809</v>
      </c>
      <c r="B68" s="171" t="s">
        <v>500</v>
      </c>
      <c r="C68" s="334">
        <v>3585</v>
      </c>
      <c r="D68" s="334">
        <v>20133</v>
      </c>
      <c r="E68" s="201">
        <v>120964</v>
      </c>
    </row>
    <row r="69" spans="1:5" ht="15" customHeight="1">
      <c r="A69" s="218" t="s">
        <v>810</v>
      </c>
      <c r="B69" s="171" t="s">
        <v>501</v>
      </c>
      <c r="C69" s="334">
        <v>25</v>
      </c>
      <c r="D69" s="334">
        <v>1750</v>
      </c>
      <c r="E69" s="201">
        <v>32660</v>
      </c>
    </row>
    <row r="70" spans="1:5" ht="13.5" customHeight="1" thickBot="1">
      <c r="A70" s="1077" t="s">
        <v>811</v>
      </c>
      <c r="B70" s="370" t="s">
        <v>502</v>
      </c>
      <c r="C70" s="336"/>
      <c r="D70" s="1197">
        <v>157</v>
      </c>
      <c r="E70" s="207">
        <v>20</v>
      </c>
    </row>
    <row r="71" spans="1:5" ht="12.75" customHeight="1" thickBot="1">
      <c r="A71" s="825" t="s">
        <v>812</v>
      </c>
      <c r="B71" s="175" t="s">
        <v>117</v>
      </c>
      <c r="C71" s="337">
        <f>SUM(C67:C70)</f>
        <v>3610</v>
      </c>
      <c r="D71" s="1095">
        <f>SUM(D67:D70)</f>
        <v>28022</v>
      </c>
      <c r="E71" s="197">
        <f>SUM(E67:E70)</f>
        <v>153644</v>
      </c>
    </row>
    <row r="72" spans="1:5" ht="12.75" customHeight="1">
      <c r="A72" s="1076" t="s">
        <v>813</v>
      </c>
      <c r="B72" s="174" t="s">
        <v>512</v>
      </c>
      <c r="C72" s="339"/>
      <c r="D72" s="323"/>
      <c r="E72" s="196"/>
    </row>
    <row r="73" spans="1:5" ht="12.75" customHeight="1">
      <c r="A73" s="218" t="s">
        <v>814</v>
      </c>
      <c r="B73" s="371" t="s">
        <v>513</v>
      </c>
      <c r="C73" s="340">
        <f>'19 21_sz_ melléklet'!C70+'19 21_sz_ melléklet'!C71+'19 21_sz_ melléklet'!C72+'19 21_sz_ melléklet'!C73</f>
        <v>1003</v>
      </c>
      <c r="D73" s="311">
        <f>'19 21_sz_ melléklet'!C74+'19 21_sz_ melléklet'!C75+'19 21_sz_ melléklet'!C76+'19 21_sz_ melléklet'!C77</f>
        <v>14167</v>
      </c>
      <c r="E73" s="355">
        <f>'19 21_sz_ melléklet'!C78</f>
        <v>1074</v>
      </c>
    </row>
    <row r="74" spans="1:5" ht="12.75" customHeight="1">
      <c r="A74" s="218" t="s">
        <v>815</v>
      </c>
      <c r="B74" s="372" t="s">
        <v>66</v>
      </c>
      <c r="C74" s="341"/>
      <c r="D74" s="310"/>
      <c r="E74" s="355"/>
    </row>
    <row r="75" spans="1:5" ht="12.75" customHeight="1">
      <c r="A75" s="218" t="s">
        <v>816</v>
      </c>
      <c r="B75" s="372" t="s">
        <v>516</v>
      </c>
      <c r="C75" s="341"/>
      <c r="D75" s="310">
        <f>'19 21_sz_ melléklet'!C120</f>
        <v>197</v>
      </c>
      <c r="E75" s="355"/>
    </row>
    <row r="76" spans="1:5" ht="15" customHeight="1">
      <c r="A76" s="218" t="s">
        <v>817</v>
      </c>
      <c r="B76" s="373" t="s">
        <v>514</v>
      </c>
      <c r="C76" s="342"/>
      <c r="D76" s="322"/>
      <c r="E76" s="355"/>
    </row>
    <row r="77" spans="1:5" ht="18" customHeight="1" thickBot="1">
      <c r="A77" s="1077" t="s">
        <v>818</v>
      </c>
      <c r="B77" s="374" t="s">
        <v>517</v>
      </c>
      <c r="C77" s="343"/>
      <c r="D77" s="325"/>
      <c r="E77" s="355"/>
    </row>
    <row r="78" spans="1:5" ht="15" customHeight="1" thickBot="1">
      <c r="A78" s="825" t="s">
        <v>819</v>
      </c>
      <c r="B78" s="173" t="s">
        <v>515</v>
      </c>
      <c r="C78" s="344">
        <f>C73+C75+C76+C77</f>
        <v>1003</v>
      </c>
      <c r="D78" s="326">
        <f>D73+D75+D76+D77</f>
        <v>14364</v>
      </c>
      <c r="E78" s="197">
        <f>E73+E75+E76+E77</f>
        <v>1074</v>
      </c>
    </row>
    <row r="79" spans="1:5" ht="3" customHeight="1" thickBot="1">
      <c r="A79" s="825"/>
      <c r="B79" s="375"/>
      <c r="C79" s="336"/>
      <c r="D79" s="308"/>
      <c r="E79" s="198"/>
    </row>
    <row r="80" spans="1:5" ht="15" customHeight="1" thickBot="1">
      <c r="A80" s="825" t="s">
        <v>820</v>
      </c>
      <c r="B80" s="329" t="s">
        <v>524</v>
      </c>
      <c r="C80" s="344">
        <f>C84+C89</f>
        <v>0</v>
      </c>
      <c r="D80" s="326">
        <f>D84+D89</f>
        <v>8299</v>
      </c>
      <c r="E80" s="197">
        <f>E84+E89</f>
        <v>0</v>
      </c>
    </row>
    <row r="81" spans="1:5" ht="15" customHeight="1">
      <c r="A81" s="1076" t="s">
        <v>821</v>
      </c>
      <c r="B81" s="174" t="s">
        <v>518</v>
      </c>
      <c r="C81" s="345"/>
      <c r="D81" s="321"/>
      <c r="E81" s="356"/>
    </row>
    <row r="82" spans="1:5" ht="15" customHeight="1">
      <c r="A82" s="218" t="s">
        <v>822</v>
      </c>
      <c r="B82" s="171" t="s">
        <v>519</v>
      </c>
      <c r="C82" s="334"/>
      <c r="D82" s="36"/>
      <c r="E82" s="219"/>
    </row>
    <row r="83" spans="1:5" ht="15" customHeight="1" thickBot="1">
      <c r="A83" s="1077" t="s">
        <v>823</v>
      </c>
      <c r="B83" s="376" t="s">
        <v>526</v>
      </c>
      <c r="C83" s="346"/>
      <c r="D83" s="313"/>
      <c r="E83" s="357"/>
    </row>
    <row r="84" spans="1:5" ht="15" customHeight="1" thickBot="1">
      <c r="A84" s="825" t="s">
        <v>824</v>
      </c>
      <c r="B84" s="329" t="s">
        <v>527</v>
      </c>
      <c r="C84" s="348">
        <f>C82+C83</f>
        <v>0</v>
      </c>
      <c r="D84" s="330">
        <f>D82+D83</f>
        <v>0</v>
      </c>
      <c r="E84" s="192">
        <f>E82+E83</f>
        <v>0</v>
      </c>
    </row>
    <row r="85" spans="1:5" ht="15" customHeight="1">
      <c r="A85" s="1076" t="s">
        <v>826</v>
      </c>
      <c r="B85" s="174" t="s">
        <v>520</v>
      </c>
      <c r="C85" s="336"/>
      <c r="D85" s="308"/>
      <c r="E85" s="198"/>
    </row>
    <row r="86" spans="1:5" ht="15" customHeight="1">
      <c r="A86" s="218" t="s">
        <v>827</v>
      </c>
      <c r="B86" s="171" t="s">
        <v>521</v>
      </c>
      <c r="C86" s="346"/>
      <c r="D86" s="324">
        <f>' 27 28 sz. melléklet'!C9</f>
        <v>8299</v>
      </c>
      <c r="E86" s="190"/>
    </row>
    <row r="87" spans="1:5" ht="15" customHeight="1">
      <c r="A87" s="218" t="s">
        <v>828</v>
      </c>
      <c r="B87" s="372" t="s">
        <v>522</v>
      </c>
      <c r="C87" s="349"/>
      <c r="D87" s="327"/>
      <c r="E87" s="190"/>
    </row>
    <row r="88" spans="1:5" ht="16.5" customHeight="1" thickBot="1">
      <c r="A88" s="1077" t="s">
        <v>829</v>
      </c>
      <c r="B88" s="374" t="s">
        <v>523</v>
      </c>
      <c r="C88" s="336"/>
      <c r="D88" s="308"/>
      <c r="E88" s="190"/>
    </row>
    <row r="89" spans="1:5" ht="15.75" customHeight="1" thickBot="1">
      <c r="A89" s="825" t="s">
        <v>830</v>
      </c>
      <c r="B89" s="173" t="s">
        <v>525</v>
      </c>
      <c r="C89" s="344">
        <f>C86+C87+C88</f>
        <v>0</v>
      </c>
      <c r="D89" s="326">
        <f>D86+D87+D88</f>
        <v>8299</v>
      </c>
      <c r="E89" s="197">
        <f>E86+E87+E88</f>
        <v>0</v>
      </c>
    </row>
    <row r="90" spans="1:5" ht="3.75" customHeight="1" thickBot="1">
      <c r="A90" s="825"/>
      <c r="B90" s="375"/>
      <c r="C90" s="336"/>
      <c r="D90" s="314"/>
      <c r="E90" s="198"/>
    </row>
    <row r="91" spans="1:5" ht="26.25" customHeight="1" thickBot="1">
      <c r="A91" s="825" t="s">
        <v>831</v>
      </c>
      <c r="B91" s="363" t="s">
        <v>528</v>
      </c>
      <c r="C91" s="348"/>
      <c r="D91" s="364"/>
      <c r="E91" s="192"/>
    </row>
    <row r="92" spans="1:5" ht="2.25" customHeight="1" thickBot="1">
      <c r="A92" s="825"/>
      <c r="B92" s="172"/>
      <c r="C92" s="336"/>
      <c r="D92" s="308"/>
      <c r="E92" s="198"/>
    </row>
    <row r="93" spans="1:5" ht="16.5" customHeight="1" thickBot="1">
      <c r="A93" s="825" t="s">
        <v>832</v>
      </c>
      <c r="B93" s="173" t="s">
        <v>529</v>
      </c>
      <c r="C93" s="348">
        <f>C94</f>
        <v>0</v>
      </c>
      <c r="D93" s="348">
        <f>D94</f>
        <v>0</v>
      </c>
      <c r="E93" s="192">
        <f>E94</f>
        <v>0</v>
      </c>
    </row>
    <row r="94" spans="1:5" ht="10.5" customHeight="1">
      <c r="A94" s="1076" t="s">
        <v>833</v>
      </c>
      <c r="B94" s="641" t="s">
        <v>531</v>
      </c>
      <c r="C94" s="365"/>
      <c r="D94" s="366"/>
      <c r="E94" s="367"/>
    </row>
    <row r="95" spans="1:5" ht="4.5" customHeight="1" thickBot="1">
      <c r="A95" s="1168"/>
      <c r="B95" s="642"/>
      <c r="C95" s="336"/>
      <c r="D95" s="314"/>
      <c r="E95" s="358"/>
    </row>
    <row r="96" spans="1:5" ht="27.75" customHeight="1" thickBot="1">
      <c r="A96" s="825" t="s">
        <v>834</v>
      </c>
      <c r="B96" s="954" t="s">
        <v>530</v>
      </c>
      <c r="C96" s="344">
        <f>C65+C80+C91+C93</f>
        <v>4613</v>
      </c>
      <c r="D96" s="344">
        <f>D65+D80+D91+D93</f>
        <v>50685</v>
      </c>
      <c r="E96" s="197">
        <f>E65+E80+E91+E93</f>
        <v>154718</v>
      </c>
    </row>
    <row r="97" spans="1:5" ht="6.75" customHeight="1" thickBot="1">
      <c r="A97" s="1169"/>
      <c r="B97" s="178"/>
      <c r="C97" s="351"/>
      <c r="D97" s="312"/>
      <c r="E97" s="359"/>
    </row>
    <row r="98" spans="1:5" ht="24.75" customHeight="1" thickBot="1">
      <c r="A98" s="216" t="s">
        <v>835</v>
      </c>
      <c r="B98" s="1201" t="s">
        <v>557</v>
      </c>
      <c r="C98" s="1170">
        <f>C102+C99</f>
        <v>0</v>
      </c>
      <c r="D98" s="1202">
        <f>D102+D99</f>
        <v>8119</v>
      </c>
      <c r="E98" s="1202">
        <f>E102+E99</f>
        <v>0</v>
      </c>
    </row>
    <row r="99" spans="1:5" ht="12.75" customHeight="1">
      <c r="A99" s="1076" t="s">
        <v>836</v>
      </c>
      <c r="B99" s="1203" t="s">
        <v>1035</v>
      </c>
      <c r="C99" s="446">
        <f>C100+C101</f>
        <v>0</v>
      </c>
      <c r="D99" s="194">
        <f>D100+D101</f>
        <v>0</v>
      </c>
      <c r="E99" s="194">
        <f>E100+E101</f>
        <v>0</v>
      </c>
    </row>
    <row r="100" spans="1:5" ht="12.75" customHeight="1">
      <c r="A100" s="218" t="s">
        <v>837</v>
      </c>
      <c r="B100" s="171" t="s">
        <v>532</v>
      </c>
      <c r="C100" s="446"/>
      <c r="D100" s="194"/>
      <c r="E100" s="194"/>
    </row>
    <row r="101" spans="1:5" ht="12.75" customHeight="1">
      <c r="A101" s="218" t="s">
        <v>838</v>
      </c>
      <c r="B101" s="171" t="s">
        <v>533</v>
      </c>
      <c r="C101" s="446"/>
      <c r="D101" s="194"/>
      <c r="E101" s="194"/>
    </row>
    <row r="102" spans="1:5" ht="12" customHeight="1">
      <c r="A102" s="218" t="s">
        <v>839</v>
      </c>
      <c r="B102" s="378" t="s">
        <v>1036</v>
      </c>
      <c r="C102" s="340">
        <f>C103+C104</f>
        <v>0</v>
      </c>
      <c r="D102" s="355">
        <f>D103+D104</f>
        <v>8119</v>
      </c>
      <c r="E102" s="355">
        <f>E103+E104</f>
        <v>0</v>
      </c>
    </row>
    <row r="103" spans="1:5" ht="11.25" customHeight="1">
      <c r="A103" s="218" t="s">
        <v>840</v>
      </c>
      <c r="B103" s="171" t="s">
        <v>532</v>
      </c>
      <c r="C103" s="334"/>
      <c r="D103" s="219">
        <f>8119-2323</f>
        <v>5796</v>
      </c>
      <c r="E103" s="219"/>
    </row>
    <row r="104" spans="1:5" ht="13.5" customHeight="1" thickBot="1">
      <c r="A104" s="1169" t="s">
        <v>841</v>
      </c>
      <c r="B104" s="541" t="s">
        <v>533</v>
      </c>
      <c r="C104" s="334"/>
      <c r="D104" s="219">
        <v>2323</v>
      </c>
      <c r="E104" s="219"/>
    </row>
    <row r="105" spans="1:5" ht="7.5" customHeight="1" thickBot="1">
      <c r="A105" s="217"/>
      <c r="B105" s="178"/>
      <c r="C105" s="1002"/>
      <c r="D105" s="510"/>
      <c r="E105" s="510"/>
    </row>
    <row r="106" spans="1:5" ht="21.75" thickBot="1">
      <c r="A106" s="216" t="s">
        <v>842</v>
      </c>
      <c r="B106" s="1171" t="s">
        <v>534</v>
      </c>
      <c r="C106" s="439">
        <f>C107+C111</f>
        <v>0</v>
      </c>
      <c r="D106" s="353">
        <f>D107+D111</f>
        <v>0</v>
      </c>
      <c r="E106" s="197">
        <f>E107+E111</f>
        <v>0</v>
      </c>
    </row>
    <row r="107" spans="1:5" ht="13.5" thickBot="1">
      <c r="A107" s="216" t="s">
        <v>843</v>
      </c>
      <c r="B107" s="1172" t="s">
        <v>1037</v>
      </c>
      <c r="C107" s="1173">
        <f>C108+C109</f>
        <v>0</v>
      </c>
      <c r="D107" s="1174">
        <f>D108+D109</f>
        <v>0</v>
      </c>
      <c r="E107" s="196">
        <f>E108+E109</f>
        <v>0</v>
      </c>
    </row>
    <row r="108" spans="1:5" ht="12" customHeight="1">
      <c r="A108" s="1076" t="s">
        <v>844</v>
      </c>
      <c r="B108" s="200" t="s">
        <v>535</v>
      </c>
      <c r="C108" s="1175"/>
      <c r="D108" s="1176"/>
      <c r="E108" s="194"/>
    </row>
    <row r="109" spans="1:5" ht="13.5" thickBot="1">
      <c r="A109" s="217" t="s">
        <v>845</v>
      </c>
      <c r="B109" s="200" t="s">
        <v>536</v>
      </c>
      <c r="C109" s="1175"/>
      <c r="D109" s="1176"/>
      <c r="E109" s="194"/>
    </row>
    <row r="110" spans="1:5" ht="5.25" customHeight="1" thickBot="1">
      <c r="A110" s="216"/>
      <c r="B110" s="224"/>
      <c r="C110" s="1175"/>
      <c r="D110" s="1176"/>
      <c r="E110" s="194"/>
    </row>
    <row r="111" spans="1:5" ht="16.5" customHeight="1" thickBot="1">
      <c r="A111" s="216" t="s">
        <v>846</v>
      </c>
      <c r="B111" s="1177" t="s">
        <v>1038</v>
      </c>
      <c r="C111" s="1175">
        <f>C112+C113</f>
        <v>0</v>
      </c>
      <c r="D111" s="1176">
        <f>D112+D113</f>
        <v>0</v>
      </c>
      <c r="E111" s="194">
        <f>E112+E113</f>
        <v>0</v>
      </c>
    </row>
    <row r="112" spans="1:5" ht="13.5" customHeight="1" thickBot="1">
      <c r="A112" s="216" t="s">
        <v>847</v>
      </c>
      <c r="B112" s="200" t="s">
        <v>537</v>
      </c>
      <c r="C112" s="1175"/>
      <c r="D112" s="1176"/>
      <c r="E112" s="194"/>
    </row>
    <row r="113" spans="1:5" ht="13.5" thickBot="1">
      <c r="A113" s="216" t="s">
        <v>848</v>
      </c>
      <c r="B113" s="200" t="s">
        <v>538</v>
      </c>
      <c r="C113" s="1175"/>
      <c r="D113" s="1176"/>
      <c r="E113" s="194"/>
    </row>
    <row r="114" spans="1:5" ht="3" customHeight="1" thickBot="1">
      <c r="A114" s="216"/>
      <c r="B114" s="1123"/>
      <c r="C114" s="1178"/>
      <c r="D114" s="1179"/>
      <c r="E114" s="191"/>
    </row>
    <row r="115" spans="1:5" ht="17.25" customHeight="1" thickBot="1">
      <c r="A115" s="216" t="s">
        <v>849</v>
      </c>
      <c r="B115" s="1180" t="s">
        <v>539</v>
      </c>
      <c r="C115" s="144">
        <f>208776+1922+458+7137</f>
        <v>218293</v>
      </c>
      <c r="D115" s="353">
        <v>192366</v>
      </c>
      <c r="E115" s="197">
        <f>178874+456+234+2937+5170+249+658+2143</f>
        <v>190721</v>
      </c>
    </row>
    <row r="116" spans="1:5" ht="7.5" customHeight="1" thickBot="1">
      <c r="A116" s="216"/>
      <c r="B116" s="1181"/>
      <c r="C116" s="1110"/>
      <c r="D116" s="1182"/>
      <c r="E116" s="447"/>
    </row>
    <row r="117" spans="1:5" ht="13.5" thickBot="1">
      <c r="A117" s="1077" t="s">
        <v>869</v>
      </c>
      <c r="B117" s="1183" t="s">
        <v>540</v>
      </c>
      <c r="C117" s="1184">
        <f>C96+C98+C106+C115</f>
        <v>222906</v>
      </c>
      <c r="D117" s="1127">
        <f>D96+D98+D106+D115</f>
        <v>251170</v>
      </c>
      <c r="E117" s="1026">
        <f>E96+E98+E106+E115</f>
        <v>345439</v>
      </c>
    </row>
    <row r="118" spans="1:5" ht="12.75">
      <c r="A118" s="1545">
        <v>3</v>
      </c>
      <c r="B118" s="1545"/>
      <c r="C118" s="1545"/>
      <c r="D118" s="1545"/>
      <c r="E118" s="1545"/>
    </row>
    <row r="119" spans="1:5" ht="12.75">
      <c r="A119" s="1546" t="s">
        <v>1361</v>
      </c>
      <c r="B119" s="1546"/>
      <c r="C119" s="1546"/>
      <c r="D119" s="1546"/>
      <c r="E119" s="1546"/>
    </row>
    <row r="120" spans="2:5" ht="15.75">
      <c r="B120" s="1566" t="s">
        <v>1053</v>
      </c>
      <c r="C120" s="1566"/>
      <c r="D120" s="1566"/>
      <c r="E120" s="1566"/>
    </row>
    <row r="121" spans="2:5" ht="13.5" thickBot="1">
      <c r="B121" s="1"/>
      <c r="C121" s="1"/>
      <c r="D121" s="46"/>
      <c r="E121" s="46" t="s">
        <v>9</v>
      </c>
    </row>
    <row r="122" spans="1:5" ht="36" customHeight="1" thickBot="1">
      <c r="A122" s="1162" t="s">
        <v>801</v>
      </c>
      <c r="B122" s="1163" t="s">
        <v>91</v>
      </c>
      <c r="C122" s="574" t="s">
        <v>17</v>
      </c>
      <c r="D122" s="575" t="s">
        <v>1029</v>
      </c>
      <c r="E122" s="576"/>
    </row>
    <row r="123" spans="1:5" ht="13.5" thickBot="1">
      <c r="A123" s="825" t="s">
        <v>802</v>
      </c>
      <c r="B123" s="695" t="s">
        <v>803</v>
      </c>
      <c r="C123" s="1164" t="s">
        <v>804</v>
      </c>
      <c r="D123" s="1165" t="s">
        <v>805</v>
      </c>
      <c r="E123" s="1165" t="s">
        <v>825</v>
      </c>
    </row>
    <row r="124" spans="1:5" ht="13.5" thickBot="1">
      <c r="A124" s="825" t="s">
        <v>806</v>
      </c>
      <c r="B124" s="1166" t="s">
        <v>511</v>
      </c>
      <c r="C124" s="1185">
        <f>C130+C137</f>
        <v>325033</v>
      </c>
      <c r="D124" s="1167">
        <f>D130+D137</f>
        <v>545931</v>
      </c>
      <c r="E124" s="1167"/>
    </row>
    <row r="125" spans="1:5" ht="12.75">
      <c r="A125" s="1076" t="s">
        <v>807</v>
      </c>
      <c r="B125" s="369" t="s">
        <v>503</v>
      </c>
      <c r="C125" s="1195"/>
      <c r="D125" s="1480"/>
      <c r="E125" s="379"/>
    </row>
    <row r="126" spans="1:5" ht="12.75">
      <c r="A126" s="218" t="s">
        <v>808</v>
      </c>
      <c r="B126" s="179" t="s">
        <v>499</v>
      </c>
      <c r="C126" s="1189"/>
      <c r="D126" s="1188">
        <f>C126+E67+D67+C67+E8+D8+C8</f>
        <v>5982</v>
      </c>
      <c r="E126" s="404"/>
    </row>
    <row r="127" spans="1:5" ht="12.75">
      <c r="A127" s="218" t="s">
        <v>809</v>
      </c>
      <c r="B127" s="171" t="s">
        <v>500</v>
      </c>
      <c r="C127" s="1191">
        <v>24064</v>
      </c>
      <c r="D127" s="1188">
        <f>C127+E68+D68+C68+E9+D9+C9</f>
        <v>176046</v>
      </c>
      <c r="E127" s="404"/>
    </row>
    <row r="128" spans="1:5" ht="12.75">
      <c r="A128" s="218" t="s">
        <v>810</v>
      </c>
      <c r="B128" s="171" t="s">
        <v>501</v>
      </c>
      <c r="C128" s="1191"/>
      <c r="D128" s="1188">
        <f>C128+E69+D69+C69+E10+D10+C10</f>
        <v>34435</v>
      </c>
      <c r="E128" s="404"/>
    </row>
    <row r="129" spans="1:5" ht="13.5" thickBot="1">
      <c r="A129" s="1077" t="s">
        <v>811</v>
      </c>
      <c r="B129" s="370" t="s">
        <v>502</v>
      </c>
      <c r="C129" s="1193">
        <v>300</v>
      </c>
      <c r="D129" s="1481">
        <f>C129+E70+D70+C70+E11+D11+C11</f>
        <v>477</v>
      </c>
      <c r="E129" s="402"/>
    </row>
    <row r="130" spans="1:5" ht="13.5" thickBot="1">
      <c r="A130" s="825" t="s">
        <v>812</v>
      </c>
      <c r="B130" s="175" t="s">
        <v>117</v>
      </c>
      <c r="C130" s="337">
        <f>SUM(C126:C129)</f>
        <v>24364</v>
      </c>
      <c r="D130" s="197">
        <f>SUM(D126:D129)</f>
        <v>216940</v>
      </c>
      <c r="E130" s="338"/>
    </row>
    <row r="131" spans="1:5" ht="12.75">
      <c r="A131" s="1076" t="s">
        <v>813</v>
      </c>
      <c r="B131" s="174" t="s">
        <v>512</v>
      </c>
      <c r="C131" s="339"/>
      <c r="D131" s="196"/>
      <c r="E131" s="186"/>
    </row>
    <row r="132" spans="1:5" ht="12.75">
      <c r="A132" s="218" t="s">
        <v>814</v>
      </c>
      <c r="B132" s="371" t="s">
        <v>513</v>
      </c>
      <c r="C132" s="340">
        <f>'19 21_sz_ melléklet'!C62+'19 21_sz_ melléklet'!C63</f>
        <v>300579</v>
      </c>
      <c r="D132" s="355">
        <f>C132+E73+D73+C73+E14+D14+C14</f>
        <v>328528</v>
      </c>
      <c r="E132" s="333"/>
    </row>
    <row r="133" spans="1:5" ht="12.75">
      <c r="A133" s="218" t="s">
        <v>815</v>
      </c>
      <c r="B133" s="372" t="s">
        <v>66</v>
      </c>
      <c r="C133" s="341">
        <f>'19 21_sz_ melléklet'!C62</f>
        <v>299393</v>
      </c>
      <c r="D133" s="355">
        <f>C133+E74+D74+C74+E15+D15+C15</f>
        <v>299393</v>
      </c>
      <c r="E133" s="333"/>
    </row>
    <row r="134" spans="1:5" ht="12.75">
      <c r="A134" s="218" t="s">
        <v>816</v>
      </c>
      <c r="B134" s="372" t="s">
        <v>516</v>
      </c>
      <c r="C134" s="341">
        <f>'19 21_sz_ melléklet'!C123</f>
        <v>90</v>
      </c>
      <c r="D134" s="355">
        <f>C134+E75+D75+C75+E16+D16+C16</f>
        <v>463</v>
      </c>
      <c r="E134" s="333"/>
    </row>
    <row r="135" spans="1:5" ht="12.75">
      <c r="A135" s="218" t="s">
        <v>817</v>
      </c>
      <c r="B135" s="373" t="s">
        <v>514</v>
      </c>
      <c r="C135" s="342"/>
      <c r="D135" s="355">
        <f>C135+E76+D76+C76+E17+D17+C17</f>
        <v>0</v>
      </c>
      <c r="E135" s="333"/>
    </row>
    <row r="136" spans="1:5" ht="13.5" thickBot="1">
      <c r="A136" s="1077" t="s">
        <v>818</v>
      </c>
      <c r="B136" s="374" t="s">
        <v>517</v>
      </c>
      <c r="C136" s="343"/>
      <c r="D136" s="355">
        <f>C136+E77+D77+C77+E18+D18+C18</f>
        <v>0</v>
      </c>
      <c r="E136" s="333"/>
    </row>
    <row r="137" spans="1:5" ht="13.5" thickBot="1">
      <c r="A137" s="825" t="s">
        <v>819</v>
      </c>
      <c r="B137" s="173" t="s">
        <v>515</v>
      </c>
      <c r="C137" s="344">
        <f>C132+C134+C135+C136</f>
        <v>300669</v>
      </c>
      <c r="D137" s="197">
        <f>D132+D134+D135+D136</f>
        <v>328991</v>
      </c>
      <c r="E137" s="328"/>
    </row>
    <row r="138" spans="1:5" ht="5.25" customHeight="1" thickBot="1">
      <c r="A138" s="825"/>
      <c r="B138" s="375"/>
      <c r="C138" s="336"/>
      <c r="D138" s="198"/>
      <c r="E138" s="189"/>
    </row>
    <row r="139" spans="1:5" ht="13.5" thickBot="1">
      <c r="A139" s="825" t="s">
        <v>820</v>
      </c>
      <c r="B139" s="329" t="s">
        <v>524</v>
      </c>
      <c r="C139" s="344">
        <f>C143+C148</f>
        <v>3637</v>
      </c>
      <c r="D139" s="197">
        <f>D143+D148</f>
        <v>11936</v>
      </c>
      <c r="E139" s="328"/>
    </row>
    <row r="140" spans="1:5" ht="12.75">
      <c r="A140" s="1076" t="s">
        <v>821</v>
      </c>
      <c r="B140" s="174" t="s">
        <v>518</v>
      </c>
      <c r="C140" s="345"/>
      <c r="D140" s="355">
        <f>C140+E81+D81+C81+E22+D22+C22</f>
        <v>0</v>
      </c>
      <c r="E140" s="380"/>
    </row>
    <row r="141" spans="1:5" ht="12.75">
      <c r="A141" s="218" t="s">
        <v>822</v>
      </c>
      <c r="B141" s="171" t="s">
        <v>519</v>
      </c>
      <c r="C141" s="334"/>
      <c r="D141" s="355">
        <f>C141+E82+D82+C82+E23+D23+C23</f>
        <v>0</v>
      </c>
      <c r="E141" s="335"/>
    </row>
    <row r="142" spans="1:5" ht="13.5" thickBot="1">
      <c r="A142" s="1077" t="s">
        <v>823</v>
      </c>
      <c r="B142" s="376" t="s">
        <v>526</v>
      </c>
      <c r="C142" s="346"/>
      <c r="D142" s="355">
        <f>C142+E83+D83+C83+E24+D24+C24</f>
        <v>0</v>
      </c>
      <c r="E142" s="347"/>
    </row>
    <row r="143" spans="1:5" ht="13.5" thickBot="1">
      <c r="A143" s="825" t="s">
        <v>824</v>
      </c>
      <c r="B143" s="329" t="s">
        <v>527</v>
      </c>
      <c r="C143" s="348">
        <f>C141+C142</f>
        <v>0</v>
      </c>
      <c r="D143" s="192">
        <f>D141+D142</f>
        <v>0</v>
      </c>
      <c r="E143" s="362"/>
    </row>
    <row r="144" spans="1:5" ht="12.75">
      <c r="A144" s="1076" t="s">
        <v>826</v>
      </c>
      <c r="B144" s="174" t="s">
        <v>520</v>
      </c>
      <c r="C144" s="336"/>
      <c r="D144" s="1023"/>
      <c r="E144" s="189"/>
    </row>
    <row r="145" spans="1:5" ht="12.75">
      <c r="A145" s="218" t="s">
        <v>827</v>
      </c>
      <c r="B145" s="171" t="s">
        <v>521</v>
      </c>
      <c r="C145" s="346">
        <f>SUM(C141:C144)</f>
        <v>0</v>
      </c>
      <c r="D145" s="355">
        <f>C145+E86+D86+C86+E27+D27+C27</f>
        <v>8299</v>
      </c>
      <c r="E145" s="183"/>
    </row>
    <row r="146" spans="1:5" ht="12.75">
      <c r="A146" s="218" t="s">
        <v>828</v>
      </c>
      <c r="B146" s="372" t="s">
        <v>522</v>
      </c>
      <c r="C146" s="349">
        <f>' 27 28 sz. melléklet'!C45</f>
        <v>3637</v>
      </c>
      <c r="D146" s="355">
        <f>C146+E87+D87+C87+E28+D28+C28</f>
        <v>3637</v>
      </c>
      <c r="E146" s="183"/>
    </row>
    <row r="147" spans="1:5" ht="13.5" thickBot="1">
      <c r="A147" s="1077" t="s">
        <v>829</v>
      </c>
      <c r="B147" s="374" t="s">
        <v>523</v>
      </c>
      <c r="C147" s="336"/>
      <c r="D147" s="355">
        <f>C147+E88+D88+C88+E29+D29+C29</f>
        <v>0</v>
      </c>
      <c r="E147" s="183"/>
    </row>
    <row r="148" spans="1:5" ht="13.5" thickBot="1">
      <c r="A148" s="825" t="s">
        <v>830</v>
      </c>
      <c r="B148" s="173" t="s">
        <v>525</v>
      </c>
      <c r="C148" s="344">
        <f>C145+C146+C147</f>
        <v>3637</v>
      </c>
      <c r="D148" s="197">
        <f>D145+D146+D147</f>
        <v>11936</v>
      </c>
      <c r="E148" s="328"/>
    </row>
    <row r="149" spans="1:5" ht="6.75" customHeight="1" thickBot="1">
      <c r="A149" s="825"/>
      <c r="B149" s="375"/>
      <c r="C149" s="336"/>
      <c r="D149" s="358"/>
      <c r="E149" s="189"/>
    </row>
    <row r="150" spans="1:5" ht="24.75" thickBot="1">
      <c r="A150" s="825" t="s">
        <v>831</v>
      </c>
      <c r="B150" s="363" t="s">
        <v>528</v>
      </c>
      <c r="C150" s="348"/>
      <c r="D150" s="192">
        <f>C150+E91+D91+C91+E32+D32+C32</f>
        <v>0</v>
      </c>
      <c r="E150" s="362"/>
    </row>
    <row r="151" spans="1:5" ht="6" customHeight="1" thickBot="1">
      <c r="A151" s="825"/>
      <c r="B151" s="172"/>
      <c r="C151" s="336"/>
      <c r="D151" s="198"/>
      <c r="E151" s="189"/>
    </row>
    <row r="152" spans="1:5" ht="13.5" thickBot="1">
      <c r="A152" s="825" t="s">
        <v>832</v>
      </c>
      <c r="B152" s="173" t="s">
        <v>529</v>
      </c>
      <c r="C152" s="348">
        <f>C153</f>
        <v>0</v>
      </c>
      <c r="D152" s="192">
        <f>D153</f>
        <v>0</v>
      </c>
      <c r="E152" s="362"/>
    </row>
    <row r="153" spans="1:5" ht="12.75">
      <c r="A153" s="1076" t="s">
        <v>833</v>
      </c>
      <c r="B153" s="641" t="s">
        <v>531</v>
      </c>
      <c r="C153" s="365"/>
      <c r="D153" s="355">
        <f>C153+E94+D94+C94+E35+D35+C35</f>
        <v>0</v>
      </c>
      <c r="E153" s="368"/>
    </row>
    <row r="154" spans="1:5" ht="9" customHeight="1" thickBot="1">
      <c r="A154" s="1168"/>
      <c r="B154" s="642"/>
      <c r="C154" s="336"/>
      <c r="D154" s="358"/>
      <c r="E154" s="350"/>
    </row>
    <row r="155" spans="1:5" ht="26.25" thickBot="1">
      <c r="A155" s="825" t="s">
        <v>834</v>
      </c>
      <c r="B155" s="954" t="s">
        <v>530</v>
      </c>
      <c r="C155" s="344">
        <f>C124+C139+C150+C152</f>
        <v>328670</v>
      </c>
      <c r="D155" s="197">
        <f>D124+D139+D150+D152</f>
        <v>557867</v>
      </c>
      <c r="E155" s="328"/>
    </row>
    <row r="156" spans="1:5" ht="5.25" customHeight="1" thickBot="1">
      <c r="A156" s="1169"/>
      <c r="B156" s="178"/>
      <c r="C156" s="351"/>
      <c r="D156" s="359"/>
      <c r="E156" s="352"/>
    </row>
    <row r="157" spans="1:5" ht="28.5" customHeight="1" thickBot="1">
      <c r="A157" s="216" t="s">
        <v>835</v>
      </c>
      <c r="B157" s="1201" t="s">
        <v>557</v>
      </c>
      <c r="C157" s="1170">
        <f>C161+C158</f>
        <v>16657</v>
      </c>
      <c r="D157" s="481">
        <f>D161+D158</f>
        <v>24776</v>
      </c>
      <c r="E157" s="448"/>
    </row>
    <row r="158" spans="1:5" ht="12.75">
      <c r="A158" s="1076" t="s">
        <v>836</v>
      </c>
      <c r="B158" s="1203" t="s">
        <v>1035</v>
      </c>
      <c r="C158" s="446">
        <f>C159+C160</f>
        <v>0</v>
      </c>
      <c r="D158" s="194">
        <f>D159+D160</f>
        <v>0</v>
      </c>
      <c r="E158" s="186"/>
    </row>
    <row r="159" spans="1:5" ht="12.75">
      <c r="A159" s="218" t="s">
        <v>837</v>
      </c>
      <c r="B159" s="171" t="s">
        <v>532</v>
      </c>
      <c r="C159" s="446"/>
      <c r="D159" s="355">
        <f>C159+E100+D100+C100+E41+D41+C41</f>
        <v>0</v>
      </c>
      <c r="E159" s="186"/>
    </row>
    <row r="160" spans="1:5" ht="12.75">
      <c r="A160" s="218" t="s">
        <v>838</v>
      </c>
      <c r="B160" s="171" t="s">
        <v>533</v>
      </c>
      <c r="C160" s="446"/>
      <c r="D160" s="355">
        <f>C160+E101+D101+C101+E42+D42+C42</f>
        <v>0</v>
      </c>
      <c r="E160" s="186"/>
    </row>
    <row r="161" spans="1:5" ht="12.75">
      <c r="A161" s="218" t="s">
        <v>839</v>
      </c>
      <c r="B161" s="378" t="s">
        <v>1036</v>
      </c>
      <c r="C161" s="340">
        <f>C162+C163</f>
        <v>16657</v>
      </c>
      <c r="D161" s="355">
        <f>D162+D163</f>
        <v>24776</v>
      </c>
      <c r="E161" s="333"/>
    </row>
    <row r="162" spans="1:5" ht="12.75">
      <c r="A162" s="218" t="s">
        <v>840</v>
      </c>
      <c r="B162" s="171" t="s">
        <v>532</v>
      </c>
      <c r="C162" s="334">
        <v>15336</v>
      </c>
      <c r="D162" s="355">
        <f>C162+E103+D103+C103+E44+D44+C44</f>
        <v>21132</v>
      </c>
      <c r="E162" s="335"/>
    </row>
    <row r="163" spans="1:5" ht="13.5" thickBot="1">
      <c r="A163" s="1169" t="s">
        <v>841</v>
      </c>
      <c r="B163" s="541" t="s">
        <v>533</v>
      </c>
      <c r="C163" s="346">
        <v>1321</v>
      </c>
      <c r="D163" s="198">
        <f>C163+E104+D104+C104+E45+D45+C45</f>
        <v>3644</v>
      </c>
      <c r="E163" s="347"/>
    </row>
    <row r="164" spans="1:5" ht="5.25" customHeight="1" thickBot="1">
      <c r="A164" s="217"/>
      <c r="B164" s="178"/>
      <c r="C164" s="344"/>
      <c r="D164" s="197"/>
      <c r="E164" s="328"/>
    </row>
    <row r="165" spans="1:5" ht="21.75" thickBot="1">
      <c r="A165" s="216" t="s">
        <v>842</v>
      </c>
      <c r="B165" s="1171" t="s">
        <v>534</v>
      </c>
      <c r="C165" s="1146">
        <f>C166+C170</f>
        <v>0</v>
      </c>
      <c r="D165" s="197">
        <f>D166+D170</f>
        <v>0</v>
      </c>
      <c r="E165" s="328"/>
    </row>
    <row r="166" spans="1:5" ht="13.5" thickBot="1">
      <c r="A166" s="216" t="s">
        <v>843</v>
      </c>
      <c r="B166" s="1172" t="s">
        <v>1037</v>
      </c>
      <c r="C166" s="1196">
        <f>C167+C168</f>
        <v>0</v>
      </c>
      <c r="D166" s="196">
        <f>D167+D168</f>
        <v>0</v>
      </c>
      <c r="E166" s="188"/>
    </row>
    <row r="167" spans="1:5" ht="12.75">
      <c r="A167" s="1076" t="s">
        <v>844</v>
      </c>
      <c r="B167" s="200" t="s">
        <v>535</v>
      </c>
      <c r="C167" s="323"/>
      <c r="D167" s="355">
        <f>C167+E108+D108+C108+E49+D49+C49</f>
        <v>0</v>
      </c>
      <c r="E167" s="186"/>
    </row>
    <row r="168" spans="1:5" ht="13.5" thickBot="1">
      <c r="A168" s="217" t="s">
        <v>845</v>
      </c>
      <c r="B168" s="200" t="s">
        <v>536</v>
      </c>
      <c r="C168" s="961"/>
      <c r="D168" s="198">
        <f>C168+E109+D109+C109+E50+D50+C50</f>
        <v>0</v>
      </c>
      <c r="E168" s="184"/>
    </row>
    <row r="169" spans="1:5" ht="5.25" customHeight="1" thickBot="1">
      <c r="A169" s="216"/>
      <c r="B169" s="224"/>
      <c r="C169" s="326"/>
      <c r="D169" s="197"/>
      <c r="E169" s="328"/>
    </row>
    <row r="170" spans="1:5" ht="13.5" thickBot="1">
      <c r="A170" s="216" t="s">
        <v>846</v>
      </c>
      <c r="B170" s="1177" t="s">
        <v>1038</v>
      </c>
      <c r="C170" s="1196">
        <f>C171+C172</f>
        <v>0</v>
      </c>
      <c r="D170" s="196">
        <f>D171+D172</f>
        <v>0</v>
      </c>
      <c r="E170" s="188"/>
    </row>
    <row r="171" spans="1:5" ht="13.5" thickBot="1">
      <c r="A171" s="216" t="s">
        <v>847</v>
      </c>
      <c r="B171" s="200" t="s">
        <v>537</v>
      </c>
      <c r="C171" s="323"/>
      <c r="D171" s="355">
        <f>C171+E112+D112+C112+E53+D53+C53</f>
        <v>0</v>
      </c>
      <c r="E171" s="186"/>
    </row>
    <row r="172" spans="1:5" ht="13.5" thickBot="1">
      <c r="A172" s="216" t="s">
        <v>848</v>
      </c>
      <c r="B172" s="200" t="s">
        <v>538</v>
      </c>
      <c r="C172" s="323"/>
      <c r="D172" s="355">
        <f>C172+E113+D113+C113+E54+D54+C54</f>
        <v>0</v>
      </c>
      <c r="E172" s="186"/>
    </row>
    <row r="173" spans="1:5" ht="5.25" customHeight="1" thickBot="1">
      <c r="A173" s="216"/>
      <c r="B173" s="1123"/>
      <c r="C173" s="961"/>
      <c r="D173" s="191"/>
      <c r="E173" s="184"/>
    </row>
    <row r="174" spans="1:5" ht="18.75" customHeight="1" thickBot="1">
      <c r="A174" s="216" t="s">
        <v>849</v>
      </c>
      <c r="B174" s="1180" t="s">
        <v>539</v>
      </c>
      <c r="C174" s="326">
        <f>15330+3906+815+2465</f>
        <v>22516</v>
      </c>
      <c r="D174" s="197">
        <f>C174+E115+D115+C115+E56+D56+C56</f>
        <v>1596516</v>
      </c>
      <c r="E174" s="328"/>
    </row>
    <row r="175" spans="1:5" ht="6" customHeight="1" thickBot="1">
      <c r="A175" s="216"/>
      <c r="B175" s="1181"/>
      <c r="C175" s="1205"/>
      <c r="D175" s="1186"/>
      <c r="E175" s="1206"/>
    </row>
    <row r="176" spans="1:5" ht="20.25" customHeight="1" thickBot="1">
      <c r="A176" s="1077" t="s">
        <v>869</v>
      </c>
      <c r="B176" s="1183" t="s">
        <v>540</v>
      </c>
      <c r="C176" s="326">
        <f>C155+C157+C165+C174</f>
        <v>367843</v>
      </c>
      <c r="D176" s="197">
        <f>C176+E117+D117+C117+E58+D58+C58</f>
        <v>2179159</v>
      </c>
      <c r="E176" s="328"/>
    </row>
  </sheetData>
  <sheetProtection/>
  <mergeCells count="8">
    <mergeCell ref="A1:E1"/>
    <mergeCell ref="B2:E2"/>
    <mergeCell ref="A60:E60"/>
    <mergeCell ref="B61:E61"/>
    <mergeCell ref="A119:E119"/>
    <mergeCell ref="B120:E120"/>
    <mergeCell ref="A118:E118"/>
    <mergeCell ref="A59:E59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94">
      <selection activeCell="I108" sqref="I108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710" t="s">
        <v>1362</v>
      </c>
      <c r="B1" s="710"/>
      <c r="C1" s="710"/>
      <c r="D1" s="710"/>
      <c r="E1" s="710"/>
      <c r="F1" s="710"/>
      <c r="G1" s="710"/>
    </row>
    <row r="2" spans="2:5" ht="15.75">
      <c r="B2" s="1566" t="s">
        <v>1054</v>
      </c>
      <c r="C2" s="1566"/>
      <c r="D2" s="1566"/>
      <c r="E2" s="1566"/>
    </row>
    <row r="3" spans="2:5" ht="13.5" thickBot="1">
      <c r="B3" s="1"/>
      <c r="C3" s="1"/>
      <c r="D3" s="46"/>
      <c r="E3" s="46" t="s">
        <v>9</v>
      </c>
    </row>
    <row r="4" spans="1:5" ht="23.25" customHeight="1" thickBot="1">
      <c r="A4" s="1162" t="s">
        <v>801</v>
      </c>
      <c r="B4" s="1163" t="s">
        <v>91</v>
      </c>
      <c r="C4" s="574" t="s">
        <v>1055</v>
      </c>
      <c r="D4" s="575" t="s">
        <v>1057</v>
      </c>
      <c r="E4" s="576" t="s">
        <v>1444</v>
      </c>
    </row>
    <row r="5" spans="1:5" ht="13.5" customHeight="1" thickBot="1">
      <c r="A5" s="825" t="s">
        <v>802</v>
      </c>
      <c r="B5" s="695" t="s">
        <v>803</v>
      </c>
      <c r="C5" s="1164" t="s">
        <v>804</v>
      </c>
      <c r="D5" s="1165" t="s">
        <v>805</v>
      </c>
      <c r="E5" s="1165" t="s">
        <v>825</v>
      </c>
    </row>
    <row r="6" spans="1:5" ht="15.75" customHeight="1" thickBot="1">
      <c r="A6" s="825" t="s">
        <v>806</v>
      </c>
      <c r="B6" s="1166" t="s">
        <v>511</v>
      </c>
      <c r="C6" s="1185">
        <f>C12+C19</f>
        <v>2110</v>
      </c>
      <c r="D6" s="1167">
        <f>D12+D19</f>
        <v>0</v>
      </c>
      <c r="E6" s="1167">
        <f>E12+E19</f>
        <v>170</v>
      </c>
    </row>
    <row r="7" spans="1:5" ht="15.75" customHeight="1">
      <c r="A7" s="1076" t="s">
        <v>807</v>
      </c>
      <c r="B7" s="369" t="s">
        <v>503</v>
      </c>
      <c r="C7" s="1187"/>
      <c r="D7" s="1187"/>
      <c r="E7" s="1480"/>
    </row>
    <row r="8" spans="1:5" ht="12.75" customHeight="1">
      <c r="A8" s="218" t="s">
        <v>808</v>
      </c>
      <c r="B8" s="179" t="s">
        <v>499</v>
      </c>
      <c r="C8" s="1189"/>
      <c r="D8" s="1189"/>
      <c r="E8" s="1188">
        <v>170</v>
      </c>
    </row>
    <row r="9" spans="1:5" ht="12.75">
      <c r="A9" s="218" t="s">
        <v>809</v>
      </c>
      <c r="B9" s="171" t="s">
        <v>500</v>
      </c>
      <c r="C9" s="1191">
        <v>355</v>
      </c>
      <c r="D9" s="1191"/>
      <c r="E9" s="1188"/>
    </row>
    <row r="10" spans="1:5" ht="12.75">
      <c r="A10" s="218" t="s">
        <v>810</v>
      </c>
      <c r="B10" s="171" t="s">
        <v>501</v>
      </c>
      <c r="C10" s="1191">
        <v>96</v>
      </c>
      <c r="D10" s="1191"/>
      <c r="E10" s="1188"/>
    </row>
    <row r="11" spans="1:5" ht="13.5" thickBot="1">
      <c r="A11" s="1077" t="s">
        <v>811</v>
      </c>
      <c r="B11" s="370" t="s">
        <v>502</v>
      </c>
      <c r="C11" s="1193"/>
      <c r="D11" s="1489"/>
      <c r="E11" s="1481">
        <f>SUM(C11:D11)</f>
        <v>0</v>
      </c>
    </row>
    <row r="12" spans="1:5" ht="13.5" thickBot="1">
      <c r="A12" s="825" t="s">
        <v>812</v>
      </c>
      <c r="B12" s="175" t="s">
        <v>117</v>
      </c>
      <c r="C12" s="337">
        <f>SUM(C8:C11)</f>
        <v>451</v>
      </c>
      <c r="D12" s="1095">
        <f>SUM(D8:D11)</f>
        <v>0</v>
      </c>
      <c r="E12" s="197">
        <f>SUM(E8:E11)</f>
        <v>170</v>
      </c>
    </row>
    <row r="13" spans="1:5" s="20" customFormat="1" ht="12.75">
      <c r="A13" s="1076" t="s">
        <v>813</v>
      </c>
      <c r="B13" s="174" t="s">
        <v>512</v>
      </c>
      <c r="C13" s="339"/>
      <c r="D13" s="323"/>
      <c r="E13" s="196"/>
    </row>
    <row r="14" spans="1:5" s="20" customFormat="1" ht="12.75">
      <c r="A14" s="218" t="s">
        <v>814</v>
      </c>
      <c r="B14" s="371" t="s">
        <v>513</v>
      </c>
      <c r="C14" s="340">
        <f>'19 21_sz_ melléklet'!C79</f>
        <v>1659</v>
      </c>
      <c r="D14" s="311">
        <v>0</v>
      </c>
      <c r="E14" s="355">
        <v>0</v>
      </c>
    </row>
    <row r="15" spans="1:5" ht="12.75">
      <c r="A15" s="218" t="s">
        <v>815</v>
      </c>
      <c r="B15" s="372" t="s">
        <v>66</v>
      </c>
      <c r="C15" s="341"/>
      <c r="D15" s="310"/>
      <c r="E15" s="355">
        <f>D15+C15</f>
        <v>0</v>
      </c>
    </row>
    <row r="16" spans="1:5" ht="12.75">
      <c r="A16" s="218" t="s">
        <v>816</v>
      </c>
      <c r="B16" s="372" t="s">
        <v>516</v>
      </c>
      <c r="C16" s="341"/>
      <c r="D16" s="310">
        <f>'[1]15_16_sz_ melléklet'!C48</f>
        <v>0</v>
      </c>
      <c r="E16" s="355">
        <f>D16+C16</f>
        <v>0</v>
      </c>
    </row>
    <row r="17" spans="1:5" ht="12.75">
      <c r="A17" s="218" t="s">
        <v>817</v>
      </c>
      <c r="B17" s="373" t="s">
        <v>514</v>
      </c>
      <c r="C17" s="342"/>
      <c r="D17" s="322"/>
      <c r="E17" s="355">
        <f>D17+C17</f>
        <v>0</v>
      </c>
    </row>
    <row r="18" spans="1:5" ht="13.5" thickBot="1">
      <c r="A18" s="1077" t="s">
        <v>818</v>
      </c>
      <c r="B18" s="374" t="s">
        <v>517</v>
      </c>
      <c r="C18" s="343"/>
      <c r="D18" s="325"/>
      <c r="E18" s="355">
        <f>D18+C18</f>
        <v>0</v>
      </c>
    </row>
    <row r="19" spans="1:5" ht="13.5" thickBot="1">
      <c r="A19" s="825" t="s">
        <v>819</v>
      </c>
      <c r="B19" s="173" t="s">
        <v>515</v>
      </c>
      <c r="C19" s="344">
        <f>C14+C16+C17+C18</f>
        <v>1659</v>
      </c>
      <c r="D19" s="326">
        <f>D14+D16+D17+D18</f>
        <v>0</v>
      </c>
      <c r="E19" s="197">
        <f>E14+E16+E17+E18</f>
        <v>0</v>
      </c>
    </row>
    <row r="20" spans="1:5" ht="6.75" customHeight="1" thickBot="1">
      <c r="A20" s="825"/>
      <c r="B20" s="375"/>
      <c r="C20" s="336"/>
      <c r="D20" s="308"/>
      <c r="E20" s="198"/>
    </row>
    <row r="21" spans="1:5" ht="15.75" customHeight="1" thickBot="1">
      <c r="A21" s="825" t="s">
        <v>820</v>
      </c>
      <c r="B21" s="329" t="s">
        <v>524</v>
      </c>
      <c r="C21" s="348">
        <f>C25+C30</f>
        <v>0</v>
      </c>
      <c r="D21" s="330">
        <f>D25+D30</f>
        <v>0</v>
      </c>
      <c r="E21" s="192">
        <f>SUM(C21:D21)</f>
        <v>0</v>
      </c>
    </row>
    <row r="22" spans="1:5" ht="12.75">
      <c r="A22" s="1076" t="s">
        <v>821</v>
      </c>
      <c r="B22" s="174" t="s">
        <v>518</v>
      </c>
      <c r="C22" s="345"/>
      <c r="D22" s="321"/>
      <c r="E22" s="356"/>
    </row>
    <row r="23" spans="1:5" s="20" customFormat="1" ht="12.75">
      <c r="A23" s="218" t="s">
        <v>822</v>
      </c>
      <c r="B23" s="171" t="s">
        <v>519</v>
      </c>
      <c r="C23" s="334"/>
      <c r="D23" s="36"/>
      <c r="E23" s="219">
        <f>C23+D23</f>
        <v>0</v>
      </c>
    </row>
    <row r="24" spans="1:5" ht="13.5" thickBot="1">
      <c r="A24" s="1077" t="s">
        <v>823</v>
      </c>
      <c r="B24" s="376" t="s">
        <v>526</v>
      </c>
      <c r="C24" s="346"/>
      <c r="D24" s="313"/>
      <c r="E24" s="357">
        <f>C24+D24</f>
        <v>0</v>
      </c>
    </row>
    <row r="25" spans="1:5" ht="13.5" thickBot="1">
      <c r="A25" s="825" t="s">
        <v>824</v>
      </c>
      <c r="B25" s="329" t="s">
        <v>527</v>
      </c>
      <c r="C25" s="348">
        <f>C23+C24</f>
        <v>0</v>
      </c>
      <c r="D25" s="330">
        <f>D23+D24</f>
        <v>0</v>
      </c>
      <c r="E25" s="192">
        <f>C25+D25</f>
        <v>0</v>
      </c>
    </row>
    <row r="26" spans="1:5" ht="12.75">
      <c r="A26" s="1076" t="s">
        <v>826</v>
      </c>
      <c r="B26" s="174" t="s">
        <v>520</v>
      </c>
      <c r="C26" s="336"/>
      <c r="D26" s="308"/>
      <c r="E26" s="198"/>
    </row>
    <row r="27" spans="1:5" ht="12.75">
      <c r="A27" s="218" t="s">
        <v>827</v>
      </c>
      <c r="B27" s="171" t="s">
        <v>521</v>
      </c>
      <c r="C27" s="346">
        <f>SUM(C23:C26)</f>
        <v>0</v>
      </c>
      <c r="D27" s="324">
        <f>SUM(D23:D26)</f>
        <v>0</v>
      </c>
      <c r="E27" s="190">
        <f>SUM(E23:E26)</f>
        <v>0</v>
      </c>
    </row>
    <row r="28" spans="1:5" ht="12.75">
      <c r="A28" s="218" t="s">
        <v>828</v>
      </c>
      <c r="B28" s="372" t="s">
        <v>522</v>
      </c>
      <c r="C28" s="349"/>
      <c r="D28" s="327"/>
      <c r="E28" s="190">
        <f>SUM(E24:E27)</f>
        <v>0</v>
      </c>
    </row>
    <row r="29" spans="1:5" ht="13.5" thickBot="1">
      <c r="A29" s="1077" t="s">
        <v>829</v>
      </c>
      <c r="B29" s="374" t="s">
        <v>523</v>
      </c>
      <c r="C29" s="336"/>
      <c r="D29" s="308"/>
      <c r="E29" s="190">
        <f>SUM(E25:E28)</f>
        <v>0</v>
      </c>
    </row>
    <row r="30" spans="1:5" ht="13.5" thickBot="1">
      <c r="A30" s="825" t="s">
        <v>830</v>
      </c>
      <c r="B30" s="173" t="s">
        <v>525</v>
      </c>
      <c r="C30" s="344">
        <f>C27+C28+C29</f>
        <v>0</v>
      </c>
      <c r="D30" s="326">
        <f>D27+D28+D29</f>
        <v>0</v>
      </c>
      <c r="E30" s="197">
        <f>SUM(C30:D30)</f>
        <v>0</v>
      </c>
    </row>
    <row r="31" spans="1:5" ht="6" customHeight="1" thickBot="1">
      <c r="A31" s="825"/>
      <c r="B31" s="375"/>
      <c r="C31" s="336"/>
      <c r="D31" s="314"/>
      <c r="E31" s="198"/>
    </row>
    <row r="32" spans="1:5" ht="24" customHeight="1" thickBot="1">
      <c r="A32" s="825" t="s">
        <v>831</v>
      </c>
      <c r="B32" s="363" t="s">
        <v>528</v>
      </c>
      <c r="C32" s="348"/>
      <c r="D32" s="364"/>
      <c r="E32" s="192">
        <f>D32+C32</f>
        <v>0</v>
      </c>
    </row>
    <row r="33" spans="1:5" ht="6" customHeight="1" thickBot="1">
      <c r="A33" s="825"/>
      <c r="B33" s="172"/>
      <c r="C33" s="336"/>
      <c r="D33" s="308"/>
      <c r="E33" s="198"/>
    </row>
    <row r="34" spans="1:5" ht="19.5" customHeight="1" thickBot="1">
      <c r="A34" s="825" t="s">
        <v>832</v>
      </c>
      <c r="B34" s="173" t="s">
        <v>529</v>
      </c>
      <c r="C34" s="348">
        <f>C35</f>
        <v>0</v>
      </c>
      <c r="D34" s="348">
        <f>D35</f>
        <v>0</v>
      </c>
      <c r="E34" s="192">
        <f>SUM(C34:D34)</f>
        <v>0</v>
      </c>
    </row>
    <row r="35" spans="1:5" ht="12.75">
      <c r="A35" s="1076" t="s">
        <v>833</v>
      </c>
      <c r="B35" s="641" t="s">
        <v>531</v>
      </c>
      <c r="C35" s="365"/>
      <c r="D35" s="366"/>
      <c r="E35" s="367">
        <f>C35+D35</f>
        <v>0</v>
      </c>
    </row>
    <row r="36" spans="1:5" ht="4.5" customHeight="1" thickBot="1">
      <c r="A36" s="1168"/>
      <c r="B36" s="642"/>
      <c r="C36" s="336"/>
      <c r="D36" s="314"/>
      <c r="E36" s="358"/>
    </row>
    <row r="37" spans="1:5" ht="27" customHeight="1" thickBot="1">
      <c r="A37" s="825" t="s">
        <v>834</v>
      </c>
      <c r="B37" s="954" t="s">
        <v>530</v>
      </c>
      <c r="C37" s="344">
        <f>C6+C21+C32+C34</f>
        <v>2110</v>
      </c>
      <c r="D37" s="344">
        <f>D6+D21+D32+D34</f>
        <v>0</v>
      </c>
      <c r="E37" s="197">
        <f>E6+E21+E32+E34</f>
        <v>170</v>
      </c>
    </row>
    <row r="38" spans="1:5" ht="4.5" customHeight="1" thickBot="1">
      <c r="A38" s="1169"/>
      <c r="B38" s="178"/>
      <c r="C38" s="351"/>
      <c r="D38" s="312"/>
      <c r="E38" s="359"/>
    </row>
    <row r="39" spans="1:5" ht="25.5" customHeight="1" thickBot="1">
      <c r="A39" s="216" t="s">
        <v>835</v>
      </c>
      <c r="B39" s="1201" t="s">
        <v>557</v>
      </c>
      <c r="C39" s="1170">
        <f>C43+C40</f>
        <v>0</v>
      </c>
      <c r="D39" s="1202">
        <f>D43+D40</f>
        <v>0</v>
      </c>
      <c r="E39" s="1202">
        <f>E43+E40</f>
        <v>0</v>
      </c>
    </row>
    <row r="40" spans="1:5" ht="12.75" customHeight="1">
      <c r="A40" s="1076" t="s">
        <v>836</v>
      </c>
      <c r="B40" s="1203" t="s">
        <v>1035</v>
      </c>
      <c r="C40" s="446">
        <f>C41+C42</f>
        <v>0</v>
      </c>
      <c r="D40" s="194">
        <f>D41+D42</f>
        <v>0</v>
      </c>
      <c r="E40" s="194">
        <f>E41+E42</f>
        <v>0</v>
      </c>
    </row>
    <row r="41" spans="1:5" ht="12.75" customHeight="1">
      <c r="A41" s="218" t="s">
        <v>837</v>
      </c>
      <c r="B41" s="171" t="s">
        <v>532</v>
      </c>
      <c r="C41" s="446"/>
      <c r="D41" s="194"/>
      <c r="E41" s="194"/>
    </row>
    <row r="42" spans="1:5" ht="12.75" customHeight="1">
      <c r="A42" s="218" t="s">
        <v>838</v>
      </c>
      <c r="B42" s="171" t="s">
        <v>533</v>
      </c>
      <c r="C42" s="446"/>
      <c r="D42" s="194"/>
      <c r="E42" s="194"/>
    </row>
    <row r="43" spans="1:5" ht="16.5" customHeight="1">
      <c r="A43" s="218" t="s">
        <v>839</v>
      </c>
      <c r="B43" s="378" t="s">
        <v>1036</v>
      </c>
      <c r="C43" s="340">
        <f>C44+C45</f>
        <v>0</v>
      </c>
      <c r="D43" s="355">
        <f>D44+D45</f>
        <v>0</v>
      </c>
      <c r="E43" s="355">
        <f>SUM(C43:D43)</f>
        <v>0</v>
      </c>
    </row>
    <row r="44" spans="1:5" ht="12.75">
      <c r="A44" s="218" t="s">
        <v>840</v>
      </c>
      <c r="B44" s="171" t="s">
        <v>532</v>
      </c>
      <c r="C44" s="334">
        <v>0</v>
      </c>
      <c r="D44" s="219">
        <v>0</v>
      </c>
      <c r="E44" s="219">
        <f>SUM(C44:D44)</f>
        <v>0</v>
      </c>
    </row>
    <row r="45" spans="1:5" ht="13.5" thickBot="1">
      <c r="A45" s="1169" t="s">
        <v>841</v>
      </c>
      <c r="B45" s="541" t="s">
        <v>533</v>
      </c>
      <c r="C45" s="334">
        <v>0</v>
      </c>
      <c r="D45" s="219">
        <v>0</v>
      </c>
      <c r="E45" s="219">
        <f>SUM(C45:D45)</f>
        <v>0</v>
      </c>
    </row>
    <row r="46" spans="1:5" ht="4.5" customHeight="1" thickBot="1">
      <c r="A46" s="217"/>
      <c r="B46" s="178"/>
      <c r="C46" s="1002"/>
      <c r="D46" s="510"/>
      <c r="E46" s="510"/>
    </row>
    <row r="47" spans="1:5" ht="25.5" customHeight="1" thickBot="1">
      <c r="A47" s="216" t="s">
        <v>842</v>
      </c>
      <c r="B47" s="1171" t="s">
        <v>534</v>
      </c>
      <c r="C47" s="439">
        <f>C48+C52</f>
        <v>0</v>
      </c>
      <c r="D47" s="353">
        <f>D48+D52</f>
        <v>0</v>
      </c>
      <c r="E47" s="197">
        <f>SUM(C47:D47)</f>
        <v>0</v>
      </c>
    </row>
    <row r="48" spans="1:5" ht="13.5" thickBot="1">
      <c r="A48" s="216" t="s">
        <v>843</v>
      </c>
      <c r="B48" s="1172" t="s">
        <v>1037</v>
      </c>
      <c r="C48" s="1173">
        <f>C49+C50</f>
        <v>0</v>
      </c>
      <c r="D48" s="1174">
        <f>D49+D50</f>
        <v>0</v>
      </c>
      <c r="E48" s="196">
        <f>SUM(C48:D48)</f>
        <v>0</v>
      </c>
    </row>
    <row r="49" spans="1:5" ht="12.75">
      <c r="A49" s="1076" t="s">
        <v>844</v>
      </c>
      <c r="B49" s="200" t="s">
        <v>535</v>
      </c>
      <c r="C49" s="1175"/>
      <c r="D49" s="1176"/>
      <c r="E49" s="194">
        <f>D49+C49</f>
        <v>0</v>
      </c>
    </row>
    <row r="50" spans="1:5" ht="13.5" thickBot="1">
      <c r="A50" s="217" t="s">
        <v>845</v>
      </c>
      <c r="B50" s="200" t="s">
        <v>536</v>
      </c>
      <c r="C50" s="1178"/>
      <c r="D50" s="1179"/>
      <c r="E50" s="191">
        <f>D50+C50</f>
        <v>0</v>
      </c>
    </row>
    <row r="51" spans="1:5" ht="3.75" customHeight="1" thickBot="1">
      <c r="A51" s="216"/>
      <c r="B51" s="224"/>
      <c r="C51" s="144"/>
      <c r="D51" s="353"/>
      <c r="E51" s="197"/>
    </row>
    <row r="52" spans="1:5" ht="14.25" customHeight="1">
      <c r="A52" s="1076" t="s">
        <v>846</v>
      </c>
      <c r="B52" s="1177" t="s">
        <v>1038</v>
      </c>
      <c r="C52" s="1173">
        <f>C53+C54</f>
        <v>0</v>
      </c>
      <c r="D52" s="1174">
        <f>D53+D54</f>
        <v>0</v>
      </c>
      <c r="E52" s="196">
        <f>SUM(C52:D52)</f>
        <v>0</v>
      </c>
    </row>
    <row r="53" spans="1:5" ht="12.75">
      <c r="A53" s="218" t="s">
        <v>847</v>
      </c>
      <c r="B53" s="200" t="s">
        <v>537</v>
      </c>
      <c r="C53" s="1175"/>
      <c r="D53" s="1176"/>
      <c r="E53" s="194">
        <f>D53+C53</f>
        <v>0</v>
      </c>
    </row>
    <row r="54" spans="1:5" ht="13.5" thickBot="1">
      <c r="A54" s="217" t="s">
        <v>848</v>
      </c>
      <c r="B54" s="200" t="s">
        <v>538</v>
      </c>
      <c r="C54" s="1175"/>
      <c r="D54" s="1176"/>
      <c r="E54" s="194">
        <f>D54+C54</f>
        <v>0</v>
      </c>
    </row>
    <row r="55" spans="1:5" ht="5.25" customHeight="1" thickBot="1">
      <c r="A55" s="216"/>
      <c r="B55" s="1123"/>
      <c r="C55" s="1178"/>
      <c r="D55" s="1179"/>
      <c r="E55" s="191"/>
    </row>
    <row r="56" spans="1:5" ht="14.25" customHeight="1" thickBot="1">
      <c r="A56" s="216" t="s">
        <v>849</v>
      </c>
      <c r="B56" s="1180" t="s">
        <v>539</v>
      </c>
      <c r="C56" s="144"/>
      <c r="D56" s="353">
        <f>5_sz_melléklet!D165-'31_sz_ melléklet'!E96</f>
        <v>684475</v>
      </c>
      <c r="E56" s="197">
        <v>0</v>
      </c>
    </row>
    <row r="57" spans="1:5" ht="3" customHeight="1" thickBot="1">
      <c r="A57" s="216"/>
      <c r="B57" s="1181"/>
      <c r="C57" s="1110"/>
      <c r="D57" s="1182"/>
      <c r="E57" s="1186"/>
    </row>
    <row r="58" spans="1:5" ht="16.5" customHeight="1" thickBot="1">
      <c r="A58" s="1077" t="s">
        <v>869</v>
      </c>
      <c r="B58" s="1183" t="s">
        <v>540</v>
      </c>
      <c r="C58" s="1184">
        <f>C37+C39+C47+C56</f>
        <v>2110</v>
      </c>
      <c r="D58" s="1127">
        <f>D37+D39+D47+D56</f>
        <v>684475</v>
      </c>
      <c r="E58" s="197">
        <f>E37+E39+E47+E56</f>
        <v>170</v>
      </c>
    </row>
    <row r="59" spans="1:5" ht="11.25" customHeight="1">
      <c r="A59" s="1595">
        <v>2</v>
      </c>
      <c r="B59" s="1545"/>
      <c r="C59" s="1545"/>
      <c r="D59" s="1545"/>
      <c r="E59" s="1545"/>
    </row>
    <row r="60" spans="1:5" ht="14.25" customHeight="1">
      <c r="A60" s="710" t="s">
        <v>1362</v>
      </c>
      <c r="B60" s="710"/>
      <c r="C60" s="710"/>
      <c r="D60" s="710"/>
      <c r="E60" s="710"/>
    </row>
    <row r="61" spans="2:5" ht="15.75">
      <c r="B61" s="1566" t="s">
        <v>1054</v>
      </c>
      <c r="C61" s="1566"/>
      <c r="D61" s="1566"/>
      <c r="E61" s="1566"/>
    </row>
    <row r="62" spans="2:5" ht="13.5" thickBot="1">
      <c r="B62" s="1"/>
      <c r="C62" s="1"/>
      <c r="D62" s="46"/>
      <c r="E62" s="46" t="s">
        <v>9</v>
      </c>
    </row>
    <row r="63" spans="1:5" ht="24.75" customHeight="1" thickBot="1">
      <c r="A63" s="1162" t="s">
        <v>801</v>
      </c>
      <c r="B63" s="1163" t="s">
        <v>91</v>
      </c>
      <c r="C63" s="574" t="s">
        <v>1445</v>
      </c>
      <c r="D63" s="575" t="s">
        <v>1447</v>
      </c>
      <c r="E63" s="576" t="s">
        <v>1056</v>
      </c>
    </row>
    <row r="64" spans="1:5" ht="12" customHeight="1" thickBot="1">
      <c r="A64" s="699" t="s">
        <v>802</v>
      </c>
      <c r="B64" s="1492" t="s">
        <v>803</v>
      </c>
      <c r="C64" s="1493" t="s">
        <v>804</v>
      </c>
      <c r="D64" s="1494" t="s">
        <v>805</v>
      </c>
      <c r="E64" s="1494" t="s">
        <v>825</v>
      </c>
    </row>
    <row r="65" spans="1:5" ht="16.5" customHeight="1" thickBot="1">
      <c r="A65" s="825" t="s">
        <v>806</v>
      </c>
      <c r="B65" s="1166" t="s">
        <v>511</v>
      </c>
      <c r="C65" s="1185">
        <f>C71+C78</f>
        <v>300</v>
      </c>
      <c r="D65" s="1185">
        <f>D71+D78</f>
        <v>38</v>
      </c>
      <c r="E65" s="1497">
        <f>C6+D6+E6+C65+D65</f>
        <v>2618</v>
      </c>
    </row>
    <row r="66" spans="1:5" ht="12" customHeight="1">
      <c r="A66" s="1076" t="s">
        <v>807</v>
      </c>
      <c r="B66" s="369" t="s">
        <v>503</v>
      </c>
      <c r="C66" s="1187"/>
      <c r="D66" s="1188"/>
      <c r="E66" s="1188"/>
    </row>
    <row r="67" spans="1:5" ht="12.75">
      <c r="A67" s="218" t="s">
        <v>808</v>
      </c>
      <c r="B67" s="179" t="s">
        <v>499</v>
      </c>
      <c r="C67" s="1189"/>
      <c r="D67" s="1190"/>
      <c r="E67" s="1490">
        <f>C8+D8+E8+C67+D67</f>
        <v>170</v>
      </c>
    </row>
    <row r="68" spans="1:5" ht="12.75">
      <c r="A68" s="218" t="s">
        <v>809</v>
      </c>
      <c r="B68" s="171" t="s">
        <v>500</v>
      </c>
      <c r="C68" s="1191">
        <v>240</v>
      </c>
      <c r="D68" s="1192">
        <v>30</v>
      </c>
      <c r="E68" s="1490">
        <f>C9+D9+E9+C68+D68</f>
        <v>625</v>
      </c>
    </row>
    <row r="69" spans="1:5" ht="12.75">
      <c r="A69" s="218" t="s">
        <v>810</v>
      </c>
      <c r="B69" s="171" t="s">
        <v>501</v>
      </c>
      <c r="C69" s="1191">
        <v>60</v>
      </c>
      <c r="D69" s="1192">
        <v>8</v>
      </c>
      <c r="E69" s="1490">
        <f>C10+D10+E10+C69+D69</f>
        <v>164</v>
      </c>
    </row>
    <row r="70" spans="1:5" ht="12" customHeight="1" thickBot="1">
      <c r="A70" s="1077" t="s">
        <v>811</v>
      </c>
      <c r="B70" s="370" t="s">
        <v>502</v>
      </c>
      <c r="C70" s="1193"/>
      <c r="D70" s="1194"/>
      <c r="E70" s="1490">
        <f>C11+D11+E11+C70+D70</f>
        <v>0</v>
      </c>
    </row>
    <row r="71" spans="1:5" ht="12.75" customHeight="1" thickBot="1">
      <c r="A71" s="825" t="s">
        <v>812</v>
      </c>
      <c r="B71" s="175" t="s">
        <v>117</v>
      </c>
      <c r="C71" s="337">
        <f>SUM(C67:C70)</f>
        <v>300</v>
      </c>
      <c r="D71" s="1095">
        <f>SUM(D67:D70)</f>
        <v>38</v>
      </c>
      <c r="E71" s="354">
        <f>D71+C71+E12+D12+C12</f>
        <v>959</v>
      </c>
    </row>
    <row r="72" spans="1:5" ht="12.75">
      <c r="A72" s="1076" t="s">
        <v>813</v>
      </c>
      <c r="B72" s="174" t="s">
        <v>512</v>
      </c>
      <c r="C72" s="339"/>
      <c r="D72" s="323"/>
      <c r="E72" s="194"/>
    </row>
    <row r="73" spans="1:5" ht="12.75">
      <c r="A73" s="218" t="s">
        <v>814</v>
      </c>
      <c r="B73" s="371" t="s">
        <v>513</v>
      </c>
      <c r="C73" s="340">
        <f>'19 21_sz_ melléklet'!C140</f>
        <v>0</v>
      </c>
      <c r="D73" s="311">
        <v>0</v>
      </c>
      <c r="E73" s="1490">
        <f aca="true" t="shared" si="0" ref="E73:E78">C14+D14+E14+C73+D73</f>
        <v>1659</v>
      </c>
    </row>
    <row r="74" spans="1:5" ht="12.75">
      <c r="A74" s="218" t="s">
        <v>815</v>
      </c>
      <c r="B74" s="372" t="s">
        <v>66</v>
      </c>
      <c r="C74" s="341"/>
      <c r="D74" s="310"/>
      <c r="E74" s="1490">
        <f t="shared" si="0"/>
        <v>0</v>
      </c>
    </row>
    <row r="75" spans="1:5" ht="12.75">
      <c r="A75" s="218" t="s">
        <v>816</v>
      </c>
      <c r="B75" s="372" t="s">
        <v>516</v>
      </c>
      <c r="C75" s="341"/>
      <c r="D75" s="310">
        <v>0</v>
      </c>
      <c r="E75" s="1490">
        <f t="shared" si="0"/>
        <v>0</v>
      </c>
    </row>
    <row r="76" spans="1:5" ht="12.75">
      <c r="A76" s="218" t="s">
        <v>817</v>
      </c>
      <c r="B76" s="373" t="s">
        <v>514</v>
      </c>
      <c r="C76" s="342"/>
      <c r="D76" s="322"/>
      <c r="E76" s="1490">
        <f t="shared" si="0"/>
        <v>0</v>
      </c>
    </row>
    <row r="77" spans="1:5" ht="13.5" thickBot="1">
      <c r="A77" s="1077" t="s">
        <v>818</v>
      </c>
      <c r="B77" s="374" t="s">
        <v>517</v>
      </c>
      <c r="C77" s="343"/>
      <c r="D77" s="325"/>
      <c r="E77" s="1495">
        <f t="shared" si="0"/>
        <v>0</v>
      </c>
    </row>
    <row r="78" spans="1:5" ht="13.5" thickBot="1">
      <c r="A78" s="825" t="s">
        <v>819</v>
      </c>
      <c r="B78" s="173" t="s">
        <v>515</v>
      </c>
      <c r="C78" s="344">
        <f>C73+C75+C76+C77</f>
        <v>0</v>
      </c>
      <c r="D78" s="326">
        <f>D73+D75+D76+D77</f>
        <v>0</v>
      </c>
      <c r="E78" s="1496">
        <f t="shared" si="0"/>
        <v>1659</v>
      </c>
    </row>
    <row r="79" spans="1:5" ht="5.25" customHeight="1" thickBot="1">
      <c r="A79" s="825"/>
      <c r="B79" s="375"/>
      <c r="C79" s="336"/>
      <c r="D79" s="308"/>
      <c r="E79" s="198"/>
    </row>
    <row r="80" spans="1:5" ht="13.5" thickBot="1">
      <c r="A80" s="825" t="s">
        <v>820</v>
      </c>
      <c r="B80" s="329" t="s">
        <v>524</v>
      </c>
      <c r="C80" s="348">
        <f>C84+C89</f>
        <v>0</v>
      </c>
      <c r="D80" s="330">
        <f>D84+D89</f>
        <v>0</v>
      </c>
      <c r="E80" s="192">
        <f>SUM(C80:D80)</f>
        <v>0</v>
      </c>
    </row>
    <row r="81" spans="1:5" ht="15.75" customHeight="1">
      <c r="A81" s="1076" t="s">
        <v>821</v>
      </c>
      <c r="B81" s="174" t="s">
        <v>518</v>
      </c>
      <c r="C81" s="345"/>
      <c r="D81" s="321"/>
      <c r="E81" s="356"/>
    </row>
    <row r="82" spans="1:5" ht="12.75">
      <c r="A82" s="218" t="s">
        <v>822</v>
      </c>
      <c r="B82" s="171" t="s">
        <v>519</v>
      </c>
      <c r="C82" s="334"/>
      <c r="D82" s="36"/>
      <c r="E82" s="1490">
        <f>C23+D23+E23+C82+D82</f>
        <v>0</v>
      </c>
    </row>
    <row r="83" spans="1:5" ht="13.5" thickBot="1">
      <c r="A83" s="1077" t="s">
        <v>823</v>
      </c>
      <c r="B83" s="376" t="s">
        <v>526</v>
      </c>
      <c r="C83" s="346"/>
      <c r="D83" s="313"/>
      <c r="E83" s="1490">
        <f>C24+D24+E24+C83+D83</f>
        <v>0</v>
      </c>
    </row>
    <row r="84" spans="1:5" ht="13.5" thickBot="1">
      <c r="A84" s="825" t="s">
        <v>824</v>
      </c>
      <c r="B84" s="329" t="s">
        <v>527</v>
      </c>
      <c r="C84" s="348">
        <f>C82+C83</f>
        <v>0</v>
      </c>
      <c r="D84" s="330">
        <f>D82+D83</f>
        <v>0</v>
      </c>
      <c r="E84" s="192">
        <f>C84+D84</f>
        <v>0</v>
      </c>
    </row>
    <row r="85" spans="1:5" ht="12.75">
      <c r="A85" s="1076" t="s">
        <v>826</v>
      </c>
      <c r="B85" s="174" t="s">
        <v>520</v>
      </c>
      <c r="C85" s="336"/>
      <c r="D85" s="308"/>
      <c r="E85" s="198"/>
    </row>
    <row r="86" spans="1:5" ht="12.75">
      <c r="A86" s="218" t="s">
        <v>827</v>
      </c>
      <c r="B86" s="171" t="s">
        <v>521</v>
      </c>
      <c r="C86" s="346">
        <f>SUM(C82:C85)</f>
        <v>0</v>
      </c>
      <c r="D86" s="324">
        <f>SUM(D82:D85)</f>
        <v>0</v>
      </c>
      <c r="E86" s="1490">
        <f>C27+D27+E27+C86+D86</f>
        <v>0</v>
      </c>
    </row>
    <row r="87" spans="1:5" ht="12.75">
      <c r="A87" s="218" t="s">
        <v>828</v>
      </c>
      <c r="B87" s="372" t="s">
        <v>522</v>
      </c>
      <c r="C87" s="349"/>
      <c r="D87" s="327"/>
      <c r="E87" s="1490">
        <f>C28+D28+E28+C87+D87</f>
        <v>0</v>
      </c>
    </row>
    <row r="88" spans="1:5" ht="13.5" thickBot="1">
      <c r="A88" s="1077" t="s">
        <v>829</v>
      </c>
      <c r="B88" s="374" t="s">
        <v>523</v>
      </c>
      <c r="C88" s="336"/>
      <c r="D88" s="308"/>
      <c r="E88" s="1490">
        <f>C29+D29+E29+C88+D88</f>
        <v>0</v>
      </c>
    </row>
    <row r="89" spans="1:5" ht="13.5" thickBot="1">
      <c r="A89" s="825" t="s">
        <v>830</v>
      </c>
      <c r="B89" s="173" t="s">
        <v>525</v>
      </c>
      <c r="C89" s="344">
        <f>C86+C87+C88</f>
        <v>0</v>
      </c>
      <c r="D89" s="326">
        <f>D86+D87+D88</f>
        <v>0</v>
      </c>
      <c r="E89" s="197">
        <f>E86+E87+E88</f>
        <v>0</v>
      </c>
    </row>
    <row r="90" spans="1:5" ht="2.25" customHeight="1" thickBot="1">
      <c r="A90" s="825"/>
      <c r="B90" s="375"/>
      <c r="C90" s="336"/>
      <c r="D90" s="314"/>
      <c r="E90" s="198"/>
    </row>
    <row r="91" spans="1:5" ht="23.25" customHeight="1" thickBot="1">
      <c r="A91" s="825" t="s">
        <v>831</v>
      </c>
      <c r="B91" s="363" t="s">
        <v>528</v>
      </c>
      <c r="C91" s="348"/>
      <c r="D91" s="364"/>
      <c r="E91" s="1490">
        <f>C32+D32+E32+C91+D91</f>
        <v>0</v>
      </c>
    </row>
    <row r="92" spans="1:5" ht="3.75" customHeight="1" thickBot="1">
      <c r="A92" s="825"/>
      <c r="B92" s="172"/>
      <c r="C92" s="336"/>
      <c r="D92" s="308"/>
      <c r="E92" s="198"/>
    </row>
    <row r="93" spans="1:5" ht="22.5" customHeight="1" thickBot="1">
      <c r="A93" s="825" t="s">
        <v>832</v>
      </c>
      <c r="B93" s="173" t="s">
        <v>529</v>
      </c>
      <c r="C93" s="348">
        <f>C94</f>
        <v>0</v>
      </c>
      <c r="D93" s="348">
        <f>D94</f>
        <v>0</v>
      </c>
      <c r="E93" s="361">
        <f>C34+D34+E34+C93+D93</f>
        <v>0</v>
      </c>
    </row>
    <row r="94" spans="1:5" ht="12.75" customHeight="1">
      <c r="A94" s="1076" t="s">
        <v>833</v>
      </c>
      <c r="B94" s="641" t="s">
        <v>531</v>
      </c>
      <c r="C94" s="365"/>
      <c r="D94" s="366"/>
      <c r="E94" s="1188">
        <f>C35+D35+E35+C94+D94</f>
        <v>0</v>
      </c>
    </row>
    <row r="95" spans="1:5" ht="5.25" customHeight="1" thickBot="1">
      <c r="A95" s="1168"/>
      <c r="B95" s="642"/>
      <c r="C95" s="336"/>
      <c r="D95" s="314"/>
      <c r="E95" s="358"/>
    </row>
    <row r="96" spans="1:5" ht="26.25" thickBot="1">
      <c r="A96" s="825" t="s">
        <v>834</v>
      </c>
      <c r="B96" s="954" t="s">
        <v>530</v>
      </c>
      <c r="C96" s="344">
        <f>C65+C80+C91+C93</f>
        <v>300</v>
      </c>
      <c r="D96" s="344">
        <f>D65+D80+D91+D93</f>
        <v>38</v>
      </c>
      <c r="E96" s="1504">
        <f>C37+D37+E37+C96+D96</f>
        <v>2618</v>
      </c>
    </row>
    <row r="97" spans="1:5" ht="2.25" customHeight="1" thickBot="1">
      <c r="A97" s="1169"/>
      <c r="B97" s="178"/>
      <c r="C97" s="351"/>
      <c r="D97" s="312"/>
      <c r="E97" s="359"/>
    </row>
    <row r="98" spans="1:5" ht="32.25" customHeight="1">
      <c r="A98" s="1076" t="s">
        <v>835</v>
      </c>
      <c r="B98" s="1702" t="s">
        <v>557</v>
      </c>
      <c r="C98" s="1701">
        <f>C102+C99</f>
        <v>0</v>
      </c>
      <c r="D98" s="1202">
        <f>D102+D99</f>
        <v>0</v>
      </c>
      <c r="E98" s="1490">
        <f>C39+D39+E39+C98+D98</f>
        <v>0</v>
      </c>
    </row>
    <row r="99" spans="1:5" ht="12" customHeight="1">
      <c r="A99" s="1706" t="s">
        <v>836</v>
      </c>
      <c r="B99" s="1703" t="s">
        <v>1035</v>
      </c>
      <c r="C99" s="1176">
        <f>C100+C101</f>
        <v>0</v>
      </c>
      <c r="D99" s="194">
        <f>D100+D101</f>
        <v>0</v>
      </c>
      <c r="E99" s="1490">
        <f>C40+D40+E40+C99+D99</f>
        <v>0</v>
      </c>
    </row>
    <row r="100" spans="1:5" ht="15" customHeight="1">
      <c r="A100" s="218" t="s">
        <v>837</v>
      </c>
      <c r="B100" s="639" t="s">
        <v>532</v>
      </c>
      <c r="C100" s="1176"/>
      <c r="D100" s="194"/>
      <c r="E100" s="194"/>
    </row>
    <row r="101" spans="1:5" ht="12.75">
      <c r="A101" s="218" t="s">
        <v>838</v>
      </c>
      <c r="B101" s="639" t="s">
        <v>533</v>
      </c>
      <c r="C101" s="1176"/>
      <c r="D101" s="194"/>
      <c r="E101" s="1490">
        <f>C42+D42+E42+C101+D101</f>
        <v>0</v>
      </c>
    </row>
    <row r="102" spans="1:5" ht="12.75">
      <c r="A102" s="218" t="s">
        <v>839</v>
      </c>
      <c r="B102" s="1704" t="s">
        <v>1036</v>
      </c>
      <c r="C102" s="32">
        <f>C103+C104</f>
        <v>0</v>
      </c>
      <c r="D102" s="355">
        <f>D103+D104</f>
        <v>0</v>
      </c>
      <c r="E102" s="355">
        <f>SUM(C102:D102)</f>
        <v>0</v>
      </c>
    </row>
    <row r="103" spans="1:5" ht="12.75">
      <c r="A103" s="218" t="s">
        <v>840</v>
      </c>
      <c r="B103" s="639" t="s">
        <v>532</v>
      </c>
      <c r="C103" s="34">
        <v>0</v>
      </c>
      <c r="D103" s="219">
        <v>0</v>
      </c>
      <c r="E103" s="1490">
        <f>C44+D44+E44+C103+D103</f>
        <v>0</v>
      </c>
    </row>
    <row r="104" spans="1:5" ht="12.75" customHeight="1" thickBot="1">
      <c r="A104" s="1169" t="s">
        <v>841</v>
      </c>
      <c r="B104" s="1705" t="s">
        <v>533</v>
      </c>
      <c r="C104" s="34">
        <v>0</v>
      </c>
      <c r="D104" s="219">
        <v>0</v>
      </c>
      <c r="E104" s="1490">
        <f>C45+D45+E45+C104+D104</f>
        <v>0</v>
      </c>
    </row>
    <row r="105" spans="1:5" ht="6" customHeight="1" thickBot="1">
      <c r="A105" s="217"/>
      <c r="B105" s="178"/>
      <c r="C105" s="1002"/>
      <c r="D105" s="510"/>
      <c r="E105" s="510"/>
    </row>
    <row r="106" spans="1:5" ht="21.75" thickBot="1">
      <c r="A106" s="216" t="s">
        <v>842</v>
      </c>
      <c r="B106" s="1171" t="s">
        <v>534</v>
      </c>
      <c r="C106" s="439">
        <f>C107+C111</f>
        <v>0</v>
      </c>
      <c r="D106" s="353">
        <f>D107+D111</f>
        <v>0</v>
      </c>
      <c r="E106" s="197">
        <f>SUM(C106:D106)</f>
        <v>0</v>
      </c>
    </row>
    <row r="107" spans="1:5" ht="12.75">
      <c r="A107" s="1076" t="s">
        <v>843</v>
      </c>
      <c r="B107" s="1172" t="s">
        <v>1037</v>
      </c>
      <c r="C107" s="1173">
        <f>C108+C109</f>
        <v>0</v>
      </c>
      <c r="D107" s="1174">
        <f>D108+D109</f>
        <v>0</v>
      </c>
      <c r="E107" s="196">
        <f>SUM(C107:D107)</f>
        <v>0</v>
      </c>
    </row>
    <row r="108" spans="1:5" ht="12.75">
      <c r="A108" s="1706" t="s">
        <v>844</v>
      </c>
      <c r="B108" s="200" t="s">
        <v>535</v>
      </c>
      <c r="C108" s="1175"/>
      <c r="D108" s="1176"/>
      <c r="E108" s="1490">
        <f>C49+D49+E49+C108+D108</f>
        <v>0</v>
      </c>
    </row>
    <row r="109" spans="1:5" ht="15.75" customHeight="1" thickBot="1">
      <c r="A109" s="217" t="s">
        <v>845</v>
      </c>
      <c r="B109" s="452" t="s">
        <v>536</v>
      </c>
      <c r="C109" s="1178"/>
      <c r="D109" s="1179"/>
      <c r="E109" s="1490">
        <f>C50+D50+E50+C109+D109</f>
        <v>0</v>
      </c>
    </row>
    <row r="110" spans="1:5" ht="3.75" customHeight="1" thickBot="1">
      <c r="A110" s="216"/>
      <c r="B110" s="214"/>
      <c r="C110" s="1491"/>
      <c r="D110" s="353"/>
      <c r="E110" s="197"/>
    </row>
    <row r="111" spans="1:5" ht="12.75">
      <c r="A111" s="1076" t="s">
        <v>846</v>
      </c>
      <c r="B111" s="1172" t="s">
        <v>1038</v>
      </c>
      <c r="C111" s="1173">
        <f>C112+C113</f>
        <v>0</v>
      </c>
      <c r="D111" s="1174">
        <f>D112+D113</f>
        <v>0</v>
      </c>
      <c r="E111" s="196">
        <f>SUM(C111:D111)</f>
        <v>0</v>
      </c>
    </row>
    <row r="112" spans="1:5" ht="12.75">
      <c r="A112" s="218" t="s">
        <v>847</v>
      </c>
      <c r="B112" s="200" t="s">
        <v>537</v>
      </c>
      <c r="C112" s="1175"/>
      <c r="D112" s="1176"/>
      <c r="E112" s="1490">
        <f>C53+D53+E53+C112+D112</f>
        <v>0</v>
      </c>
    </row>
    <row r="113" spans="1:5" ht="14.25" customHeight="1">
      <c r="A113" s="218" t="s">
        <v>848</v>
      </c>
      <c r="B113" s="200" t="s">
        <v>538</v>
      </c>
      <c r="C113" s="1175"/>
      <c r="D113" s="1176"/>
      <c r="E113" s="1490">
        <f>C54+D54+E54+C113+D113</f>
        <v>0</v>
      </c>
    </row>
    <row r="114" spans="1:5" ht="2.25" customHeight="1" thickBot="1">
      <c r="A114" s="217"/>
      <c r="B114" s="1123"/>
      <c r="C114" s="1178"/>
      <c r="D114" s="1179"/>
      <c r="E114" s="191"/>
    </row>
    <row r="115" spans="1:5" ht="18" customHeight="1" thickBot="1">
      <c r="A115" s="216" t="s">
        <v>849</v>
      </c>
      <c r="B115" s="1180" t="s">
        <v>539</v>
      </c>
      <c r="C115" s="144"/>
      <c r="D115" s="353">
        <v>0</v>
      </c>
      <c r="E115" s="361">
        <f>C56+D56+E56+C115+D115</f>
        <v>684475</v>
      </c>
    </row>
    <row r="116" spans="1:5" ht="4.5" customHeight="1" thickBot="1">
      <c r="A116" s="216"/>
      <c r="B116" s="1181"/>
      <c r="C116" s="1110"/>
      <c r="D116" s="1182"/>
      <c r="E116" s="1186"/>
    </row>
    <row r="117" spans="1:5" ht="13.5" thickBot="1">
      <c r="A117" s="1077" t="s">
        <v>869</v>
      </c>
      <c r="B117" s="1183" t="s">
        <v>540</v>
      </c>
      <c r="C117" s="1184">
        <f>C96+C98+C106+C115</f>
        <v>300</v>
      </c>
      <c r="D117" s="1127">
        <f>D96+D98+D106+D115</f>
        <v>38</v>
      </c>
      <c r="E117" s="1496">
        <f>C58+D58+E58+C117+D117</f>
        <v>687093</v>
      </c>
    </row>
    <row r="122" ht="60" customHeight="1"/>
  </sheetData>
  <sheetProtection/>
  <mergeCells count="3">
    <mergeCell ref="B2:E2"/>
    <mergeCell ref="B61:E61"/>
    <mergeCell ref="A59:E59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5">
      <selection activeCell="C43" sqref="C43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571" t="s">
        <v>1363</v>
      </c>
      <c r="B1" s="571"/>
      <c r="C1" s="571"/>
      <c r="D1" s="571"/>
      <c r="E1" s="571"/>
    </row>
    <row r="2" spans="2:3" ht="12.75">
      <c r="B2" s="1"/>
      <c r="C2" s="44"/>
    </row>
    <row r="3" spans="2:3" ht="12.75">
      <c r="B3" s="1"/>
      <c r="C3" s="44"/>
    </row>
    <row r="4" spans="2:3" ht="15.75">
      <c r="B4" s="1596" t="s">
        <v>118</v>
      </c>
      <c r="C4" s="1596"/>
    </row>
    <row r="5" spans="2:3" ht="15.75">
      <c r="B5" s="1596" t="s">
        <v>119</v>
      </c>
      <c r="C5" s="1596"/>
    </row>
    <row r="6" spans="2:3" ht="15.75">
      <c r="B6" s="1596" t="s">
        <v>917</v>
      </c>
      <c r="C6" s="1596"/>
    </row>
    <row r="7" spans="2:3" ht="15.75">
      <c r="B7" s="229"/>
      <c r="C7" s="229"/>
    </row>
    <row r="8" spans="2:3" ht="12.75">
      <c r="B8" s="1"/>
      <c r="C8" s="46" t="s">
        <v>9</v>
      </c>
    </row>
    <row r="9" spans="2:3" ht="13.5" thickBot="1">
      <c r="B9" s="1"/>
      <c r="C9" s="46"/>
    </row>
    <row r="10" spans="1:3" ht="26.25" thickBot="1">
      <c r="A10" s="644" t="s">
        <v>801</v>
      </c>
      <c r="B10" s="711" t="s">
        <v>120</v>
      </c>
      <c r="C10" s="712" t="s">
        <v>918</v>
      </c>
    </row>
    <row r="11" spans="1:3" ht="13.5" thickBot="1">
      <c r="A11" s="708" t="s">
        <v>802</v>
      </c>
      <c r="B11" s="685" t="s">
        <v>803</v>
      </c>
      <c r="C11" s="692" t="s">
        <v>804</v>
      </c>
    </row>
    <row r="12" spans="1:3" ht="16.5" thickBot="1">
      <c r="A12" s="594" t="s">
        <v>806</v>
      </c>
      <c r="B12" s="1320" t="s">
        <v>37</v>
      </c>
      <c r="C12" s="1315"/>
    </row>
    <row r="13" spans="1:3" ht="15.75">
      <c r="A13" s="1312" t="s">
        <v>807</v>
      </c>
      <c r="B13" s="1321" t="s">
        <v>17</v>
      </c>
      <c r="C13" s="1316"/>
    </row>
    <row r="14" spans="1:3" ht="15.75">
      <c r="A14" s="1313" t="s">
        <v>808</v>
      </c>
      <c r="B14" s="1322" t="s">
        <v>1235</v>
      </c>
      <c r="C14" s="1316">
        <v>3500</v>
      </c>
    </row>
    <row r="15" spans="1:3" ht="15.75">
      <c r="A15" s="1313" t="s">
        <v>809</v>
      </c>
      <c r="B15" s="1323" t="s">
        <v>1236</v>
      </c>
      <c r="C15" s="1317">
        <v>0</v>
      </c>
    </row>
    <row r="16" spans="1:3" ht="15.75">
      <c r="A16" s="1313" t="s">
        <v>810</v>
      </c>
      <c r="B16" s="1323" t="s">
        <v>1237</v>
      </c>
      <c r="C16" s="1316">
        <v>0</v>
      </c>
    </row>
    <row r="17" spans="1:3" ht="15.75">
      <c r="A17" s="1314" t="s">
        <v>811</v>
      </c>
      <c r="B17" s="1382" t="s">
        <v>1388</v>
      </c>
      <c r="C17" s="1315">
        <f>1321+1743</f>
        <v>3064</v>
      </c>
    </row>
    <row r="18" spans="1:3" s="7" customFormat="1" ht="15.75">
      <c r="A18" s="552" t="s">
        <v>812</v>
      </c>
      <c r="B18" s="1321" t="s">
        <v>1238</v>
      </c>
      <c r="C18" s="1325">
        <f>SUM(C14:C17)</f>
        <v>6564</v>
      </c>
    </row>
    <row r="19" spans="1:3" s="7" customFormat="1" ht="16.5" thickBot="1">
      <c r="A19" s="1498" t="s">
        <v>813</v>
      </c>
      <c r="B19" s="1324"/>
      <c r="C19" s="1318"/>
    </row>
    <row r="20" spans="1:3" s="20" customFormat="1" ht="16.5" thickBot="1">
      <c r="A20" s="582" t="s">
        <v>814</v>
      </c>
      <c r="B20" s="1319" t="s">
        <v>58</v>
      </c>
      <c r="C20" s="713">
        <f>C18</f>
        <v>6564</v>
      </c>
    </row>
    <row r="21" spans="1:3" s="20" customFormat="1" ht="15.75">
      <c r="A21" s="723" t="s">
        <v>815</v>
      </c>
      <c r="B21" s="721"/>
      <c r="C21" s="722"/>
    </row>
    <row r="22" spans="1:3" ht="15.75">
      <c r="A22" s="599" t="s">
        <v>816</v>
      </c>
      <c r="B22" s="54"/>
      <c r="C22" s="714"/>
    </row>
    <row r="23" spans="1:3" ht="16.5" thickBot="1">
      <c r="A23" s="648" t="s">
        <v>817</v>
      </c>
      <c r="B23" s="55"/>
      <c r="C23" s="1207"/>
    </row>
    <row r="24" spans="1:3" ht="16.5" thickBot="1">
      <c r="A24" s="582" t="s">
        <v>818</v>
      </c>
      <c r="B24" s="1301" t="s">
        <v>674</v>
      </c>
      <c r="C24" s="1208">
        <f>SUM(C21:C23)</f>
        <v>0</v>
      </c>
    </row>
    <row r="25" spans="1:3" ht="15.75">
      <c r="A25" s="552" t="s">
        <v>819</v>
      </c>
      <c r="B25" s="1302"/>
      <c r="C25" s="715"/>
    </row>
    <row r="26" spans="1:3" ht="15.75">
      <c r="A26" s="552" t="s">
        <v>820</v>
      </c>
      <c r="B26" s="1303" t="s">
        <v>1214</v>
      </c>
      <c r="C26" s="715">
        <v>12000</v>
      </c>
    </row>
    <row r="27" spans="1:3" ht="15.75">
      <c r="A27" s="552" t="s">
        <v>821</v>
      </c>
      <c r="B27" s="1304" t="s">
        <v>121</v>
      </c>
      <c r="C27" s="716">
        <f>SUM(C23:C26)</f>
        <v>12000</v>
      </c>
    </row>
    <row r="28" spans="1:3" ht="15.75">
      <c r="A28" s="552" t="s">
        <v>822</v>
      </c>
      <c r="B28" s="1304"/>
      <c r="C28" s="716"/>
    </row>
    <row r="29" spans="1:3" ht="15.75">
      <c r="A29" s="552" t="s">
        <v>823</v>
      </c>
      <c r="B29" s="1303" t="s">
        <v>1449</v>
      </c>
      <c r="C29" s="715">
        <v>1600</v>
      </c>
    </row>
    <row r="30" spans="1:3" ht="15.75">
      <c r="A30" s="552" t="s">
        <v>824</v>
      </c>
      <c r="B30" s="1303" t="s">
        <v>1450</v>
      </c>
      <c r="C30" s="1505">
        <v>1261</v>
      </c>
    </row>
    <row r="31" spans="1:3" s="20" customFormat="1" ht="15.75">
      <c r="A31" s="552" t="s">
        <v>826</v>
      </c>
      <c r="B31" s="1304" t="s">
        <v>122</v>
      </c>
      <c r="C31" s="717">
        <f>SUM(C29:C30)</f>
        <v>2861</v>
      </c>
    </row>
    <row r="32" spans="1:3" s="20" customFormat="1" ht="15.75">
      <c r="A32" s="552" t="s">
        <v>827</v>
      </c>
      <c r="B32" s="1305"/>
      <c r="C32" s="717"/>
    </row>
    <row r="33" spans="1:3" ht="15.75">
      <c r="A33" s="552" t="s">
        <v>828</v>
      </c>
      <c r="B33" s="1303" t="s">
        <v>866</v>
      </c>
      <c r="C33" s="715">
        <v>30000</v>
      </c>
    </row>
    <row r="34" spans="1:3" s="20" customFormat="1" ht="15.75">
      <c r="A34" s="552" t="s">
        <v>829</v>
      </c>
      <c r="B34" s="1304" t="s">
        <v>123</v>
      </c>
      <c r="C34" s="716">
        <f>SUM(C33)</f>
        <v>30000</v>
      </c>
    </row>
    <row r="35" spans="1:3" s="20" customFormat="1" ht="15.75">
      <c r="A35" s="552" t="s">
        <v>830</v>
      </c>
      <c r="B35" s="1303"/>
      <c r="C35" s="715"/>
    </row>
    <row r="36" spans="1:3" s="20" customFormat="1" ht="15.75">
      <c r="A36" s="552" t="s">
        <v>831</v>
      </c>
      <c r="B36" s="1303" t="s">
        <v>795</v>
      </c>
      <c r="C36" s="715">
        <v>109768</v>
      </c>
    </row>
    <row r="37" spans="1:3" s="20" customFormat="1" ht="15.75">
      <c r="A37" s="552" t="s">
        <v>832</v>
      </c>
      <c r="B37" s="1304" t="s">
        <v>1452</v>
      </c>
      <c r="C37" s="716">
        <f>SUM(C36)</f>
        <v>109768</v>
      </c>
    </row>
    <row r="38" spans="1:3" s="20" customFormat="1" ht="15.75">
      <c r="A38" s="552" t="s">
        <v>833</v>
      </c>
      <c r="B38" s="1303"/>
      <c r="C38" s="715"/>
    </row>
    <row r="39" spans="1:3" s="20" customFormat="1" ht="15.75">
      <c r="A39" s="552" t="s">
        <v>834</v>
      </c>
      <c r="B39" s="1303" t="s">
        <v>1453</v>
      </c>
      <c r="C39" s="715">
        <v>7000</v>
      </c>
    </row>
    <row r="40" spans="1:3" s="20" customFormat="1" ht="15.75">
      <c r="A40" s="552" t="s">
        <v>835</v>
      </c>
      <c r="B40" s="1304" t="s">
        <v>1451</v>
      </c>
      <c r="C40" s="716">
        <f>SUM(C39)</f>
        <v>7000</v>
      </c>
    </row>
    <row r="41" spans="1:3" s="20" customFormat="1" ht="16.5" thickBot="1">
      <c r="A41" s="552" t="s">
        <v>836</v>
      </c>
      <c r="B41" s="1307"/>
      <c r="C41" s="1308"/>
    </row>
    <row r="42" spans="1:3" ht="16.5" thickBot="1">
      <c r="A42" s="582" t="s">
        <v>837</v>
      </c>
      <c r="B42" s="725" t="s">
        <v>39</v>
      </c>
      <c r="C42" s="718">
        <f>C27+C31+C34+C37+C40</f>
        <v>161629</v>
      </c>
    </row>
    <row r="43" spans="1:3" ht="16.5" thickBot="1">
      <c r="A43" s="952" t="s">
        <v>838</v>
      </c>
      <c r="B43" s="1306"/>
      <c r="C43" s="719"/>
    </row>
    <row r="44" spans="1:3" ht="16.5" thickBot="1">
      <c r="A44" s="582" t="s">
        <v>839</v>
      </c>
      <c r="B44" s="848" t="s">
        <v>971</v>
      </c>
      <c r="C44" s="720">
        <f>SUM(C20+C42+C24)</f>
        <v>168193</v>
      </c>
    </row>
    <row r="45" spans="2:3" ht="15.75">
      <c r="B45" s="56"/>
      <c r="C45" s="57"/>
    </row>
    <row r="46" spans="2:3" ht="15.75">
      <c r="B46" s="56"/>
      <c r="C46" s="57"/>
    </row>
  </sheetData>
  <sheetProtection/>
  <mergeCells count="3">
    <mergeCell ref="B4:C4"/>
    <mergeCell ref="B5:C5"/>
    <mergeCell ref="B6:C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A55" sqref="A1:F55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546" t="s">
        <v>1332</v>
      </c>
      <c r="B1" s="1546"/>
      <c r="C1" s="1546"/>
      <c r="D1" s="1546"/>
      <c r="E1" s="1546"/>
    </row>
    <row r="2" spans="2:6" ht="15.75">
      <c r="B2" s="1566" t="s">
        <v>980</v>
      </c>
      <c r="C2" s="1566"/>
      <c r="D2" s="1566"/>
      <c r="E2" s="1566"/>
      <c r="F2" s="1545"/>
    </row>
    <row r="3" spans="2:6" ht="12.75" customHeight="1" thickBot="1">
      <c r="B3" s="140"/>
      <c r="C3" s="23"/>
      <c r="D3" s="1"/>
      <c r="E3" s="25"/>
      <c r="F3" s="25" t="s">
        <v>9</v>
      </c>
    </row>
    <row r="4" spans="1:6" ht="12.75">
      <c r="A4" s="1558" t="s">
        <v>801</v>
      </c>
      <c r="B4" s="1564" t="s">
        <v>22</v>
      </c>
      <c r="C4" s="1560" t="s">
        <v>970</v>
      </c>
      <c r="D4" s="1562" t="s">
        <v>987</v>
      </c>
      <c r="E4" s="1562" t="s">
        <v>981</v>
      </c>
      <c r="F4" s="1556" t="s">
        <v>971</v>
      </c>
    </row>
    <row r="5" spans="1:6" ht="27" customHeight="1" thickBot="1">
      <c r="A5" s="1559"/>
      <c r="B5" s="1565"/>
      <c r="C5" s="1561"/>
      <c r="D5" s="1563"/>
      <c r="E5" s="1563"/>
      <c r="F5" s="1557"/>
    </row>
    <row r="6" spans="1:6" s="412" customFormat="1" ht="9.75" customHeight="1">
      <c r="A6" s="963" t="s">
        <v>802</v>
      </c>
      <c r="B6" s="964" t="s">
        <v>803</v>
      </c>
      <c r="C6" s="965" t="s">
        <v>804</v>
      </c>
      <c r="D6" s="966" t="s">
        <v>805</v>
      </c>
      <c r="E6" s="967" t="s">
        <v>825</v>
      </c>
      <c r="F6" s="968" t="s">
        <v>850</v>
      </c>
    </row>
    <row r="7" spans="1:6" ht="12.75">
      <c r="A7" s="553" t="s">
        <v>806</v>
      </c>
      <c r="B7" s="560" t="s">
        <v>406</v>
      </c>
      <c r="C7" s="30"/>
      <c r="D7" s="39"/>
      <c r="E7" s="160"/>
      <c r="F7" s="190"/>
    </row>
    <row r="8" spans="1:6" ht="12.75">
      <c r="A8" s="552" t="s">
        <v>807</v>
      </c>
      <c r="B8" s="247" t="s">
        <v>11</v>
      </c>
      <c r="C8" s="8">
        <f>3_sz_melléklet!D117</f>
        <v>1195646</v>
      </c>
      <c r="D8" s="34">
        <f>'4_sz_ melléklet'!D507</f>
        <v>96774</v>
      </c>
      <c r="E8" s="36">
        <f>5_sz_melléklet!D119</f>
        <v>233044</v>
      </c>
      <c r="F8" s="190">
        <f aca="true" t="shared" si="0" ref="F8:F18">E8+D8+C8</f>
        <v>1525464</v>
      </c>
    </row>
    <row r="9" spans="1:6" ht="12.75">
      <c r="A9" s="552" t="s">
        <v>808</v>
      </c>
      <c r="B9" s="290" t="s">
        <v>12</v>
      </c>
      <c r="C9" s="8">
        <f>3_sz_melléklet!D118</f>
        <v>315444</v>
      </c>
      <c r="D9" s="34">
        <f>'4_sz_ melléklet'!D508</f>
        <v>27468</v>
      </c>
      <c r="E9" s="36">
        <f>5_sz_melléklet!D120</f>
        <v>80041</v>
      </c>
      <c r="F9" s="190">
        <f t="shared" si="0"/>
        <v>422953</v>
      </c>
    </row>
    <row r="10" spans="1:6" ht="12.75" customHeight="1">
      <c r="A10" s="552" t="s">
        <v>809</v>
      </c>
      <c r="B10" s="290" t="s">
        <v>13</v>
      </c>
      <c r="C10" s="8">
        <f>3_sz_melléklet!D119</f>
        <v>617250</v>
      </c>
      <c r="D10" s="34">
        <f>'4_sz_ melléklet'!D509</f>
        <v>496012</v>
      </c>
      <c r="E10" s="36">
        <f>5_sz_melléklet!D121</f>
        <v>120520</v>
      </c>
      <c r="F10" s="190">
        <f t="shared" si="0"/>
        <v>1233782</v>
      </c>
    </row>
    <row r="11" spans="1:6" ht="12.75">
      <c r="A11" s="552" t="s">
        <v>810</v>
      </c>
      <c r="B11" s="290" t="s">
        <v>973</v>
      </c>
      <c r="C11" s="8">
        <f>3_sz_melléklet!D120</f>
        <v>0</v>
      </c>
      <c r="D11" s="34">
        <f>'4_sz_ melléklet'!D510</f>
        <v>-109446</v>
      </c>
      <c r="E11" s="36">
        <f>5_sz_melléklet!D122</f>
        <v>0</v>
      </c>
      <c r="F11" s="190">
        <f t="shared" si="0"/>
        <v>-109446</v>
      </c>
    </row>
    <row r="12" spans="1:6" ht="12.75">
      <c r="A12" s="552" t="s">
        <v>811</v>
      </c>
      <c r="B12" s="290" t="s">
        <v>972</v>
      </c>
      <c r="C12" s="8">
        <f>3_sz_melléklet!D121</f>
        <v>0</v>
      </c>
      <c r="D12" s="34">
        <f>'4_sz_ melléklet'!D511</f>
        <v>16800</v>
      </c>
      <c r="E12" s="36">
        <f>5_sz_melléklet!D123</f>
        <v>0</v>
      </c>
      <c r="F12" s="190">
        <f t="shared" si="0"/>
        <v>16800</v>
      </c>
    </row>
    <row r="13" spans="1:6" ht="12.75">
      <c r="A13" s="552" t="s">
        <v>812</v>
      </c>
      <c r="B13" s="290" t="s">
        <v>401</v>
      </c>
      <c r="C13" s="8">
        <f>C14+C15+C16+C17</f>
        <v>7527</v>
      </c>
      <c r="D13" s="8">
        <f>D14+D15+D16+D17</f>
        <v>460080</v>
      </c>
      <c r="E13" s="36">
        <f>5_sz_melléklet!E69</f>
        <v>253114</v>
      </c>
      <c r="F13" s="190">
        <f t="shared" si="0"/>
        <v>720721</v>
      </c>
    </row>
    <row r="14" spans="1:6" ht="12.75">
      <c r="A14" s="552" t="s">
        <v>813</v>
      </c>
      <c r="B14" s="290" t="s">
        <v>395</v>
      </c>
      <c r="C14" s="8">
        <f>3_sz_melléklet!D123</f>
        <v>7527</v>
      </c>
      <c r="D14" s="34">
        <f>'4_sz_ melléklet'!D513</f>
        <v>40824</v>
      </c>
      <c r="E14" s="36">
        <f>5_sz_melléklet!E70</f>
        <v>0</v>
      </c>
      <c r="F14" s="190">
        <f t="shared" si="0"/>
        <v>48351</v>
      </c>
    </row>
    <row r="15" spans="1:6" ht="12.75">
      <c r="A15" s="552" t="s">
        <v>814</v>
      </c>
      <c r="B15" s="561" t="s">
        <v>396</v>
      </c>
      <c r="C15" s="8">
        <f>3_sz_melléklet!D124</f>
        <v>0</v>
      </c>
      <c r="D15" s="34">
        <f>'4_sz_ melléklet'!D514</f>
        <v>285911</v>
      </c>
      <c r="E15" s="36">
        <f>5_sz_melléklet!E71</f>
        <v>0</v>
      </c>
      <c r="F15" s="190">
        <f t="shared" si="0"/>
        <v>285911</v>
      </c>
    </row>
    <row r="16" spans="1:6" ht="12.75">
      <c r="A16" s="552" t="s">
        <v>815</v>
      </c>
      <c r="B16" s="290" t="s">
        <v>397</v>
      </c>
      <c r="C16" s="8">
        <f>3_sz_melléklet!D125</f>
        <v>0</v>
      </c>
      <c r="D16" s="34">
        <f>'4_sz_ melléklet'!D515</f>
        <v>133345</v>
      </c>
      <c r="E16" s="36">
        <f>5_sz_melléklet!D127</f>
        <v>253114</v>
      </c>
      <c r="F16" s="190">
        <f t="shared" si="0"/>
        <v>386459</v>
      </c>
    </row>
    <row r="17" spans="1:6" ht="12.75">
      <c r="A17" s="552" t="s">
        <v>816</v>
      </c>
      <c r="B17" s="290" t="s">
        <v>398</v>
      </c>
      <c r="C17" s="8">
        <f>3_sz_melléklet!D126</f>
        <v>0</v>
      </c>
      <c r="D17" s="34">
        <f>'4_sz_ melléklet'!D516</f>
        <v>0</v>
      </c>
      <c r="E17" s="36">
        <f>5_sz_melléklet!E73</f>
        <v>0</v>
      </c>
      <c r="F17" s="190">
        <f t="shared" si="0"/>
        <v>0</v>
      </c>
    </row>
    <row r="18" spans="1:6" ht="13.5" thickBot="1">
      <c r="A18" s="617" t="s">
        <v>817</v>
      </c>
      <c r="B18" s="292" t="s">
        <v>399</v>
      </c>
      <c r="C18" s="8">
        <f>3_sz_melléklet!D127</f>
        <v>14312</v>
      </c>
      <c r="D18" s="34">
        <f>'4_sz_ melléklet'!D517</f>
        <v>0</v>
      </c>
      <c r="E18" s="36">
        <f>5_sz_melléklet!C129</f>
        <v>0</v>
      </c>
      <c r="F18" s="190">
        <f t="shared" si="0"/>
        <v>14312</v>
      </c>
    </row>
    <row r="19" spans="1:6" ht="13.5" thickBot="1">
      <c r="A19" s="969" t="s">
        <v>818</v>
      </c>
      <c r="B19" s="970" t="s">
        <v>14</v>
      </c>
      <c r="C19" s="971">
        <f>C8+C9+C10+C11+C13+C18</f>
        <v>2150179</v>
      </c>
      <c r="D19" s="971">
        <f>D8+D9+D10+D11+D13+D18</f>
        <v>970888</v>
      </c>
      <c r="E19" s="972">
        <f>E8+E9+E10+E11+E13+E18</f>
        <v>686719</v>
      </c>
      <c r="F19" s="1005">
        <f>SUM(C19:E19)</f>
        <v>3807786</v>
      </c>
    </row>
    <row r="20" spans="1:6" ht="13.5" thickTop="1">
      <c r="A20" s="553" t="s">
        <v>819</v>
      </c>
      <c r="B20" s="562" t="s">
        <v>407</v>
      </c>
      <c r="C20" s="27"/>
      <c r="D20" s="32"/>
      <c r="E20" s="37"/>
      <c r="F20" s="193"/>
    </row>
    <row r="21" spans="1:6" ht="12.75">
      <c r="A21" s="552" t="s">
        <v>820</v>
      </c>
      <c r="B21" s="290" t="s">
        <v>974</v>
      </c>
      <c r="C21" s="27">
        <f>3_sz_melléklet!D130</f>
        <v>22416</v>
      </c>
      <c r="D21" s="34">
        <f>'4_sz_ melléklet'!D520</f>
        <v>3596950</v>
      </c>
      <c r="E21" s="36">
        <f>5_sz_melléklet!D132</f>
        <v>374</v>
      </c>
      <c r="F21" s="190">
        <f>E21+D21+C21</f>
        <v>3619740</v>
      </c>
    </row>
    <row r="22" spans="1:6" ht="12.75">
      <c r="A22" s="552" t="s">
        <v>821</v>
      </c>
      <c r="B22" s="290" t="s">
        <v>975</v>
      </c>
      <c r="C22" s="27">
        <f>3_sz_melléklet!D131</f>
        <v>6564</v>
      </c>
      <c r="D22" s="34">
        <f>'4_sz_ melléklet'!D521</f>
        <v>161629</v>
      </c>
      <c r="E22" s="36">
        <f>5_sz_melléklet!D133</f>
        <v>0</v>
      </c>
      <c r="F22" s="190">
        <f aca="true" t="shared" si="1" ref="F22:F28">E22+D22+C22</f>
        <v>168193</v>
      </c>
    </row>
    <row r="23" spans="1:6" ht="12.75">
      <c r="A23" s="552" t="s">
        <v>822</v>
      </c>
      <c r="B23" s="290" t="s">
        <v>400</v>
      </c>
      <c r="C23" s="27">
        <f>3_sz_melléklet!D132</f>
        <v>0</v>
      </c>
      <c r="D23" s="34">
        <f>'4_sz_ melléklet'!D522</f>
        <v>122351</v>
      </c>
      <c r="E23" s="36">
        <f>5_sz_melléklet!E79</f>
        <v>0</v>
      </c>
      <c r="F23" s="190">
        <f t="shared" si="1"/>
        <v>122351</v>
      </c>
    </row>
    <row r="24" spans="1:6" ht="12.75">
      <c r="A24" s="552" t="s">
        <v>823</v>
      </c>
      <c r="B24" s="290" t="s">
        <v>402</v>
      </c>
      <c r="C24" s="27">
        <f>3_sz_melléklet!D133</f>
        <v>0</v>
      </c>
      <c r="D24" s="34">
        <f>'4_sz_ melléklet'!D523</f>
        <v>0</v>
      </c>
      <c r="E24" s="36">
        <f>5_sz_melléklet!D135</f>
        <v>0</v>
      </c>
      <c r="F24" s="190">
        <f t="shared" si="1"/>
        <v>0</v>
      </c>
    </row>
    <row r="25" spans="1:6" ht="12.75">
      <c r="A25" s="552" t="s">
        <v>824</v>
      </c>
      <c r="B25" s="290" t="s">
        <v>452</v>
      </c>
      <c r="C25" s="27">
        <f>3_sz_melléklet!D134</f>
        <v>0</v>
      </c>
      <c r="D25" s="34">
        <f>'4_sz_ melléklet'!D524</f>
        <v>122351</v>
      </c>
      <c r="E25" s="36">
        <f>5_sz_melléklet!D136</f>
        <v>0</v>
      </c>
      <c r="F25" s="190">
        <f t="shared" si="1"/>
        <v>122351</v>
      </c>
    </row>
    <row r="26" spans="1:6" ht="12.75">
      <c r="A26" s="552" t="s">
        <v>826</v>
      </c>
      <c r="B26" s="290" t="s">
        <v>403</v>
      </c>
      <c r="C26" s="27">
        <f>3_sz_melléklet!D135</f>
        <v>0</v>
      </c>
      <c r="D26" s="34">
        <f>'4_sz_ melléklet'!D525</f>
        <v>0</v>
      </c>
      <c r="E26" s="36">
        <f>5_sz_melléklet!D137</f>
        <v>0</v>
      </c>
      <c r="F26" s="190">
        <f t="shared" si="1"/>
        <v>0</v>
      </c>
    </row>
    <row r="27" spans="1:6" ht="12.75" customHeight="1">
      <c r="A27" s="552" t="s">
        <v>827</v>
      </c>
      <c r="B27" s="290" t="s">
        <v>404</v>
      </c>
      <c r="C27" s="27">
        <f>3_sz_melléklet!D136</f>
        <v>0</v>
      </c>
      <c r="D27" s="34">
        <f>'4_sz_ melléklet'!D526</f>
        <v>1250</v>
      </c>
      <c r="E27" s="36">
        <f>5_sz_melléklet!D138</f>
        <v>0</v>
      </c>
      <c r="F27" s="190">
        <f t="shared" si="1"/>
        <v>1250</v>
      </c>
    </row>
    <row r="28" spans="1:6" ht="13.5" thickBot="1">
      <c r="A28" s="617" t="s">
        <v>828</v>
      </c>
      <c r="B28" s="292" t="s">
        <v>405</v>
      </c>
      <c r="C28" s="27">
        <f>3_sz_melléklet!D137</f>
        <v>0</v>
      </c>
      <c r="D28" s="34">
        <f>'4_sz_ melléklet'!D527</f>
        <v>109446</v>
      </c>
      <c r="E28" s="36">
        <f>5_sz_melléklet!D139</f>
        <v>0</v>
      </c>
      <c r="F28" s="190">
        <f t="shared" si="1"/>
        <v>109446</v>
      </c>
    </row>
    <row r="29" spans="1:6" ht="13.5" thickBot="1">
      <c r="A29" s="969" t="s">
        <v>829</v>
      </c>
      <c r="B29" s="970" t="s">
        <v>15</v>
      </c>
      <c r="C29" s="971">
        <f>SUM(C21:C23)+C27+C28</f>
        <v>28980</v>
      </c>
      <c r="D29" s="971">
        <f>SUM(D21:D23)+D27+D28</f>
        <v>3991626</v>
      </c>
      <c r="E29" s="972">
        <f>SUM(E21:E23)+E27+E28</f>
        <v>374</v>
      </c>
      <c r="F29" s="1005">
        <f>SUM(C29:E29)</f>
        <v>4020980</v>
      </c>
    </row>
    <row r="30" spans="1:6" ht="26.25" thickTop="1">
      <c r="A30" s="553" t="s">
        <v>830</v>
      </c>
      <c r="B30" s="918" t="s">
        <v>408</v>
      </c>
      <c r="C30" s="973"/>
      <c r="D30" s="185"/>
      <c r="E30" s="199"/>
      <c r="F30" s="193"/>
    </row>
    <row r="31" spans="1:6" ht="12.75">
      <c r="A31" s="552" t="s">
        <v>831</v>
      </c>
      <c r="B31" s="563" t="s">
        <v>409</v>
      </c>
      <c r="C31" s="27">
        <f>3_sz_melléklet!C140</f>
        <v>0</v>
      </c>
      <c r="D31" s="32">
        <f>'4_sz_ melléklet'!D530</f>
        <v>0</v>
      </c>
      <c r="E31" s="36">
        <f>5_sz_melléklet!D142</f>
        <v>0</v>
      </c>
      <c r="F31" s="190">
        <f>E31+D31+C31</f>
        <v>0</v>
      </c>
    </row>
    <row r="32" spans="1:6" ht="12.75">
      <c r="A32" s="552" t="s">
        <v>832</v>
      </c>
      <c r="B32" s="564" t="s">
        <v>410</v>
      </c>
      <c r="C32" s="27">
        <f>3_sz_melléklet!C141</f>
        <v>0</v>
      </c>
      <c r="D32" s="32">
        <f>'4_sz_ melléklet'!D531</f>
        <v>62200</v>
      </c>
      <c r="E32" s="36">
        <f>5_sz_melléklet!D143</f>
        <v>0</v>
      </c>
      <c r="F32" s="190">
        <f>E32+D32+C32</f>
        <v>62200</v>
      </c>
    </row>
    <row r="33" spans="1:6" ht="13.5" thickBot="1">
      <c r="A33" s="617" t="s">
        <v>833</v>
      </c>
      <c r="B33" s="565" t="s">
        <v>411</v>
      </c>
      <c r="C33" s="27">
        <f>3_sz_melléklet!C142</f>
        <v>0</v>
      </c>
      <c r="D33" s="32">
        <f>'4_sz_ melléklet'!D532</f>
        <v>0</v>
      </c>
      <c r="E33" s="36">
        <f>5_sz_melléklet!D144</f>
        <v>0</v>
      </c>
      <c r="F33" s="195">
        <f>E33+D33+C33</f>
        <v>0</v>
      </c>
    </row>
    <row r="34" spans="1:6" ht="25.5" customHeight="1" thickBot="1">
      <c r="A34" s="969" t="s">
        <v>834</v>
      </c>
      <c r="B34" s="974" t="s">
        <v>412</v>
      </c>
      <c r="C34" s="975">
        <f>SUM(C31:C33)</f>
        <v>0</v>
      </c>
      <c r="D34" s="975">
        <f>SUM(D31:D33)</f>
        <v>62200</v>
      </c>
      <c r="E34" s="976">
        <f>SUM(E31:E33)</f>
        <v>0</v>
      </c>
      <c r="F34" s="1005">
        <f>D34+E34</f>
        <v>62200</v>
      </c>
    </row>
    <row r="35" spans="1:6" ht="13.5" thickTop="1">
      <c r="A35" s="553" t="s">
        <v>964</v>
      </c>
      <c r="B35" s="707" t="s">
        <v>413</v>
      </c>
      <c r="C35" s="27"/>
      <c r="D35" s="32"/>
      <c r="E35" s="311"/>
      <c r="F35" s="193"/>
    </row>
    <row r="36" spans="1:6" s="19" customFormat="1" ht="12.75">
      <c r="A36" s="552" t="s">
        <v>965</v>
      </c>
      <c r="B36" s="291" t="s">
        <v>414</v>
      </c>
      <c r="C36" s="27">
        <f>3_sz_melléklet!D145</f>
        <v>0</v>
      </c>
      <c r="D36" s="32">
        <f>'4_sz_ melléklet'!D535</f>
        <v>0</v>
      </c>
      <c r="E36" s="36">
        <f>5_sz_melléklet!D147</f>
        <v>0</v>
      </c>
      <c r="F36" s="190">
        <f>E36+D36+C36</f>
        <v>0</v>
      </c>
    </row>
    <row r="37" spans="1:6" s="19" customFormat="1" ht="12.75">
      <c r="A37" s="552" t="s">
        <v>966</v>
      </c>
      <c r="B37" s="291" t="s">
        <v>25</v>
      </c>
      <c r="C37" s="27">
        <f>3_sz_melléklet!D146</f>
        <v>0</v>
      </c>
      <c r="D37" s="32">
        <f>'4_sz_ melléklet'!D536</f>
        <v>563725</v>
      </c>
      <c r="E37" s="36">
        <f>5_sz_melléklet!D148</f>
        <v>0</v>
      </c>
      <c r="F37" s="190">
        <f>E37+D37+C37</f>
        <v>563725</v>
      </c>
    </row>
    <row r="38" spans="1:6" s="19" customFormat="1" ht="12.75">
      <c r="A38" s="552" t="s">
        <v>967</v>
      </c>
      <c r="B38" s="155" t="s">
        <v>914</v>
      </c>
      <c r="C38" s="27">
        <f>3_sz_melléklet!D147</f>
        <v>0</v>
      </c>
      <c r="D38" s="32">
        <f>'4_sz_ melléklet'!D537</f>
        <v>12822</v>
      </c>
      <c r="E38" s="36">
        <f>5_sz_melléklet!D149</f>
        <v>0</v>
      </c>
      <c r="F38" s="190">
        <f>E38+D38+C38</f>
        <v>12822</v>
      </c>
    </row>
    <row r="39" spans="1:6" s="19" customFormat="1" ht="13.5" thickBot="1">
      <c r="A39" s="617" t="s">
        <v>968</v>
      </c>
      <c r="B39" s="291" t="s">
        <v>416</v>
      </c>
      <c r="C39" s="27">
        <f>3_sz_melléklet!D148</f>
        <v>0</v>
      </c>
      <c r="D39" s="32">
        <f>'4_sz_ melléklet'!D538</f>
        <v>0</v>
      </c>
      <c r="E39" s="36">
        <f>5_sz_melléklet!D150</f>
        <v>0</v>
      </c>
      <c r="F39" s="490">
        <f>E39+D39+C39</f>
        <v>0</v>
      </c>
    </row>
    <row r="40" spans="1:6" ht="14.25" customHeight="1" thickBot="1">
      <c r="A40" s="969" t="s">
        <v>969</v>
      </c>
      <c r="B40" s="977" t="s">
        <v>419</v>
      </c>
      <c r="C40" s="975">
        <f>SUM(C36:C39)</f>
        <v>0</v>
      </c>
      <c r="D40" s="975">
        <f>SUM(D36:D39)</f>
        <v>576547</v>
      </c>
      <c r="E40" s="976">
        <f>SUM(E36:E39)</f>
        <v>0</v>
      </c>
      <c r="F40" s="1005">
        <f>E40+D40+C40</f>
        <v>576547</v>
      </c>
    </row>
    <row r="41" spans="1:6" ht="25.5" customHeight="1" thickBot="1" thickTop="1">
      <c r="A41" s="987" t="s">
        <v>841</v>
      </c>
      <c r="B41" s="991" t="s">
        <v>415</v>
      </c>
      <c r="C41" s="989">
        <f>C19+C29+C34+C40</f>
        <v>2179159</v>
      </c>
      <c r="D41" s="989">
        <f>D19+D29+D34+D40</f>
        <v>5601261</v>
      </c>
      <c r="E41" s="990">
        <f>E19+E29+E34+E40</f>
        <v>687093</v>
      </c>
      <c r="F41" s="1024">
        <f>F19+F29+F34+F40</f>
        <v>8467513</v>
      </c>
    </row>
    <row r="42" spans="1:6" ht="12" customHeight="1" thickTop="1">
      <c r="A42" s="553" t="s">
        <v>842</v>
      </c>
      <c r="B42" s="958" t="s">
        <v>976</v>
      </c>
      <c r="C42" s="957"/>
      <c r="D42" s="199"/>
      <c r="E42" s="652"/>
      <c r="F42" s="193"/>
    </row>
    <row r="43" spans="1:6" ht="12" customHeight="1">
      <c r="A43" s="552" t="s">
        <v>843</v>
      </c>
      <c r="B43" s="566" t="s">
        <v>417</v>
      </c>
      <c r="C43" s="148">
        <f>3_sz_melléklet!D152</f>
        <v>0</v>
      </c>
      <c r="D43" s="147">
        <f>'4_sz_ melléklet'!D542</f>
        <v>0</v>
      </c>
      <c r="E43" s="36">
        <f>5_sz_melléklet!D154</f>
        <v>0</v>
      </c>
      <c r="F43" s="190">
        <f>SUM(C43:E43)</f>
        <v>0</v>
      </c>
    </row>
    <row r="44" spans="1:6" ht="12" customHeight="1" thickBot="1">
      <c r="A44" s="617" t="s">
        <v>844</v>
      </c>
      <c r="B44" s="962" t="s">
        <v>418</v>
      </c>
      <c r="C44" s="148">
        <f>3_sz_melléklet!D153</f>
        <v>0</v>
      </c>
      <c r="D44" s="147">
        <f>'4_sz_ melléklet'!D543</f>
        <v>0</v>
      </c>
      <c r="E44" s="36">
        <f>5_sz_melléklet!D155</f>
        <v>0</v>
      </c>
      <c r="F44" s="490">
        <f>SUM(C44:E44)</f>
        <v>0</v>
      </c>
    </row>
    <row r="45" spans="1:6" ht="12" customHeight="1" thickBot="1">
      <c r="A45" s="969" t="s">
        <v>845</v>
      </c>
      <c r="B45" s="982" t="s">
        <v>985</v>
      </c>
      <c r="C45" s="983">
        <f>SUM(C43:C44)</f>
        <v>0</v>
      </c>
      <c r="D45" s="983">
        <f>SUM(D43:D44)</f>
        <v>0</v>
      </c>
      <c r="E45" s="983">
        <f>SUM(E43:E44)</f>
        <v>0</v>
      </c>
      <c r="F45" s="983">
        <f>SUM(F43:F44)</f>
        <v>0</v>
      </c>
    </row>
    <row r="46" spans="1:6" ht="14.25" thickBot="1" thickTop="1">
      <c r="A46" s="656" t="s">
        <v>846</v>
      </c>
      <c r="B46" s="978" t="s">
        <v>977</v>
      </c>
      <c r="C46" s="979"/>
      <c r="D46" s="980"/>
      <c r="E46" s="981"/>
      <c r="F46" s="706"/>
    </row>
    <row r="47" spans="1:6" ht="12.75">
      <c r="A47" s="553" t="s">
        <v>847</v>
      </c>
      <c r="B47" s="959" t="s">
        <v>417</v>
      </c>
      <c r="C47" s="957">
        <f>3_sz_melléklet!D156</f>
        <v>0</v>
      </c>
      <c r="D47" s="199">
        <f>'4_sz_ melléklet'!D546</f>
        <v>0</v>
      </c>
      <c r="E47" s="36">
        <f>5_sz_melléklet!C158</f>
        <v>0</v>
      </c>
      <c r="F47" s="193">
        <f>SUM(C47:E47)</f>
        <v>0</v>
      </c>
    </row>
    <row r="48" spans="1:6" ht="13.5" thickBot="1">
      <c r="A48" s="617" t="s">
        <v>848</v>
      </c>
      <c r="B48" s="567" t="s">
        <v>418</v>
      </c>
      <c r="C48" s="957">
        <f>3_sz_melléklet!D157</f>
        <v>0</v>
      </c>
      <c r="D48" s="199">
        <f>'4_sz_ melléklet'!D547</f>
        <v>100032</v>
      </c>
      <c r="E48" s="36">
        <f>5_sz_melléklet!C159</f>
        <v>0</v>
      </c>
      <c r="F48" s="193">
        <f>SUM(C48:E48)</f>
        <v>100032</v>
      </c>
    </row>
    <row r="49" spans="1:6" ht="13.5" thickBot="1">
      <c r="A49" s="969" t="s">
        <v>849</v>
      </c>
      <c r="B49" s="982" t="s">
        <v>942</v>
      </c>
      <c r="C49" s="983">
        <f>C47+C48</f>
        <v>0</v>
      </c>
      <c r="D49" s="983">
        <f>D47+D48</f>
        <v>100032</v>
      </c>
      <c r="E49" s="984">
        <f>E47+E48</f>
        <v>0</v>
      </c>
      <c r="F49" s="996">
        <f>SUM(C49:E49)</f>
        <v>100032</v>
      </c>
    </row>
    <row r="50" spans="1:6" ht="23.25" thickBot="1" thickTop="1">
      <c r="A50" s="952" t="s">
        <v>869</v>
      </c>
      <c r="B50" s="1410" t="s">
        <v>978</v>
      </c>
      <c r="C50" s="31"/>
      <c r="D50" s="39"/>
      <c r="E50" s="308"/>
      <c r="F50" s="198"/>
    </row>
    <row r="51" spans="1:6" s="19" customFormat="1" ht="12.75">
      <c r="A51" s="723" t="s">
        <v>870</v>
      </c>
      <c r="B51" s="1414" t="s">
        <v>420</v>
      </c>
      <c r="C51" s="1110">
        <f>3_sz_melléklet!C160</f>
        <v>0</v>
      </c>
      <c r="D51" s="1415">
        <f>'4_sz_ melléklet'!D550</f>
        <v>0</v>
      </c>
      <c r="E51" s="586">
        <f>5_sz_melléklet!C162</f>
        <v>0</v>
      </c>
      <c r="F51" s="1023">
        <f>SUM(C51:E51)</f>
        <v>0</v>
      </c>
    </row>
    <row r="52" spans="1:6" s="19" customFormat="1" ht="13.5" thickBot="1">
      <c r="A52" s="570" t="s">
        <v>871</v>
      </c>
      <c r="B52" s="1416" t="s">
        <v>421</v>
      </c>
      <c r="C52" s="1417">
        <f>3_sz_melléklet!C161</f>
        <v>0</v>
      </c>
      <c r="D52" s="1418">
        <f>'4_sz_ melléklet'!D551</f>
        <v>14604</v>
      </c>
      <c r="E52" s="1419">
        <f>5_sz_melléklet!C163</f>
        <v>0</v>
      </c>
      <c r="F52" s="490">
        <f>SUM(C52:E52)</f>
        <v>14604</v>
      </c>
    </row>
    <row r="53" spans="1:6" ht="13.5" thickBot="1">
      <c r="A53" s="1007" t="s">
        <v>872</v>
      </c>
      <c r="B53" s="1411" t="s">
        <v>943</v>
      </c>
      <c r="C53" s="1412">
        <f>C51+C52</f>
        <v>0</v>
      </c>
      <c r="D53" s="1413">
        <f>D51+D52</f>
        <v>14604</v>
      </c>
      <c r="E53" s="1275">
        <f>E51+E52</f>
        <v>0</v>
      </c>
      <c r="F53" s="1275">
        <f>SUM(C53:E53)</f>
        <v>14604</v>
      </c>
    </row>
    <row r="54" spans="1:6" ht="23.25" customHeight="1" thickBot="1" thickTop="1">
      <c r="A54" s="987" t="s">
        <v>873</v>
      </c>
      <c r="B54" s="988" t="s">
        <v>983</v>
      </c>
      <c r="C54" s="989">
        <f>C41+C49+C53</f>
        <v>2179159</v>
      </c>
      <c r="D54" s="990">
        <f>D41+D49+D53</f>
        <v>5715897</v>
      </c>
      <c r="E54" s="1024">
        <f>E41+E49+E53</f>
        <v>687093</v>
      </c>
      <c r="F54" s="1000">
        <f>SUM(C54:E54)</f>
        <v>8582149</v>
      </c>
    </row>
    <row r="55" spans="1:6" ht="24" thickBot="1" thickTop="1">
      <c r="A55" s="656" t="s">
        <v>874</v>
      </c>
      <c r="B55" s="986" t="s">
        <v>984</v>
      </c>
      <c r="C55" s="1253"/>
      <c r="D55" s="1254">
        <f>'4_sz_ melléklet'!D554</f>
        <v>2280991</v>
      </c>
      <c r="E55" s="510">
        <f>'4_sz_ melléklet'!E554</f>
        <v>0</v>
      </c>
      <c r="F55" s="510">
        <f>C55+D55+E55</f>
        <v>2280991</v>
      </c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6" ht="12.75">
      <c r="B58" s="1"/>
      <c r="C58" s="1"/>
      <c r="D58" s="1"/>
      <c r="E58" s="1"/>
      <c r="F58" s="96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</sheetData>
  <sheetProtection/>
  <mergeCells count="8">
    <mergeCell ref="F4:F5"/>
    <mergeCell ref="A4:A5"/>
    <mergeCell ref="A1:E1"/>
    <mergeCell ref="C4:C5"/>
    <mergeCell ref="D4:D5"/>
    <mergeCell ref="E4:E5"/>
    <mergeCell ref="B4:B5"/>
    <mergeCell ref="B2:F2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51">
      <selection activeCell="E59" sqref="E59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546" t="s">
        <v>1364</v>
      </c>
      <c r="B1" s="1546"/>
      <c r="C1" s="1546"/>
      <c r="D1" s="571"/>
      <c r="E1" s="571"/>
    </row>
    <row r="2" spans="2:3" ht="15.75">
      <c r="B2" s="1596" t="s">
        <v>125</v>
      </c>
      <c r="C2" s="1596"/>
    </row>
    <row r="3" spans="2:3" ht="15.75">
      <c r="B3" s="1596" t="s">
        <v>126</v>
      </c>
      <c r="C3" s="1596"/>
    </row>
    <row r="4" spans="2:3" ht="15.75">
      <c r="B4" s="1596" t="s">
        <v>917</v>
      </c>
      <c r="C4" s="1596"/>
    </row>
    <row r="5" spans="2:3" ht="13.5" thickBot="1">
      <c r="B5" s="44"/>
      <c r="C5" s="46" t="s">
        <v>9</v>
      </c>
    </row>
    <row r="6" spans="1:3" ht="26.25" thickBot="1">
      <c r="A6" s="644" t="s">
        <v>801</v>
      </c>
      <c r="B6" s="727" t="s">
        <v>127</v>
      </c>
      <c r="C6" s="728" t="s">
        <v>918</v>
      </c>
    </row>
    <row r="7" spans="1:3" ht="13.5" thickBot="1">
      <c r="A7" s="708" t="s">
        <v>802</v>
      </c>
      <c r="B7" s="685" t="s">
        <v>803</v>
      </c>
      <c r="C7" s="692" t="s">
        <v>804</v>
      </c>
    </row>
    <row r="8" spans="1:3" ht="12.75" customHeight="1" thickBot="1">
      <c r="A8" s="582" t="s">
        <v>806</v>
      </c>
      <c r="B8" s="230" t="s">
        <v>128</v>
      </c>
      <c r="C8" s="730"/>
    </row>
    <row r="9" spans="1:3" ht="12.75" customHeight="1" thickBot="1">
      <c r="A9" s="709" t="s">
        <v>807</v>
      </c>
      <c r="B9" s="231" t="s">
        <v>916</v>
      </c>
      <c r="C9" s="731">
        <f>1894+4060</f>
        <v>5954</v>
      </c>
    </row>
    <row r="10" spans="1:3" ht="12.75" customHeight="1" thickBot="1">
      <c r="A10" s="582" t="s">
        <v>808</v>
      </c>
      <c r="B10" s="597" t="s">
        <v>96</v>
      </c>
      <c r="C10" s="732">
        <f>SUM(C9)</f>
        <v>5954</v>
      </c>
    </row>
    <row r="11" spans="1:3" ht="12.75" customHeight="1">
      <c r="A11" s="650" t="s">
        <v>809</v>
      </c>
      <c r="B11" s="232"/>
      <c r="C11" s="733"/>
    </row>
    <row r="12" spans="1:3" ht="12.75">
      <c r="A12" s="645" t="s">
        <v>810</v>
      </c>
      <c r="B12" s="233" t="s">
        <v>20</v>
      </c>
      <c r="C12" s="734"/>
    </row>
    <row r="13" spans="1:3" ht="12.75">
      <c r="A13" s="599" t="s">
        <v>811</v>
      </c>
      <c r="B13" s="5" t="s">
        <v>130</v>
      </c>
      <c r="C13" s="735">
        <v>258</v>
      </c>
    </row>
    <row r="14" spans="1:3" ht="12.75" customHeight="1" thickBot="1">
      <c r="A14" s="602" t="s">
        <v>812</v>
      </c>
      <c r="B14" s="5" t="s">
        <v>1469</v>
      </c>
      <c r="C14" s="735">
        <v>250</v>
      </c>
    </row>
    <row r="15" spans="1:3" ht="13.5" thickBot="1">
      <c r="A15" s="582" t="s">
        <v>813</v>
      </c>
      <c r="B15" s="597" t="s">
        <v>96</v>
      </c>
      <c r="C15" s="737">
        <f>SUM(C13:C14)</f>
        <v>508</v>
      </c>
    </row>
    <row r="16" spans="1:3" ht="12.75">
      <c r="A16" s="615" t="s">
        <v>814</v>
      </c>
      <c r="B16" s="9"/>
      <c r="C16" s="738"/>
    </row>
    <row r="17" spans="1:3" ht="12.75">
      <c r="A17" s="599" t="s">
        <v>815</v>
      </c>
      <c r="B17" s="234" t="s">
        <v>131</v>
      </c>
      <c r="C17" s="735"/>
    </row>
    <row r="18" spans="1:3" ht="13.5" thickBot="1">
      <c r="A18" s="602" t="s">
        <v>816</v>
      </c>
      <c r="B18" s="11" t="s">
        <v>1472</v>
      </c>
      <c r="C18" s="736">
        <v>10254</v>
      </c>
    </row>
    <row r="19" spans="1:3" ht="13.5" thickBot="1">
      <c r="A19" s="582" t="s">
        <v>817</v>
      </c>
      <c r="B19" s="597" t="s">
        <v>132</v>
      </c>
      <c r="C19" s="737">
        <f>SUM(C18)</f>
        <v>10254</v>
      </c>
    </row>
    <row r="20" spans="1:3" ht="12.75">
      <c r="A20" s="615" t="s">
        <v>818</v>
      </c>
      <c r="B20" s="9"/>
      <c r="C20" s="739"/>
    </row>
    <row r="21" spans="1:3" ht="12.75">
      <c r="A21" s="599" t="s">
        <v>819</v>
      </c>
      <c r="B21" s="1277" t="s">
        <v>1185</v>
      </c>
      <c r="C21" s="735"/>
    </row>
    <row r="22" spans="1:3" ht="13.5" thickBot="1">
      <c r="A22" s="602" t="s">
        <v>820</v>
      </c>
      <c r="B22" s="1278" t="s">
        <v>1186</v>
      </c>
      <c r="C22" s="736">
        <v>5700</v>
      </c>
    </row>
    <row r="23" spans="1:3" ht="13.5" thickBot="1">
      <c r="A23" s="582" t="s">
        <v>821</v>
      </c>
      <c r="B23" s="143" t="s">
        <v>132</v>
      </c>
      <c r="C23" s="1280">
        <f>SUM(C22)</f>
        <v>5700</v>
      </c>
    </row>
    <row r="24" spans="1:3" ht="12.75">
      <c r="A24" s="615" t="s">
        <v>822</v>
      </c>
      <c r="B24" s="1279"/>
      <c r="C24" s="739"/>
    </row>
    <row r="25" spans="1:3" ht="13.5" thickBot="1">
      <c r="A25" s="602" t="s">
        <v>823</v>
      </c>
      <c r="B25" s="458"/>
      <c r="C25" s="1276"/>
    </row>
    <row r="26" spans="1:3" ht="13.5" thickBot="1">
      <c r="A26" s="582" t="s">
        <v>824</v>
      </c>
      <c r="B26" s="597" t="s">
        <v>58</v>
      </c>
      <c r="C26" s="740">
        <f>C15+C19+C10+C23</f>
        <v>22416</v>
      </c>
    </row>
    <row r="27" spans="1:3" ht="12.75">
      <c r="A27" s="615" t="s">
        <v>826</v>
      </c>
      <c r="B27" s="1287"/>
      <c r="C27" s="1288"/>
    </row>
    <row r="28" spans="1:3" ht="12.75">
      <c r="A28" s="599" t="s">
        <v>827</v>
      </c>
      <c r="B28" s="1290" t="s">
        <v>38</v>
      </c>
      <c r="C28" s="1289"/>
    </row>
    <row r="29" spans="1:3" ht="12.75">
      <c r="A29" s="599" t="s">
        <v>828</v>
      </c>
      <c r="B29" s="1291" t="s">
        <v>1199</v>
      </c>
      <c r="C29" s="1292">
        <v>248</v>
      </c>
    </row>
    <row r="30" spans="1:3" ht="13.5" thickBot="1">
      <c r="A30" s="602" t="s">
        <v>829</v>
      </c>
      <c r="B30" s="160" t="s">
        <v>1200</v>
      </c>
      <c r="C30" s="1293">
        <v>126</v>
      </c>
    </row>
    <row r="31" spans="1:3" ht="13.5" thickBot="1">
      <c r="A31" s="582" t="s">
        <v>830</v>
      </c>
      <c r="B31" s="1209" t="s">
        <v>1058</v>
      </c>
      <c r="C31" s="1390">
        <f>SUM(C29:C30)</f>
        <v>374</v>
      </c>
    </row>
    <row r="32" spans="1:3" ht="12.75">
      <c r="A32" s="723" t="s">
        <v>831</v>
      </c>
      <c r="B32" s="1298"/>
      <c r="C32" s="1438"/>
    </row>
    <row r="33" spans="1:3" ht="12.75">
      <c r="A33" s="552" t="s">
        <v>832</v>
      </c>
      <c r="B33" s="1539"/>
      <c r="C33" s="741"/>
    </row>
    <row r="34" spans="1:3" ht="12.75">
      <c r="A34" s="552" t="s">
        <v>833</v>
      </c>
      <c r="B34" s="543"/>
      <c r="C34" s="741"/>
    </row>
    <row r="35" spans="1:3" ht="12.75">
      <c r="A35" s="552" t="s">
        <v>834</v>
      </c>
      <c r="B35" s="1540" t="s">
        <v>797</v>
      </c>
      <c r="C35" s="741">
        <v>49311</v>
      </c>
    </row>
    <row r="36" spans="1:3" ht="12.75">
      <c r="A36" s="552" t="s">
        <v>835</v>
      </c>
      <c r="B36" s="1296" t="s">
        <v>798</v>
      </c>
      <c r="C36" s="742">
        <f>SUM(C35)</f>
        <v>49311</v>
      </c>
    </row>
    <row r="37" spans="1:3" ht="12.75">
      <c r="A37" s="552" t="s">
        <v>836</v>
      </c>
      <c r="B37" s="545"/>
      <c r="C37" s="741"/>
    </row>
    <row r="38" spans="1:3" ht="12.75">
      <c r="A38" s="552" t="s">
        <v>837</v>
      </c>
      <c r="B38" s="4" t="s">
        <v>794</v>
      </c>
      <c r="C38" s="741">
        <v>104076</v>
      </c>
    </row>
    <row r="39" spans="1:3" ht="12.75">
      <c r="A39" s="552" t="s">
        <v>838</v>
      </c>
      <c r="B39" s="4" t="s">
        <v>795</v>
      </c>
      <c r="C39" s="743">
        <v>173130</v>
      </c>
    </row>
    <row r="40" spans="1:3" ht="12.75">
      <c r="A40" s="552" t="s">
        <v>839</v>
      </c>
      <c r="B40" s="4" t="s">
        <v>1412</v>
      </c>
      <c r="C40" s="743">
        <v>470</v>
      </c>
    </row>
    <row r="41" spans="1:11" s="20" customFormat="1" ht="12.75">
      <c r="A41" s="552" t="s">
        <v>840</v>
      </c>
      <c r="B41" s="1541" t="s">
        <v>1228</v>
      </c>
      <c r="C41" s="742">
        <f>SUM(C38:C40)</f>
        <v>277676</v>
      </c>
      <c r="K41"/>
    </row>
    <row r="42" spans="1:11" ht="12.75">
      <c r="A42" s="552" t="s">
        <v>841</v>
      </c>
      <c r="B42" s="4"/>
      <c r="C42" s="741"/>
      <c r="K42" s="20"/>
    </row>
    <row r="43" spans="1:3" ht="12.75">
      <c r="A43" s="552" t="s">
        <v>842</v>
      </c>
      <c r="B43" s="4" t="s">
        <v>800</v>
      </c>
      <c r="C43" s="741"/>
    </row>
    <row r="44" spans="1:11" s="20" customFormat="1" ht="12.75">
      <c r="A44" s="552" t="s">
        <v>843</v>
      </c>
      <c r="B44" s="1541" t="s">
        <v>133</v>
      </c>
      <c r="C44" s="742">
        <f>SUM(C43)</f>
        <v>0</v>
      </c>
      <c r="K44"/>
    </row>
    <row r="45" spans="1:11" ht="12.75">
      <c r="A45" s="552" t="s">
        <v>844</v>
      </c>
      <c r="B45" s="1542"/>
      <c r="C45" s="741"/>
      <c r="K45" s="20"/>
    </row>
    <row r="46" spans="1:3" ht="12.75">
      <c r="A46" s="552" t="s">
        <v>845</v>
      </c>
      <c r="B46" s="1542" t="s">
        <v>796</v>
      </c>
      <c r="C46" s="741">
        <v>79000</v>
      </c>
    </row>
    <row r="47" spans="1:11" s="20" customFormat="1" ht="12.75">
      <c r="A47" s="552" t="s">
        <v>846</v>
      </c>
      <c r="B47" s="1543" t="s">
        <v>1231</v>
      </c>
      <c r="C47" s="742">
        <f>SUM(C46:C46)</f>
        <v>79000</v>
      </c>
      <c r="K47"/>
    </row>
    <row r="48" spans="1:11" ht="12.75">
      <c r="A48" s="552" t="s">
        <v>847</v>
      </c>
      <c r="B48" s="1539"/>
      <c r="C48" s="743"/>
      <c r="K48" s="20"/>
    </row>
    <row r="49" spans="1:3" ht="12.75">
      <c r="A49" s="552" t="s">
        <v>848</v>
      </c>
      <c r="B49" s="1298" t="s">
        <v>1232</v>
      </c>
      <c r="C49" s="743">
        <v>47350</v>
      </c>
    </row>
    <row r="50" spans="1:11" s="20" customFormat="1" ht="12.75">
      <c r="A50" s="552" t="s">
        <v>849</v>
      </c>
      <c r="B50" s="1298" t="s">
        <v>1233</v>
      </c>
      <c r="C50" s="743">
        <v>220973</v>
      </c>
      <c r="K50"/>
    </row>
    <row r="51" spans="1:11" ht="12.75">
      <c r="A51" s="552" t="s">
        <v>869</v>
      </c>
      <c r="B51" s="543" t="s">
        <v>1230</v>
      </c>
      <c r="C51" s="729">
        <f>SUM(C49:C50)</f>
        <v>268323</v>
      </c>
      <c r="K51" s="20"/>
    </row>
    <row r="52" spans="1:3" ht="12.75">
      <c r="A52" s="552" t="s">
        <v>870</v>
      </c>
      <c r="B52" s="1539"/>
      <c r="C52" s="743"/>
    </row>
    <row r="53" spans="1:3" ht="12.75">
      <c r="A53" s="552" t="s">
        <v>871</v>
      </c>
      <c r="B53" s="1539" t="s">
        <v>799</v>
      </c>
      <c r="C53" s="743">
        <v>215000</v>
      </c>
    </row>
    <row r="54" spans="1:3" ht="12.75">
      <c r="A54" s="552" t="s">
        <v>872</v>
      </c>
      <c r="B54" s="1539" t="s">
        <v>793</v>
      </c>
      <c r="C54" s="743">
        <v>2518168</v>
      </c>
    </row>
    <row r="55" spans="1:11" s="20" customFormat="1" ht="13.5" thickBot="1">
      <c r="A55" s="552" t="s">
        <v>873</v>
      </c>
      <c r="B55" s="1297" t="s">
        <v>134</v>
      </c>
      <c r="C55" s="744">
        <f>SUM(C52:C54)</f>
        <v>2733168</v>
      </c>
      <c r="K55"/>
    </row>
    <row r="56" spans="1:11" s="20" customFormat="1" ht="12.75">
      <c r="A56" s="580"/>
      <c r="B56" s="880"/>
      <c r="C56" s="881"/>
      <c r="K56"/>
    </row>
    <row r="57" spans="1:11" s="20" customFormat="1" ht="12.75">
      <c r="A57" s="1567">
        <v>2</v>
      </c>
      <c r="B57" s="1545"/>
      <c r="C57" s="1545"/>
      <c r="K57"/>
    </row>
    <row r="58" spans="1:11" s="20" customFormat="1" ht="12.75">
      <c r="A58" s="1546" t="s">
        <v>1364</v>
      </c>
      <c r="B58" s="1546"/>
      <c r="C58" s="1546"/>
      <c r="D58" s="571"/>
      <c r="E58" s="571"/>
      <c r="K58"/>
    </row>
    <row r="59" spans="1:11" s="20" customFormat="1" ht="12.75">
      <c r="A59" s="571"/>
      <c r="B59" s="571"/>
      <c r="C59" s="571"/>
      <c r="D59" s="571"/>
      <c r="E59" s="571"/>
      <c r="K59"/>
    </row>
    <row r="60" spans="1:11" s="20" customFormat="1" ht="15.75">
      <c r="A60"/>
      <c r="B60" s="1596" t="s">
        <v>125</v>
      </c>
      <c r="C60" s="1596"/>
      <c r="D60"/>
      <c r="E60"/>
      <c r="K60"/>
    </row>
    <row r="61" spans="1:11" s="511" customFormat="1" ht="15.75">
      <c r="A61"/>
      <c r="B61" s="1596" t="s">
        <v>126</v>
      </c>
      <c r="C61" s="1596"/>
      <c r="D61"/>
      <c r="E61"/>
      <c r="K61" s="20"/>
    </row>
    <row r="62" spans="1:5" s="511" customFormat="1" ht="15.75">
      <c r="A62"/>
      <c r="B62" s="1596" t="s">
        <v>917</v>
      </c>
      <c r="C62" s="1596"/>
      <c r="D62"/>
      <c r="E62"/>
    </row>
    <row r="63" spans="1:5" s="511" customFormat="1" ht="13.5" thickBot="1">
      <c r="A63"/>
      <c r="B63" s="44"/>
      <c r="C63" s="46" t="s">
        <v>9</v>
      </c>
      <c r="D63"/>
      <c r="E63"/>
    </row>
    <row r="64" spans="1:5" s="511" customFormat="1" ht="26.25" thickBot="1">
      <c r="A64" s="644" t="s">
        <v>801</v>
      </c>
      <c r="B64" s="727" t="s">
        <v>127</v>
      </c>
      <c r="C64" s="1437" t="s">
        <v>918</v>
      </c>
      <c r="D64"/>
      <c r="E64"/>
    </row>
    <row r="65" spans="1:3" s="511" customFormat="1" ht="13.5" thickBot="1">
      <c r="A65" s="647" t="s">
        <v>802</v>
      </c>
      <c r="B65" s="696" t="s">
        <v>803</v>
      </c>
      <c r="C65" s="699" t="s">
        <v>804</v>
      </c>
    </row>
    <row r="66" spans="1:3" s="511" customFormat="1" ht="12.75">
      <c r="A66" s="553" t="s">
        <v>874</v>
      </c>
      <c r="B66" s="1539" t="s">
        <v>1477</v>
      </c>
      <c r="C66" s="741">
        <v>7620</v>
      </c>
    </row>
    <row r="67" spans="1:3" s="511" customFormat="1" ht="12.75">
      <c r="A67" s="552" t="s">
        <v>875</v>
      </c>
      <c r="B67" s="1298" t="s">
        <v>1213</v>
      </c>
      <c r="C67" s="1438">
        <v>400</v>
      </c>
    </row>
    <row r="68" spans="1:11" ht="12.75">
      <c r="A68" s="552" t="s">
        <v>876</v>
      </c>
      <c r="B68" s="543" t="s">
        <v>135</v>
      </c>
      <c r="C68" s="1439">
        <f>SUM(C66:C67)</f>
        <v>8020</v>
      </c>
      <c r="K68" s="511"/>
    </row>
    <row r="69" spans="1:11" ht="12.75">
      <c r="A69" s="552" t="s">
        <v>877</v>
      </c>
      <c r="B69" s="1295"/>
      <c r="C69" s="1440"/>
      <c r="K69" s="511"/>
    </row>
    <row r="70" spans="1:11" ht="12.75">
      <c r="A70" s="552" t="s">
        <v>878</v>
      </c>
      <c r="B70" s="1298" t="s">
        <v>1212</v>
      </c>
      <c r="C70" s="1438">
        <v>72817</v>
      </c>
      <c r="K70" s="511"/>
    </row>
    <row r="71" spans="1:11" ht="12.75">
      <c r="A71" s="552" t="s">
        <v>879</v>
      </c>
      <c r="B71" s="880" t="s">
        <v>1211</v>
      </c>
      <c r="C71" s="1441">
        <f>SUM(C70)</f>
        <v>72817</v>
      </c>
      <c r="K71" s="511"/>
    </row>
    <row r="72" spans="1:11" ht="12.75">
      <c r="A72" s="552" t="s">
        <v>880</v>
      </c>
      <c r="B72" s="1298"/>
      <c r="C72" s="1438"/>
      <c r="K72" s="511"/>
    </row>
    <row r="73" spans="1:11" ht="12.75">
      <c r="A73" s="552" t="s">
        <v>881</v>
      </c>
      <c r="B73" s="1298" t="s">
        <v>1217</v>
      </c>
      <c r="C73" s="1438">
        <v>107466</v>
      </c>
      <c r="K73" s="511"/>
    </row>
    <row r="74" spans="1:11" ht="12.75">
      <c r="A74" s="552" t="s">
        <v>882</v>
      </c>
      <c r="B74" s="1296" t="s">
        <v>1223</v>
      </c>
      <c r="C74" s="1442">
        <f>SUM(C73)</f>
        <v>107466</v>
      </c>
      <c r="K74" s="511"/>
    </row>
    <row r="75" spans="1:11" ht="12.75">
      <c r="A75" s="552" t="s">
        <v>883</v>
      </c>
      <c r="B75" s="1296"/>
      <c r="C75" s="1442"/>
      <c r="K75" s="511"/>
    </row>
    <row r="76" spans="1:11" ht="12.75">
      <c r="A76" s="552" t="s">
        <v>884</v>
      </c>
      <c r="B76" s="1298" t="s">
        <v>1224</v>
      </c>
      <c r="C76" s="1438">
        <v>1019</v>
      </c>
      <c r="K76" s="511"/>
    </row>
    <row r="77" spans="1:3" ht="12.75">
      <c r="A77" s="552" t="s">
        <v>885</v>
      </c>
      <c r="B77" s="1300" t="s">
        <v>1222</v>
      </c>
      <c r="C77" s="1443">
        <f>SUM(C76)</f>
        <v>1019</v>
      </c>
    </row>
    <row r="78" spans="1:3" ht="12.75">
      <c r="A78" s="552" t="s">
        <v>886</v>
      </c>
      <c r="B78" s="453"/>
      <c r="C78" s="1442"/>
    </row>
    <row r="79" spans="1:3" ht="12.75">
      <c r="A79" s="552" t="s">
        <v>887</v>
      </c>
      <c r="B79" s="206" t="s">
        <v>1404</v>
      </c>
      <c r="C79" s="1438">
        <v>150</v>
      </c>
    </row>
    <row r="80" spans="1:3" ht="13.5" thickBot="1">
      <c r="A80" s="617" t="s">
        <v>888</v>
      </c>
      <c r="B80" s="1536" t="s">
        <v>1405</v>
      </c>
      <c r="C80" s="1444">
        <f>SUM(C79)</f>
        <v>150</v>
      </c>
    </row>
    <row r="81" spans="1:3" ht="13.5" thickBot="1">
      <c r="A81" s="582" t="s">
        <v>889</v>
      </c>
      <c r="B81" s="1294" t="s">
        <v>124</v>
      </c>
      <c r="C81" s="1445" t="e">
        <f>C41+C44+C47+C51+C55+#REF!+C36+C71+C68+C74+C77+C80</f>
        <v>#REF!</v>
      </c>
    </row>
    <row r="82" spans="1:3" ht="13.5" thickBot="1">
      <c r="A82" s="952" t="s">
        <v>890</v>
      </c>
      <c r="B82" s="1297"/>
      <c r="C82" s="1446"/>
    </row>
    <row r="83" spans="1:3" ht="13.5" thickBot="1">
      <c r="A83" s="582" t="s">
        <v>891</v>
      </c>
      <c r="B83" s="1294" t="s">
        <v>1059</v>
      </c>
      <c r="C83" s="1447" t="e">
        <f>C26+C81+C31</f>
        <v>#REF!</v>
      </c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</sheetData>
  <sheetProtection/>
  <mergeCells count="9">
    <mergeCell ref="A1:C1"/>
    <mergeCell ref="B60:C60"/>
    <mergeCell ref="B61:C61"/>
    <mergeCell ref="B62:C62"/>
    <mergeCell ref="A57:C57"/>
    <mergeCell ref="B2:C2"/>
    <mergeCell ref="B3:C3"/>
    <mergeCell ref="B4:C4"/>
    <mergeCell ref="A58:C58"/>
  </mergeCells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6">
      <selection activeCell="C28" sqref="C28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546" t="s">
        <v>1365</v>
      </c>
      <c r="B1" s="1546"/>
      <c r="C1" s="1546"/>
      <c r="D1" s="571"/>
      <c r="E1" s="571"/>
    </row>
    <row r="2" spans="1:5" ht="12.75">
      <c r="A2" s="571"/>
      <c r="B2" s="571"/>
      <c r="C2" s="571"/>
      <c r="D2" s="571"/>
      <c r="E2" s="571"/>
    </row>
    <row r="3" spans="2:3" ht="15.75">
      <c r="B3" s="1596" t="s">
        <v>136</v>
      </c>
      <c r="C3" s="1596"/>
    </row>
    <row r="4" spans="2:3" ht="15.75">
      <c r="B4" s="1596" t="s">
        <v>917</v>
      </c>
      <c r="C4" s="1596"/>
    </row>
    <row r="5" spans="2:3" ht="15.75">
      <c r="B5" s="229"/>
      <c r="C5" s="229"/>
    </row>
    <row r="6" spans="2:3" ht="13.5" thickBot="1">
      <c r="B6" s="1"/>
      <c r="C6" s="46" t="s">
        <v>9</v>
      </c>
    </row>
    <row r="7" spans="1:3" ht="32.25" thickBot="1">
      <c r="A7" s="644" t="s">
        <v>801</v>
      </c>
      <c r="B7" s="711" t="s">
        <v>137</v>
      </c>
      <c r="C7" s="746" t="s">
        <v>1060</v>
      </c>
    </row>
    <row r="8" spans="1:3" ht="13.5" thickBot="1">
      <c r="A8" s="647" t="s">
        <v>802</v>
      </c>
      <c r="B8" s="685" t="s">
        <v>803</v>
      </c>
      <c r="C8" s="692" t="s">
        <v>804</v>
      </c>
    </row>
    <row r="9" spans="1:3" ht="16.5" thickBot="1">
      <c r="A9" s="582" t="s">
        <v>806</v>
      </c>
      <c r="B9" s="235" t="s">
        <v>138</v>
      </c>
      <c r="C9" s="747"/>
    </row>
    <row r="10" spans="1:3" ht="15.75">
      <c r="A10" s="650" t="s">
        <v>807</v>
      </c>
      <c r="B10" s="236" t="s">
        <v>139</v>
      </c>
      <c r="C10" s="748">
        <f>19000-19000</f>
        <v>0</v>
      </c>
    </row>
    <row r="11" spans="1:3" ht="15.75">
      <c r="A11" s="645" t="s">
        <v>808</v>
      </c>
      <c r="B11" s="237" t="s">
        <v>140</v>
      </c>
      <c r="C11" s="749">
        <v>600</v>
      </c>
    </row>
    <row r="12" spans="1:3" ht="15" customHeight="1">
      <c r="A12" s="645" t="s">
        <v>809</v>
      </c>
      <c r="B12" s="237" t="s">
        <v>141</v>
      </c>
      <c r="C12" s="750">
        <v>15000</v>
      </c>
    </row>
    <row r="13" spans="1:3" ht="15.75">
      <c r="A13" s="645" t="s">
        <v>810</v>
      </c>
      <c r="B13" s="238" t="s">
        <v>142</v>
      </c>
      <c r="C13" s="750">
        <v>22941</v>
      </c>
    </row>
    <row r="14" spans="1:3" ht="15.75">
      <c r="A14" s="599" t="s">
        <v>811</v>
      </c>
      <c r="B14" s="237" t="s">
        <v>143</v>
      </c>
      <c r="C14" s="749">
        <v>3000</v>
      </c>
    </row>
    <row r="15" spans="1:3" ht="15.75">
      <c r="A15" s="599" t="s">
        <v>812</v>
      </c>
      <c r="B15" s="239" t="s">
        <v>1061</v>
      </c>
      <c r="C15" s="750">
        <v>10700</v>
      </c>
    </row>
    <row r="16" spans="1:3" ht="15.75">
      <c r="A16" s="599" t="s">
        <v>813</v>
      </c>
      <c r="B16" s="237" t="s">
        <v>1062</v>
      </c>
      <c r="C16" s="749">
        <v>3000</v>
      </c>
    </row>
    <row r="17" spans="1:3" ht="16.5" thickBot="1">
      <c r="A17" s="602" t="s">
        <v>814</v>
      </c>
      <c r="B17" s="240" t="s">
        <v>1063</v>
      </c>
      <c r="C17" s="751">
        <v>1000</v>
      </c>
    </row>
    <row r="18" spans="1:3" ht="26.25" customHeight="1" thickBot="1">
      <c r="A18" s="582" t="s">
        <v>815</v>
      </c>
      <c r="B18" s="745" t="s">
        <v>144</v>
      </c>
      <c r="C18" s="752">
        <f>SUM(C10:C17)</f>
        <v>56241</v>
      </c>
    </row>
    <row r="19" spans="1:3" ht="15.75">
      <c r="A19" s="631"/>
      <c r="B19" s="240"/>
      <c r="C19" s="753"/>
    </row>
    <row r="20" spans="1:3" ht="15.75">
      <c r="A20" s="599" t="s">
        <v>816</v>
      </c>
      <c r="B20" s="241" t="s">
        <v>145</v>
      </c>
      <c r="C20" s="754"/>
    </row>
    <row r="21" spans="1:3" ht="15.75">
      <c r="A21" s="599" t="s">
        <v>817</v>
      </c>
      <c r="B21" s="237" t="s">
        <v>867</v>
      </c>
      <c r="C21" s="749">
        <v>8000</v>
      </c>
    </row>
    <row r="22" spans="1:3" ht="15.75">
      <c r="A22" s="599" t="s">
        <v>818</v>
      </c>
      <c r="B22" s="237" t="s">
        <v>1064</v>
      </c>
      <c r="C22" s="749">
        <v>30000</v>
      </c>
    </row>
    <row r="23" spans="1:3" ht="15.75">
      <c r="A23" s="599" t="s">
        <v>819</v>
      </c>
      <c r="B23" s="237" t="s">
        <v>146</v>
      </c>
      <c r="C23" s="749">
        <v>5000</v>
      </c>
    </row>
    <row r="24" spans="1:3" ht="15.75">
      <c r="A24" s="599" t="s">
        <v>820</v>
      </c>
      <c r="B24" s="237" t="s">
        <v>1065</v>
      </c>
      <c r="C24" s="749">
        <f>3000-3000</f>
        <v>0</v>
      </c>
    </row>
    <row r="25" spans="1:3" ht="15.75">
      <c r="A25" s="599" t="s">
        <v>821</v>
      </c>
      <c r="B25" s="237" t="s">
        <v>147</v>
      </c>
      <c r="C25" s="749">
        <v>5000</v>
      </c>
    </row>
    <row r="26" spans="1:3" ht="16.5" customHeight="1">
      <c r="A26" s="599" t="s">
        <v>822</v>
      </c>
      <c r="B26" s="237" t="s">
        <v>1066</v>
      </c>
      <c r="C26" s="749">
        <f>3000-3000</f>
        <v>0</v>
      </c>
    </row>
    <row r="27" spans="1:3" ht="15.75">
      <c r="A27" s="553" t="s">
        <v>823</v>
      </c>
      <c r="B27" s="1210" t="s">
        <v>1067</v>
      </c>
      <c r="C27" s="1211">
        <f>3865-1620</f>
        <v>2245</v>
      </c>
    </row>
    <row r="28" spans="1:3" ht="15.75">
      <c r="A28" s="553" t="s">
        <v>824</v>
      </c>
      <c r="B28" s="1210" t="s">
        <v>1068</v>
      </c>
      <c r="C28" s="1211">
        <v>300000</v>
      </c>
    </row>
    <row r="29" spans="1:3" ht="15.75">
      <c r="A29" s="553" t="s">
        <v>826</v>
      </c>
      <c r="B29" s="1210" t="s">
        <v>1201</v>
      </c>
      <c r="C29" s="1211">
        <v>70000</v>
      </c>
    </row>
    <row r="30" spans="1:3" ht="15.75">
      <c r="A30" s="553" t="s">
        <v>827</v>
      </c>
      <c r="B30" s="1210" t="s">
        <v>1202</v>
      </c>
      <c r="C30" s="1211">
        <v>50000</v>
      </c>
    </row>
    <row r="31" spans="1:3" ht="15.75">
      <c r="A31" s="553" t="s">
        <v>828</v>
      </c>
      <c r="B31" s="1210" t="s">
        <v>1203</v>
      </c>
      <c r="C31" s="1211">
        <v>30000</v>
      </c>
    </row>
    <row r="32" spans="1:3" ht="15.75">
      <c r="A32" s="553" t="s">
        <v>829</v>
      </c>
      <c r="B32" s="1210" t="s">
        <v>1204</v>
      </c>
      <c r="C32" s="1211">
        <f>7000-7000</f>
        <v>0</v>
      </c>
    </row>
    <row r="33" spans="1:3" ht="15.75">
      <c r="A33" s="553" t="s">
        <v>830</v>
      </c>
      <c r="B33" s="1210" t="s">
        <v>1205</v>
      </c>
      <c r="C33" s="1211">
        <v>5000</v>
      </c>
    </row>
    <row r="34" spans="1:3" ht="15.75">
      <c r="A34" s="553" t="s">
        <v>831</v>
      </c>
      <c r="B34" s="1210" t="s">
        <v>1206</v>
      </c>
      <c r="C34" s="1211">
        <f>1500-1261</f>
        <v>239</v>
      </c>
    </row>
    <row r="35" spans="1:3" ht="15.75">
      <c r="A35" s="553" t="s">
        <v>832</v>
      </c>
      <c r="B35" s="1210" t="s">
        <v>1207</v>
      </c>
      <c r="C35" s="1211">
        <v>2000</v>
      </c>
    </row>
    <row r="36" spans="1:3" ht="16.5" thickBot="1">
      <c r="A36" s="952" t="s">
        <v>833</v>
      </c>
      <c r="B36" s="238"/>
      <c r="C36" s="751"/>
    </row>
    <row r="37" spans="1:3" ht="16.5" thickBot="1">
      <c r="A37" s="582" t="s">
        <v>834</v>
      </c>
      <c r="B37" s="1364" t="s">
        <v>148</v>
      </c>
      <c r="C37" s="755">
        <f>SUM(C21:C36)</f>
        <v>507484</v>
      </c>
    </row>
    <row r="38" spans="1:3" ht="16.5" thickBot="1">
      <c r="A38" s="582"/>
      <c r="B38" s="159"/>
      <c r="C38" s="755"/>
    </row>
    <row r="39" spans="1:3" ht="16.5" thickBot="1">
      <c r="A39" s="582" t="s">
        <v>836</v>
      </c>
      <c r="B39" s="756" t="s">
        <v>149</v>
      </c>
      <c r="C39" s="757">
        <f>C18+C37</f>
        <v>563725</v>
      </c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ht="15.75">
      <c r="B46" s="590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7">
      <selection activeCell="B25" sqref="B25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571" t="s">
        <v>1366</v>
      </c>
      <c r="B1" s="571"/>
      <c r="C1" s="571"/>
      <c r="D1" s="571"/>
      <c r="E1" s="571"/>
    </row>
    <row r="2" spans="2:3" ht="12.75">
      <c r="B2" s="1"/>
      <c r="C2" s="1"/>
    </row>
    <row r="3" spans="2:3" ht="15.75">
      <c r="B3" s="1596" t="s">
        <v>150</v>
      </c>
      <c r="C3" s="1596"/>
    </row>
    <row r="4" spans="2:3" ht="15.75">
      <c r="B4" s="229"/>
      <c r="C4" s="229"/>
    </row>
    <row r="5" spans="2:3" ht="15.75">
      <c r="B5" s="229"/>
      <c r="C5" s="229"/>
    </row>
    <row r="6" spans="2:3" ht="13.5" thickBot="1">
      <c r="B6" s="1"/>
      <c r="C6" s="1"/>
    </row>
    <row r="7" spans="1:3" ht="26.25" thickBot="1">
      <c r="A7" s="644" t="s">
        <v>801</v>
      </c>
      <c r="B7" s="727" t="s">
        <v>151</v>
      </c>
      <c r="C7" s="758" t="s">
        <v>152</v>
      </c>
    </row>
    <row r="8" spans="1:3" ht="13.5" thickBot="1">
      <c r="A8" s="647" t="s">
        <v>802</v>
      </c>
      <c r="B8" s="685" t="s">
        <v>803</v>
      </c>
      <c r="C8" s="692" t="s">
        <v>804</v>
      </c>
    </row>
    <row r="9" spans="1:3" ht="15.75">
      <c r="A9" s="724" t="s">
        <v>806</v>
      </c>
      <c r="B9" s="242" t="s">
        <v>1069</v>
      </c>
      <c r="C9" s="759">
        <v>4</v>
      </c>
    </row>
    <row r="10" spans="1:3" ht="15.75">
      <c r="A10" s="650" t="s">
        <v>807</v>
      </c>
      <c r="B10" s="242" t="s">
        <v>1239</v>
      </c>
      <c r="C10" s="759">
        <v>0.3</v>
      </c>
    </row>
    <row r="11" spans="1:3" ht="15.75">
      <c r="A11" s="645" t="s">
        <v>808</v>
      </c>
      <c r="B11" s="242" t="s">
        <v>153</v>
      </c>
      <c r="C11" s="759">
        <v>51</v>
      </c>
    </row>
    <row r="12" spans="1:3" ht="15.75">
      <c r="A12" s="645" t="s">
        <v>809</v>
      </c>
      <c r="B12" s="242" t="s">
        <v>131</v>
      </c>
      <c r="C12" s="1501">
        <f>77+8-3</f>
        <v>82</v>
      </c>
    </row>
    <row r="13" spans="1:3" ht="15.75">
      <c r="A13" s="645" t="s">
        <v>810</v>
      </c>
      <c r="B13" s="242" t="s">
        <v>129</v>
      </c>
      <c r="C13" s="759">
        <v>52</v>
      </c>
    </row>
    <row r="14" spans="1:3" ht="15.75">
      <c r="A14" s="599" t="s">
        <v>811</v>
      </c>
      <c r="B14" s="242" t="s">
        <v>38</v>
      </c>
      <c r="C14" s="759">
        <f>76-2</f>
        <v>74</v>
      </c>
    </row>
    <row r="15" spans="1:3" ht="15.75">
      <c r="A15" s="599" t="s">
        <v>812</v>
      </c>
      <c r="B15" s="242" t="s">
        <v>1246</v>
      </c>
      <c r="C15" s="759">
        <v>1.2</v>
      </c>
    </row>
    <row r="16" spans="1:3" ht="15.75">
      <c r="A16" s="599" t="s">
        <v>813</v>
      </c>
      <c r="B16" s="242" t="s">
        <v>154</v>
      </c>
      <c r="C16" s="759">
        <v>76</v>
      </c>
    </row>
    <row r="17" spans="1:3" ht="15.75">
      <c r="A17" s="599" t="s">
        <v>814</v>
      </c>
      <c r="B17" s="242" t="s">
        <v>155</v>
      </c>
      <c r="C17" s="759">
        <f>60.5-6</f>
        <v>54.5</v>
      </c>
    </row>
    <row r="18" spans="1:3" ht="15.75">
      <c r="A18" s="599" t="s">
        <v>815</v>
      </c>
      <c r="B18" s="242" t="s">
        <v>19</v>
      </c>
      <c r="C18" s="759">
        <v>82.5</v>
      </c>
    </row>
    <row r="19" spans="1:3" ht="16.5" thickBot="1">
      <c r="A19" s="599" t="s">
        <v>816</v>
      </c>
      <c r="B19" s="242" t="s">
        <v>20</v>
      </c>
      <c r="C19" s="759">
        <v>133</v>
      </c>
    </row>
    <row r="20" spans="1:3" ht="16.5" thickBot="1">
      <c r="A20" s="582" t="s">
        <v>817</v>
      </c>
      <c r="B20" s="760" t="s">
        <v>156</v>
      </c>
      <c r="C20" s="761">
        <f>SUM(C9:C19)</f>
        <v>610.5</v>
      </c>
    </row>
    <row r="21" spans="2:3" ht="15.75">
      <c r="B21" s="243"/>
      <c r="C21" s="244"/>
    </row>
    <row r="22" spans="2:3" ht="15.75">
      <c r="B22" s="39" t="s">
        <v>1188</v>
      </c>
      <c r="C22" s="244"/>
    </row>
    <row r="23" spans="2:3" ht="12.75">
      <c r="B23" s="1" t="s">
        <v>1476</v>
      </c>
      <c r="C23" s="1"/>
    </row>
    <row r="24" spans="2:3" ht="12.75">
      <c r="B24" s="1"/>
      <c r="C24" s="1"/>
    </row>
    <row r="25" spans="2:3" ht="12.75">
      <c r="B25" s="1"/>
      <c r="C25" s="1"/>
    </row>
    <row r="26" spans="1:5" ht="12.75">
      <c r="A26" s="571" t="s">
        <v>1367</v>
      </c>
      <c r="B26" s="571"/>
      <c r="C26" s="571"/>
      <c r="D26" s="571"/>
      <c r="E26" s="571"/>
    </row>
    <row r="27" spans="2:3" ht="12.75">
      <c r="B27" s="1"/>
      <c r="C27" s="1"/>
    </row>
    <row r="28" spans="2:3" ht="15.75">
      <c r="B28" s="1596" t="s">
        <v>466</v>
      </c>
      <c r="C28" s="1596"/>
    </row>
    <row r="29" spans="2:3" ht="15.75">
      <c r="B29" s="229"/>
      <c r="C29" s="229"/>
    </row>
    <row r="30" spans="2:3" ht="15.75">
      <c r="B30" s="229"/>
      <c r="C30" s="229"/>
    </row>
    <row r="31" spans="2:3" ht="13.5" thickBot="1">
      <c r="B31" s="1"/>
      <c r="C31" s="1"/>
    </row>
    <row r="32" spans="1:3" ht="26.25" thickBot="1">
      <c r="A32" s="644" t="s">
        <v>801</v>
      </c>
      <c r="B32" s="727" t="s">
        <v>151</v>
      </c>
      <c r="C32" s="758" t="s">
        <v>152</v>
      </c>
    </row>
    <row r="33" spans="1:3" ht="13.5" thickBot="1">
      <c r="A33" s="647" t="s">
        <v>802</v>
      </c>
      <c r="B33" s="685" t="s">
        <v>803</v>
      </c>
      <c r="C33" s="692" t="s">
        <v>804</v>
      </c>
    </row>
    <row r="34" spans="1:3" ht="15.75">
      <c r="A34" s="724" t="s">
        <v>806</v>
      </c>
      <c r="B34" s="242" t="s">
        <v>1069</v>
      </c>
      <c r="C34" s="759">
        <f>58-13</f>
        <v>45</v>
      </c>
    </row>
    <row r="35" spans="1:3" ht="15.75">
      <c r="A35" s="599" t="s">
        <v>807</v>
      </c>
      <c r="B35" s="242" t="s">
        <v>153</v>
      </c>
      <c r="C35" s="1502">
        <v>2</v>
      </c>
    </row>
    <row r="36" spans="1:3" ht="15.75">
      <c r="A36" s="599" t="s">
        <v>808</v>
      </c>
      <c r="B36" s="242" t="s">
        <v>131</v>
      </c>
      <c r="C36" s="1502">
        <v>0</v>
      </c>
    </row>
    <row r="37" spans="1:3" ht="15.75">
      <c r="A37" s="599" t="s">
        <v>809</v>
      </c>
      <c r="B37" s="242" t="s">
        <v>129</v>
      </c>
      <c r="C37" s="1502">
        <v>0</v>
      </c>
    </row>
    <row r="38" spans="1:3" ht="15.75">
      <c r="A38" s="599" t="s">
        <v>810</v>
      </c>
      <c r="B38" s="242" t="s">
        <v>38</v>
      </c>
      <c r="C38" s="1502">
        <v>0</v>
      </c>
    </row>
    <row r="39" spans="1:3" ht="15.75">
      <c r="A39" s="599" t="s">
        <v>811</v>
      </c>
      <c r="B39" s="242" t="s">
        <v>154</v>
      </c>
      <c r="C39" s="1502">
        <v>0</v>
      </c>
    </row>
    <row r="40" spans="1:3" ht="15.75">
      <c r="A40" s="599" t="s">
        <v>812</v>
      </c>
      <c r="B40" s="242" t="s">
        <v>155</v>
      </c>
      <c r="C40" s="1502">
        <v>8</v>
      </c>
    </row>
    <row r="41" spans="1:3" ht="15.75">
      <c r="A41" s="599" t="s">
        <v>813</v>
      </c>
      <c r="B41" s="242" t="s">
        <v>19</v>
      </c>
      <c r="C41" s="1502">
        <v>2</v>
      </c>
    </row>
    <row r="42" spans="1:3" ht="16.5" thickBot="1">
      <c r="A42" s="599" t="s">
        <v>814</v>
      </c>
      <c r="B42" s="242" t="s">
        <v>20</v>
      </c>
      <c r="C42" s="1502">
        <v>1</v>
      </c>
    </row>
    <row r="43" spans="1:3" ht="16.5" thickBot="1">
      <c r="A43" s="582" t="s">
        <v>815</v>
      </c>
      <c r="B43" s="760" t="s">
        <v>1070</v>
      </c>
      <c r="C43" s="761">
        <f>SUM(C34:C42)</f>
        <v>58</v>
      </c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</sheetData>
  <sheetProtection/>
  <mergeCells count="2">
    <mergeCell ref="B3:C3"/>
    <mergeCell ref="B28:C2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25">
      <selection activeCell="C12" sqref="C12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1.8515625" style="0" customWidth="1"/>
    <col min="4" max="4" width="27.421875" style="0" customWidth="1"/>
    <col min="5" max="5" width="13.00390625" style="0" customWidth="1"/>
  </cols>
  <sheetData>
    <row r="1" spans="1:5" ht="12.75">
      <c r="A1" s="1546" t="s">
        <v>1368</v>
      </c>
      <c r="B1" s="1546"/>
      <c r="C1" s="1546"/>
      <c r="D1" s="1546"/>
      <c r="E1" s="1546"/>
    </row>
    <row r="2" spans="1:5" ht="12.75">
      <c r="A2" s="571"/>
      <c r="B2" s="571"/>
      <c r="C2" s="571"/>
      <c r="D2" s="571"/>
      <c r="E2" s="571"/>
    </row>
    <row r="3" spans="1:5" ht="15.75">
      <c r="A3" s="1599" t="s">
        <v>157</v>
      </c>
      <c r="B3" s="1545"/>
      <c r="C3" s="1545"/>
      <c r="D3" s="1545"/>
      <c r="E3" s="1545"/>
    </row>
    <row r="4" spans="2:5" ht="9" customHeight="1">
      <c r="B4" s="58"/>
      <c r="C4" s="58"/>
      <c r="D4" s="58"/>
      <c r="E4" s="58"/>
    </row>
    <row r="5" spans="2:5" ht="13.5" thickBot="1">
      <c r="B5" s="58"/>
      <c r="C5" s="58"/>
      <c r="D5" s="1600" t="s">
        <v>9</v>
      </c>
      <c r="E5" s="1600"/>
    </row>
    <row r="6" spans="1:5" ht="13.5" thickBot="1">
      <c r="A6" s="1597" t="s">
        <v>801</v>
      </c>
      <c r="B6" s="1601" t="s">
        <v>103</v>
      </c>
      <c r="C6" s="1601"/>
      <c r="D6" s="1601" t="s">
        <v>158</v>
      </c>
      <c r="E6" s="1602"/>
    </row>
    <row r="7" spans="1:5" ht="18" customHeight="1" thickBot="1">
      <c r="A7" s="1598"/>
      <c r="B7" s="59" t="s">
        <v>137</v>
      </c>
      <c r="C7" s="60" t="s">
        <v>1071</v>
      </c>
      <c r="D7" s="59" t="s">
        <v>137</v>
      </c>
      <c r="E7" s="769" t="s">
        <v>1072</v>
      </c>
    </row>
    <row r="8" spans="1:5" ht="12.75" customHeight="1" thickBot="1">
      <c r="A8" s="708" t="s">
        <v>802</v>
      </c>
      <c r="B8" s="696" t="s">
        <v>803</v>
      </c>
      <c r="C8" s="699" t="s">
        <v>804</v>
      </c>
      <c r="D8" s="699" t="s">
        <v>805</v>
      </c>
      <c r="E8" s="689" t="s">
        <v>825</v>
      </c>
    </row>
    <row r="9" spans="1:5" ht="12.75">
      <c r="A9" s="724" t="s">
        <v>806</v>
      </c>
      <c r="B9" s="61" t="s">
        <v>159</v>
      </c>
      <c r="C9" s="62">
        <f>'13_sz_ melléklet'!F8</f>
        <v>327927</v>
      </c>
      <c r="D9" s="61" t="s">
        <v>160</v>
      </c>
      <c r="E9" s="770">
        <f>'2_sz_ melléklet'!F8</f>
        <v>1525464</v>
      </c>
    </row>
    <row r="10" spans="1:5" ht="12.75">
      <c r="A10" s="650" t="s">
        <v>807</v>
      </c>
      <c r="B10" s="61" t="s">
        <v>161</v>
      </c>
      <c r="C10" s="62"/>
      <c r="D10" s="61" t="s">
        <v>162</v>
      </c>
      <c r="E10" s="770">
        <f>'2_sz_ melléklet'!F9</f>
        <v>422953</v>
      </c>
    </row>
    <row r="11" spans="1:5" ht="12.75">
      <c r="A11" s="645" t="s">
        <v>808</v>
      </c>
      <c r="B11" s="61" t="s">
        <v>607</v>
      </c>
      <c r="C11" s="63">
        <f>'13_sz_ melléklet'!F9</f>
        <v>1407811</v>
      </c>
      <c r="D11" s="61" t="s">
        <v>97</v>
      </c>
      <c r="E11" s="770">
        <f>'2_sz_ melléklet'!F10</f>
        <v>1233782</v>
      </c>
    </row>
    <row r="12" spans="1:5" ht="12.75">
      <c r="A12" s="645" t="s">
        <v>809</v>
      </c>
      <c r="B12" s="61" t="s">
        <v>608</v>
      </c>
      <c r="C12" s="63">
        <f>'13_sz_ melléklet'!F14-508</f>
        <v>1450766.2996666667</v>
      </c>
      <c r="D12" s="61" t="s">
        <v>163</v>
      </c>
      <c r="E12" s="770">
        <f>'2_sz_ melléklet'!F12</f>
        <v>16800</v>
      </c>
    </row>
    <row r="13" spans="1:5" ht="12.75">
      <c r="A13" s="645" t="s">
        <v>810</v>
      </c>
      <c r="B13" s="460" t="s">
        <v>619</v>
      </c>
      <c r="C13" s="62">
        <f>'19 21_sz_ melléklet'!C118+'19 21_sz_ melléklet'!C60</f>
        <v>466331</v>
      </c>
      <c r="D13" s="61" t="s">
        <v>164</v>
      </c>
      <c r="E13" s="770">
        <f>'2_sz_ melléklet'!F11</f>
        <v>-109446</v>
      </c>
    </row>
    <row r="14" spans="1:5" ht="12.75">
      <c r="A14" s="599" t="s">
        <v>811</v>
      </c>
      <c r="B14" s="460" t="s">
        <v>609</v>
      </c>
      <c r="C14" s="63">
        <f>'29 sz. mell'!C16+'29 sz. mell'!C29+'29 sz. mell'!C11</f>
        <v>3577</v>
      </c>
      <c r="D14" s="61" t="s">
        <v>165</v>
      </c>
      <c r="E14" s="770">
        <v>-451</v>
      </c>
    </row>
    <row r="15" spans="1:5" ht="12.75">
      <c r="A15" s="599" t="s">
        <v>812</v>
      </c>
      <c r="B15" s="64" t="s">
        <v>610</v>
      </c>
      <c r="C15" s="62"/>
      <c r="D15" s="61" t="s">
        <v>467</v>
      </c>
      <c r="E15" s="770">
        <f>'2_sz_ melléklet'!F13</f>
        <v>720721</v>
      </c>
    </row>
    <row r="16" spans="1:5" ht="12.75">
      <c r="A16" s="650" t="s">
        <v>813</v>
      </c>
      <c r="B16" s="460"/>
      <c r="C16" s="62"/>
      <c r="D16" s="64" t="s">
        <v>468</v>
      </c>
      <c r="E16" s="770">
        <f>'2_sz_ melléklet'!F18</f>
        <v>14312</v>
      </c>
    </row>
    <row r="17" spans="1:5" ht="24">
      <c r="A17" s="645" t="s">
        <v>814</v>
      </c>
      <c r="B17" s="64"/>
      <c r="C17" s="62"/>
      <c r="D17" s="465" t="s">
        <v>469</v>
      </c>
      <c r="E17" s="770">
        <f>'11 12 sz_melléklet'!C32</f>
        <v>0</v>
      </c>
    </row>
    <row r="18" spans="1:5" ht="12.75">
      <c r="A18" s="645" t="s">
        <v>815</v>
      </c>
      <c r="B18" s="64"/>
      <c r="C18" s="62"/>
      <c r="D18" s="64" t="s">
        <v>470</v>
      </c>
      <c r="E18" s="770">
        <f>'34 sz melléklet'!C18+'2_sz_ melléklet'!F38</f>
        <v>69063</v>
      </c>
    </row>
    <row r="19" spans="1:5" ht="6" customHeight="1">
      <c r="A19" s="645"/>
      <c r="B19" s="64"/>
      <c r="C19" s="62"/>
      <c r="D19" s="64"/>
      <c r="E19" s="771"/>
    </row>
    <row r="20" spans="1:5" ht="13.5" thickBot="1">
      <c r="A20" s="651" t="s">
        <v>816</v>
      </c>
      <c r="B20" s="65" t="s">
        <v>166</v>
      </c>
      <c r="C20" s="1213">
        <f>SUM(C9:C18)</f>
        <v>3656412.2996666664</v>
      </c>
      <c r="D20" s="65" t="s">
        <v>167</v>
      </c>
      <c r="E20" s="1220">
        <f>E9+E10+E11+E13+E14+E15+E16+E17+E18</f>
        <v>3876398</v>
      </c>
    </row>
    <row r="21" spans="1:5" ht="6.75" customHeight="1" thickBot="1">
      <c r="A21" s="582"/>
      <c r="B21" s="775"/>
      <c r="C21" s="1214"/>
      <c r="D21" s="775"/>
      <c r="E21" s="1214"/>
    </row>
    <row r="22" spans="1:5" ht="14.25" customHeight="1" thickBot="1">
      <c r="A22" s="649" t="s">
        <v>817</v>
      </c>
      <c r="B22" s="766" t="s">
        <v>611</v>
      </c>
      <c r="C22" s="1215"/>
      <c r="D22" s="461"/>
      <c r="E22" s="1215"/>
    </row>
    <row r="23" spans="1:5" ht="12.75" customHeight="1">
      <c r="A23" s="646" t="s">
        <v>818</v>
      </c>
      <c r="B23" s="1212" t="s">
        <v>168</v>
      </c>
      <c r="C23" s="1216">
        <f>'13_sz_ melléklet'!F48</f>
        <v>24104</v>
      </c>
      <c r="D23" s="1218" t="s">
        <v>471</v>
      </c>
      <c r="E23" s="1216">
        <f>'2_sz_ melléklet'!F47</f>
        <v>0</v>
      </c>
    </row>
    <row r="24" spans="1:5" ht="12.75" customHeight="1">
      <c r="A24" s="646" t="s">
        <v>819</v>
      </c>
      <c r="B24" s="778" t="s">
        <v>612</v>
      </c>
      <c r="C24" s="1217"/>
      <c r="D24" s="1219"/>
      <c r="E24" s="1217"/>
    </row>
    <row r="25" spans="1:5" ht="12.75" customHeight="1">
      <c r="A25" s="646" t="s">
        <v>820</v>
      </c>
      <c r="B25" s="767" t="s">
        <v>613</v>
      </c>
      <c r="C25" s="1217">
        <f>'13_sz_ melléklet'!F62</f>
        <v>0</v>
      </c>
      <c r="D25" s="1219"/>
      <c r="E25" s="1217"/>
    </row>
    <row r="26" spans="1:5" ht="13.5" thickBot="1">
      <c r="A26" s="1457" t="s">
        <v>821</v>
      </c>
      <c r="B26" s="1458" t="s">
        <v>614</v>
      </c>
      <c r="C26" s="1459">
        <f>E27-C20-C23-C25</f>
        <v>195881.70033333357</v>
      </c>
      <c r="D26" s="1460" t="s">
        <v>169</v>
      </c>
      <c r="E26" s="1461">
        <f>'2_sz_ melléklet'!F51</f>
        <v>0</v>
      </c>
    </row>
    <row r="27" spans="1:5" ht="13.5" thickBot="1">
      <c r="A27" s="1462" t="s">
        <v>822</v>
      </c>
      <c r="B27" s="1453" t="s">
        <v>170</v>
      </c>
      <c r="C27" s="1463">
        <f>C20+C26+C23</f>
        <v>3876398</v>
      </c>
      <c r="D27" s="1453" t="s">
        <v>171</v>
      </c>
      <c r="E27" s="1463">
        <f>E20+E23+E26</f>
        <v>3876398</v>
      </c>
    </row>
    <row r="28" spans="2:5" ht="8.25" customHeight="1">
      <c r="B28" s="58"/>
      <c r="C28" s="58"/>
      <c r="D28" s="58"/>
      <c r="E28" s="58"/>
    </row>
    <row r="29" spans="2:5" ht="15.75">
      <c r="B29" s="1599" t="s">
        <v>172</v>
      </c>
      <c r="C29" s="1599"/>
      <c r="D29" s="1599"/>
      <c r="E29" s="1599"/>
    </row>
    <row r="30" spans="2:5" ht="9.75" customHeight="1">
      <c r="B30" s="58"/>
      <c r="C30" s="58"/>
      <c r="D30" s="58"/>
      <c r="E30" s="58"/>
    </row>
    <row r="31" spans="2:5" ht="13.5" thickBot="1">
      <c r="B31" s="58"/>
      <c r="C31" s="58"/>
      <c r="D31" s="1600" t="s">
        <v>9</v>
      </c>
      <c r="E31" s="1600"/>
    </row>
    <row r="32" spans="1:5" ht="13.5" thickBot="1">
      <c r="A32" s="1597" t="s">
        <v>801</v>
      </c>
      <c r="B32" s="1601" t="s">
        <v>103</v>
      </c>
      <c r="C32" s="1601"/>
      <c r="D32" s="1601" t="s">
        <v>158</v>
      </c>
      <c r="E32" s="1602"/>
    </row>
    <row r="33" spans="1:5" ht="19.5" customHeight="1" thickBot="1">
      <c r="A33" s="1598"/>
      <c r="B33" s="66" t="s">
        <v>137</v>
      </c>
      <c r="C33" s="67" t="s">
        <v>1071</v>
      </c>
      <c r="D33" s="66" t="s">
        <v>137</v>
      </c>
      <c r="E33" s="783" t="s">
        <v>1072</v>
      </c>
    </row>
    <row r="34" spans="1:5" ht="13.5" thickBot="1">
      <c r="A34" s="647" t="s">
        <v>802</v>
      </c>
      <c r="B34" s="696" t="s">
        <v>803</v>
      </c>
      <c r="C34" s="699" t="s">
        <v>804</v>
      </c>
      <c r="D34" s="699" t="s">
        <v>805</v>
      </c>
      <c r="E34" s="689" t="s">
        <v>825</v>
      </c>
    </row>
    <row r="35" spans="1:5" ht="12.75">
      <c r="A35" s="650" t="s">
        <v>823</v>
      </c>
      <c r="B35" s="68" t="s">
        <v>173</v>
      </c>
      <c r="C35" s="63">
        <f>'13_sz_ melléklet'!F23</f>
        <v>914929</v>
      </c>
      <c r="D35" s="68" t="s">
        <v>174</v>
      </c>
      <c r="E35" s="770">
        <f>'2_sz_ melléklet'!F21</f>
        <v>3619740</v>
      </c>
    </row>
    <row r="36" spans="1:5" ht="12.75">
      <c r="A36" s="650" t="s">
        <v>824</v>
      </c>
      <c r="B36" s="68" t="s">
        <v>615</v>
      </c>
      <c r="C36" s="62">
        <f>'25 26 sz. melléklet'!C17+508</f>
        <v>6684</v>
      </c>
      <c r="D36" s="68" t="s">
        <v>175</v>
      </c>
      <c r="E36" s="770">
        <f>'2_sz_ melléklet'!F22</f>
        <v>168193</v>
      </c>
    </row>
    <row r="37" spans="1:5" ht="12.75">
      <c r="A37" s="650" t="s">
        <v>826</v>
      </c>
      <c r="B37" s="773" t="s">
        <v>616</v>
      </c>
      <c r="C37" s="62">
        <f>'13_sz_ melléklet'!F30</f>
        <v>2845438</v>
      </c>
      <c r="D37" s="69" t="s">
        <v>472</v>
      </c>
      <c r="E37" s="771">
        <f>'2_sz_ melléklet'!F23</f>
        <v>122351</v>
      </c>
    </row>
    <row r="38" spans="1:5" ht="12.75">
      <c r="A38" s="650" t="s">
        <v>827</v>
      </c>
      <c r="B38" s="69" t="s">
        <v>617</v>
      </c>
      <c r="C38" s="62">
        <f>'29 sz. mell'!C20+'29 sz. mell'!C31+'29 sz. mell'!C13</f>
        <v>61300</v>
      </c>
      <c r="D38" s="69" t="s">
        <v>473</v>
      </c>
      <c r="E38" s="771">
        <f>'2_sz_ melléklet'!F27</f>
        <v>1250</v>
      </c>
    </row>
    <row r="39" spans="1:5" ht="12.75">
      <c r="A39" s="650" t="s">
        <v>828</v>
      </c>
      <c r="B39" s="69" t="s">
        <v>610</v>
      </c>
      <c r="C39" s="62"/>
      <c r="D39" s="69" t="s">
        <v>176</v>
      </c>
      <c r="E39" s="771">
        <f>-E13</f>
        <v>109446</v>
      </c>
    </row>
    <row r="40" spans="1:5" ht="12.75">
      <c r="A40" s="650" t="s">
        <v>829</v>
      </c>
      <c r="B40" s="69" t="s">
        <v>177</v>
      </c>
      <c r="C40" s="62"/>
      <c r="D40" s="69" t="s">
        <v>179</v>
      </c>
      <c r="E40" s="771">
        <f>-E14</f>
        <v>451</v>
      </c>
    </row>
    <row r="41" spans="1:5" ht="25.5">
      <c r="A41" s="650" t="s">
        <v>830</v>
      </c>
      <c r="B41" s="774" t="s">
        <v>178</v>
      </c>
      <c r="C41" s="62"/>
      <c r="D41" s="70" t="s">
        <v>469</v>
      </c>
      <c r="E41" s="771">
        <f>'11 12 sz_melléklet'!C35</f>
        <v>62200</v>
      </c>
    </row>
    <row r="42" spans="1:5" ht="12.75">
      <c r="A42" s="650" t="s">
        <v>831</v>
      </c>
      <c r="B42" s="69"/>
      <c r="C42" s="8"/>
      <c r="D42" s="64" t="s">
        <v>470</v>
      </c>
      <c r="E42" s="771">
        <f>'34 sz melléklet'!C37</f>
        <v>507484</v>
      </c>
    </row>
    <row r="43" spans="1:5" ht="15.75" customHeight="1" thickBot="1">
      <c r="A43" s="650" t="s">
        <v>832</v>
      </c>
      <c r="B43" s="774"/>
      <c r="C43" s="62"/>
      <c r="D43" s="69"/>
      <c r="E43" s="771"/>
    </row>
    <row r="44" spans="1:5" ht="13.5" thickBot="1">
      <c r="A44" s="650" t="s">
        <v>833</v>
      </c>
      <c r="B44" s="775" t="s">
        <v>180</v>
      </c>
      <c r="C44" s="71">
        <f>C35+C36+C37+C38+C39+C40+C42+C43</f>
        <v>3828351</v>
      </c>
      <c r="D44" s="72" t="s">
        <v>181</v>
      </c>
      <c r="E44" s="772">
        <f>E35+E36+E37+E38+E39+E40+E41+E42</f>
        <v>4591115</v>
      </c>
    </row>
    <row r="45" spans="1:5" ht="12.75">
      <c r="A45" s="650" t="s">
        <v>834</v>
      </c>
      <c r="B45" s="776" t="s">
        <v>611</v>
      </c>
      <c r="C45" s="462"/>
      <c r="D45" s="463"/>
      <c r="E45" s="784"/>
    </row>
    <row r="46" spans="1:5" ht="15" customHeight="1">
      <c r="A46" s="650" t="s">
        <v>835</v>
      </c>
      <c r="B46" s="777" t="s">
        <v>168</v>
      </c>
      <c r="C46" s="1386">
        <f>'13_sz_ melléklet'!F49</f>
        <v>657704</v>
      </c>
      <c r="D46" s="1387" t="s">
        <v>474</v>
      </c>
      <c r="E46" s="1388">
        <f>'2_sz_ melléklet'!F49</f>
        <v>100032</v>
      </c>
    </row>
    <row r="47" spans="1:5" ht="15" customHeight="1">
      <c r="A47" s="650" t="s">
        <v>836</v>
      </c>
      <c r="B47" s="778" t="s">
        <v>612</v>
      </c>
      <c r="C47" s="466"/>
      <c r="D47" s="467"/>
      <c r="E47" s="786"/>
    </row>
    <row r="48" spans="1:5" ht="15" customHeight="1">
      <c r="A48" s="650" t="s">
        <v>837</v>
      </c>
      <c r="B48" s="779" t="s">
        <v>613</v>
      </c>
      <c r="C48" s="1386">
        <f>'13_sz_ melléklet'!F63</f>
        <v>102497</v>
      </c>
      <c r="D48" s="464"/>
      <c r="E48" s="785"/>
    </row>
    <row r="49" spans="1:5" ht="12" customHeight="1" thickBot="1">
      <c r="A49" s="650" t="s">
        <v>838</v>
      </c>
      <c r="B49" s="780" t="s">
        <v>618</v>
      </c>
      <c r="C49" s="73">
        <f>E50-C44-C46-C47-C48</f>
        <v>117199</v>
      </c>
      <c r="D49" s="1389" t="s">
        <v>169</v>
      </c>
      <c r="E49" s="787">
        <f>'2_sz_ melléklet'!F52</f>
        <v>14604</v>
      </c>
    </row>
    <row r="50" spans="1:5" ht="13.5" thickBot="1">
      <c r="A50" s="650" t="s">
        <v>839</v>
      </c>
      <c r="B50" s="775" t="s">
        <v>183</v>
      </c>
      <c r="C50" s="71">
        <f>SUM(C44:C49)</f>
        <v>4705751</v>
      </c>
      <c r="D50" s="72" t="s">
        <v>184</v>
      </c>
      <c r="E50" s="772">
        <f>SUM(E44:E49)</f>
        <v>4705751</v>
      </c>
    </row>
    <row r="51" spans="1:5" ht="7.5" customHeight="1" thickBot="1">
      <c r="A51" s="650"/>
      <c r="B51" s="781"/>
      <c r="C51" s="74"/>
      <c r="D51" s="75"/>
      <c r="E51" s="788"/>
    </row>
    <row r="52" spans="1:5" ht="15.75" customHeight="1">
      <c r="A52" s="645" t="s">
        <v>840</v>
      </c>
      <c r="B52" s="782" t="s">
        <v>185</v>
      </c>
      <c r="C52" s="76">
        <f>C20+C44</f>
        <v>7484763.299666666</v>
      </c>
      <c r="D52" s="468" t="s">
        <v>186</v>
      </c>
      <c r="E52" s="789">
        <f>E20+E44</f>
        <v>8467513</v>
      </c>
    </row>
    <row r="53" spans="1:5" ht="12.75">
      <c r="A53" s="645" t="s">
        <v>841</v>
      </c>
      <c r="B53" s="1219" t="s">
        <v>187</v>
      </c>
      <c r="C53" s="63">
        <f>C23+C46</f>
        <v>681808</v>
      </c>
      <c r="D53" s="61" t="s">
        <v>475</v>
      </c>
      <c r="E53" s="770">
        <f>E46+E23</f>
        <v>100032</v>
      </c>
    </row>
    <row r="54" spans="1:5" ht="12.75">
      <c r="A54" s="645" t="s">
        <v>842</v>
      </c>
      <c r="B54" s="1392" t="s">
        <v>613</v>
      </c>
      <c r="C54" s="63">
        <f>C25+C48</f>
        <v>102497</v>
      </c>
      <c r="D54" s="61"/>
      <c r="E54" s="770"/>
    </row>
    <row r="55" spans="1:5" ht="13.5" thickBot="1">
      <c r="A55" s="651" t="s">
        <v>843</v>
      </c>
      <c r="B55" s="1448" t="s">
        <v>618</v>
      </c>
      <c r="C55" s="1449">
        <f>C26+C49</f>
        <v>313080.7003333336</v>
      </c>
      <c r="D55" s="1450" t="s">
        <v>188</v>
      </c>
      <c r="E55" s="1451">
        <f>E26+E49</f>
        <v>14604</v>
      </c>
    </row>
    <row r="56" spans="1:5" ht="13.5" thickBot="1">
      <c r="A56" s="1452" t="s">
        <v>844</v>
      </c>
      <c r="B56" s="1453" t="s">
        <v>189</v>
      </c>
      <c r="C56" s="1454">
        <f>SUM(C52:C55)</f>
        <v>8582149</v>
      </c>
      <c r="D56" s="1455" t="s">
        <v>190</v>
      </c>
      <c r="E56" s="1456">
        <f>SUM(E52:E55)</f>
        <v>8582149</v>
      </c>
    </row>
    <row r="57" spans="2:5" ht="12.75">
      <c r="B57" s="1"/>
      <c r="C57" s="1"/>
      <c r="D57" s="1"/>
      <c r="E57" s="1"/>
    </row>
  </sheetData>
  <sheetProtection/>
  <mergeCells count="11">
    <mergeCell ref="A6:A7"/>
    <mergeCell ref="A32:A33"/>
    <mergeCell ref="A1:E1"/>
    <mergeCell ref="A3:E3"/>
    <mergeCell ref="D31:E31"/>
    <mergeCell ref="B32:C32"/>
    <mergeCell ref="D32:E32"/>
    <mergeCell ref="D5:E5"/>
    <mergeCell ref="B6:C6"/>
    <mergeCell ref="D6:E6"/>
    <mergeCell ref="B29:E29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30"/>
  <sheetViews>
    <sheetView zoomScalePageLayoutView="0" workbookViewId="0" topLeftCell="A175">
      <selection activeCell="A296" sqref="A1:E296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546" t="s">
        <v>1369</v>
      </c>
      <c r="B1" s="1546"/>
      <c r="C1" s="1546"/>
      <c r="D1" s="1546"/>
      <c r="E1" s="1546"/>
      <c r="H1" s="25"/>
      <c r="I1" s="205"/>
      <c r="J1" s="205"/>
    </row>
    <row r="2" spans="2:10" s="19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629" t="s">
        <v>485</v>
      </c>
      <c r="B3" s="1545"/>
      <c r="C3" s="1545"/>
      <c r="D3" s="1545"/>
      <c r="E3" s="1545"/>
      <c r="F3" s="442"/>
      <c r="G3" s="442"/>
      <c r="H3" s="45"/>
    </row>
    <row r="4" spans="1:8" s="1" customFormat="1" ht="15.75">
      <c r="A4" s="1629" t="s">
        <v>486</v>
      </c>
      <c r="B4" s="1570"/>
      <c r="C4" s="1570"/>
      <c r="D4" s="1570"/>
      <c r="E4" s="1570"/>
      <c r="F4"/>
      <c r="G4"/>
      <c r="H4" s="45"/>
    </row>
    <row r="5" spans="1:8" s="1" customFormat="1" ht="15.75">
      <c r="A5" s="1629" t="s">
        <v>1267</v>
      </c>
      <c r="B5" s="1545"/>
      <c r="C5" s="1545"/>
      <c r="D5" s="1545"/>
      <c r="E5" s="1545"/>
      <c r="F5"/>
      <c r="G5"/>
      <c r="H5" s="45"/>
    </row>
    <row r="7" spans="1:8" ht="14.25" customHeight="1">
      <c r="A7" s="1607" t="s">
        <v>487</v>
      </c>
      <c r="B7" s="1608"/>
      <c r="C7" s="1608"/>
      <c r="D7" s="1608"/>
      <c r="E7" s="1608"/>
      <c r="H7" s="443"/>
    </row>
    <row r="8" spans="1:5" ht="31.5" customHeight="1">
      <c r="A8" s="1604" t="s">
        <v>787</v>
      </c>
      <c r="B8" s="1570"/>
      <c r="C8" s="1570"/>
      <c r="D8" s="1570"/>
      <c r="E8" s="1570"/>
    </row>
    <row r="9" spans="1:5" ht="15.75">
      <c r="A9" s="1604" t="s">
        <v>783</v>
      </c>
      <c r="B9" s="1570"/>
      <c r="C9" s="1570"/>
      <c r="D9" s="442"/>
      <c r="E9" s="442"/>
    </row>
    <row r="10" spans="2:5" ht="15.75" thickBot="1">
      <c r="B10" s="248"/>
      <c r="C10" s="248"/>
      <c r="D10" s="248"/>
      <c r="E10" s="248" t="s">
        <v>363</v>
      </c>
    </row>
    <row r="11" spans="1:5" ht="27" thickBot="1">
      <c r="A11" s="768" t="s">
        <v>801</v>
      </c>
      <c r="B11" s="263" t="s">
        <v>488</v>
      </c>
      <c r="C11" s="798">
        <v>2012</v>
      </c>
      <c r="D11" s="798">
        <v>2013</v>
      </c>
      <c r="E11" s="791" t="s">
        <v>10</v>
      </c>
    </row>
    <row r="12" spans="1:5" ht="13.5" thickBot="1">
      <c r="A12" s="708" t="s">
        <v>802</v>
      </c>
      <c r="B12" s="696" t="s">
        <v>803</v>
      </c>
      <c r="C12" s="699" t="s">
        <v>804</v>
      </c>
      <c r="D12" s="699" t="s">
        <v>805</v>
      </c>
      <c r="E12" s="689" t="s">
        <v>825</v>
      </c>
    </row>
    <row r="13" spans="1:5" ht="15">
      <c r="A13" s="724" t="s">
        <v>806</v>
      </c>
      <c r="B13" s="264" t="s">
        <v>489</v>
      </c>
      <c r="C13" s="1331">
        <f>' 27 28 sz. melléklet'!E24</f>
        <v>32169</v>
      </c>
      <c r="D13" s="799"/>
      <c r="E13" s="792">
        <f aca="true" t="shared" si="0" ref="E13:E18">SUM(C13:D13)</f>
        <v>32169</v>
      </c>
    </row>
    <row r="14" spans="1:5" ht="15">
      <c r="A14" s="650" t="s">
        <v>807</v>
      </c>
      <c r="B14" s="265" t="s">
        <v>490</v>
      </c>
      <c r="C14" s="820">
        <f>' 27 28 sz. melléklet'!E24</f>
        <v>32169</v>
      </c>
      <c r="D14" s="800"/>
      <c r="E14" s="793">
        <f t="shared" si="0"/>
        <v>32169</v>
      </c>
    </row>
    <row r="15" spans="1:5" ht="15">
      <c r="A15" s="645" t="s">
        <v>808</v>
      </c>
      <c r="B15" s="264" t="s">
        <v>491</v>
      </c>
      <c r="C15" s="804">
        <f>' 27 28 sz. melléklet'!E23</f>
        <v>106622</v>
      </c>
      <c r="D15" s="799"/>
      <c r="E15" s="793">
        <f t="shared" si="0"/>
        <v>106622</v>
      </c>
    </row>
    <row r="16" spans="1:5" s="19" customFormat="1" ht="15">
      <c r="A16" s="645" t="s">
        <v>809</v>
      </c>
      <c r="B16" s="266" t="s">
        <v>492</v>
      </c>
      <c r="C16" s="800">
        <v>0</v>
      </c>
      <c r="D16" s="800"/>
      <c r="E16" s="793">
        <f t="shared" si="0"/>
        <v>0</v>
      </c>
    </row>
    <row r="17" spans="1:5" ht="15">
      <c r="A17" s="645" t="s">
        <v>810</v>
      </c>
      <c r="B17" s="267" t="s">
        <v>477</v>
      </c>
      <c r="C17" s="799">
        <v>0</v>
      </c>
      <c r="D17" s="799"/>
      <c r="E17" s="793">
        <f t="shared" si="0"/>
        <v>0</v>
      </c>
    </row>
    <row r="18" spans="1:5" ht="15.75" thickBot="1">
      <c r="A18" s="602" t="s">
        <v>811</v>
      </c>
      <c r="B18" s="529" t="s">
        <v>493</v>
      </c>
      <c r="C18" s="801">
        <v>0</v>
      </c>
      <c r="D18" s="801"/>
      <c r="E18" s="794">
        <f t="shared" si="0"/>
        <v>0</v>
      </c>
    </row>
    <row r="19" spans="1:5" ht="15" thickBot="1">
      <c r="A19" s="582" t="s">
        <v>812</v>
      </c>
      <c r="B19" s="261" t="s">
        <v>494</v>
      </c>
      <c r="C19" s="1332">
        <f>SUM(C13:C18)-C14</f>
        <v>138791</v>
      </c>
      <c r="D19" s="802">
        <f>SUM(D13:D18)</f>
        <v>0</v>
      </c>
      <c r="E19" s="795">
        <f>SUM(E13:E18)</f>
        <v>170960</v>
      </c>
    </row>
    <row r="20" spans="1:5" ht="13.5" thickBot="1">
      <c r="A20" s="648" t="s">
        <v>813</v>
      </c>
      <c r="B20" s="18"/>
      <c r="C20" s="509"/>
      <c r="D20" s="509"/>
      <c r="E20" s="501"/>
    </row>
    <row r="21" spans="1:5" ht="15.75" thickBot="1">
      <c r="A21" s="582" t="s">
        <v>814</v>
      </c>
      <c r="B21" s="263" t="s">
        <v>495</v>
      </c>
      <c r="C21" s="798">
        <v>2012</v>
      </c>
      <c r="D21" s="798">
        <v>2013</v>
      </c>
      <c r="E21" s="791" t="s">
        <v>40</v>
      </c>
    </row>
    <row r="22" spans="1:5" ht="15.75">
      <c r="A22" s="615" t="s">
        <v>815</v>
      </c>
      <c r="B22" s="532" t="s">
        <v>600</v>
      </c>
      <c r="C22" s="803">
        <v>0</v>
      </c>
      <c r="D22" s="799"/>
      <c r="E22" s="796">
        <f>SUM(C22:D22)</f>
        <v>0</v>
      </c>
    </row>
    <row r="23" spans="1:5" ht="15.75">
      <c r="A23" s="599" t="s">
        <v>816</v>
      </c>
      <c r="B23" s="533" t="s">
        <v>601</v>
      </c>
      <c r="C23" s="800">
        <v>0</v>
      </c>
      <c r="D23" s="800"/>
      <c r="E23" s="793">
        <f>SUM(C23:D23)</f>
        <v>0</v>
      </c>
    </row>
    <row r="24" spans="1:5" ht="15.75">
      <c r="A24" s="599" t="s">
        <v>817</v>
      </c>
      <c r="B24" s="533" t="s">
        <v>602</v>
      </c>
      <c r="C24" s="800">
        <v>0</v>
      </c>
      <c r="D24" s="800"/>
      <c r="E24" s="793">
        <f>SUM(C24:D24)</f>
        <v>0</v>
      </c>
    </row>
    <row r="25" spans="1:5" ht="15.75">
      <c r="A25" s="599" t="s">
        <v>818</v>
      </c>
      <c r="B25" s="533" t="s">
        <v>603</v>
      </c>
      <c r="C25" s="804">
        <f>'33_sz_ melléklet'!C38</f>
        <v>104076</v>
      </c>
      <c r="D25" s="800"/>
      <c r="E25" s="797">
        <f>SUM(C25:D25)</f>
        <v>104076</v>
      </c>
    </row>
    <row r="26" spans="1:5" ht="16.5" thickBot="1">
      <c r="A26" s="618" t="s">
        <v>819</v>
      </c>
      <c r="B26" s="790" t="s">
        <v>604</v>
      </c>
      <c r="C26" s="801">
        <v>0</v>
      </c>
      <c r="D26" s="801"/>
      <c r="E26" s="794">
        <f>SUM(C26:D26)</f>
        <v>0</v>
      </c>
    </row>
    <row r="27" spans="1:10" ht="15" thickBot="1">
      <c r="A27" s="582" t="s">
        <v>820</v>
      </c>
      <c r="B27" s="268" t="s">
        <v>498</v>
      </c>
      <c r="C27" s="1332">
        <f>SUM(C22:C26)</f>
        <v>104076</v>
      </c>
      <c r="D27" s="1332">
        <f>SUM(D22:D26)</f>
        <v>0</v>
      </c>
      <c r="E27" s="1332">
        <f>SUM(E22:E26)</f>
        <v>104076</v>
      </c>
      <c r="F27" s="19"/>
      <c r="G27" s="19"/>
      <c r="H27" s="19"/>
      <c r="I27" s="19"/>
      <c r="J27" s="19"/>
    </row>
    <row r="28" spans="2:10" ht="14.25">
      <c r="B28" s="449"/>
      <c r="C28" s="115"/>
      <c r="D28" s="115"/>
      <c r="E28" s="115"/>
      <c r="F28" s="19"/>
      <c r="G28" s="19"/>
      <c r="H28" s="19"/>
      <c r="I28" s="19"/>
      <c r="J28" s="19"/>
    </row>
    <row r="29" spans="1:8" ht="18.75" customHeight="1">
      <c r="A29" s="1607" t="s">
        <v>487</v>
      </c>
      <c r="B29" s="1608"/>
      <c r="C29" s="1608"/>
      <c r="D29" s="1608"/>
      <c r="E29" s="1608"/>
      <c r="H29" s="443"/>
    </row>
    <row r="30" spans="1:5" ht="32.25" customHeight="1">
      <c r="A30" s="1633" t="s">
        <v>1247</v>
      </c>
      <c r="B30" s="1608"/>
      <c r="C30" s="1608"/>
      <c r="D30" s="1608"/>
      <c r="E30" s="1608"/>
    </row>
    <row r="31" spans="1:5" ht="15.75">
      <c r="A31" s="1632" t="s">
        <v>791</v>
      </c>
      <c r="B31" s="1570"/>
      <c r="C31" s="1570"/>
      <c r="D31" s="1570"/>
      <c r="E31" s="1570"/>
    </row>
    <row r="32" spans="2:5" ht="10.5" customHeight="1" thickBot="1">
      <c r="B32" s="248"/>
      <c r="C32" s="248"/>
      <c r="D32" s="248"/>
      <c r="E32" s="248" t="s">
        <v>363</v>
      </c>
    </row>
    <row r="33" spans="1:5" ht="27" thickBot="1">
      <c r="A33" s="768" t="s">
        <v>801</v>
      </c>
      <c r="B33" s="263" t="s">
        <v>488</v>
      </c>
      <c r="C33" s="798">
        <v>2012</v>
      </c>
      <c r="D33" s="798">
        <v>2013</v>
      </c>
      <c r="E33" s="531" t="s">
        <v>10</v>
      </c>
    </row>
    <row r="34" spans="1:5" ht="13.5" thickBot="1">
      <c r="A34" s="708" t="s">
        <v>802</v>
      </c>
      <c r="B34" s="696" t="s">
        <v>803</v>
      </c>
      <c r="C34" s="699" t="s">
        <v>804</v>
      </c>
      <c r="D34" s="699" t="s">
        <v>805</v>
      </c>
      <c r="E34" s="689" t="s">
        <v>825</v>
      </c>
    </row>
    <row r="35" spans="1:5" ht="15">
      <c r="A35" s="724" t="s">
        <v>806</v>
      </c>
      <c r="B35" s="264" t="s">
        <v>489</v>
      </c>
      <c r="C35" s="514">
        <v>0</v>
      </c>
      <c r="D35" s="258"/>
      <c r="E35" s="537">
        <f aca="true" t="shared" si="1" ref="E35:E40">SUM(C35:D35)</f>
        <v>0</v>
      </c>
    </row>
    <row r="36" spans="1:5" ht="15">
      <c r="A36" s="650" t="s">
        <v>807</v>
      </c>
      <c r="B36" s="265" t="s">
        <v>490</v>
      </c>
      <c r="C36" s="269">
        <v>0</v>
      </c>
      <c r="D36" s="269"/>
      <c r="E36" s="536">
        <f t="shared" si="1"/>
        <v>0</v>
      </c>
    </row>
    <row r="37" spans="1:5" ht="15">
      <c r="A37" s="645" t="s">
        <v>808</v>
      </c>
      <c r="B37" s="264" t="s">
        <v>491</v>
      </c>
      <c r="C37" s="269">
        <f>' 27 28 sz. melléklet'!E21</f>
        <v>1685204</v>
      </c>
      <c r="D37" s="258"/>
      <c r="E37" s="536">
        <f t="shared" si="1"/>
        <v>1685204</v>
      </c>
    </row>
    <row r="38" spans="1:5" s="19" customFormat="1" ht="15">
      <c r="A38" s="645" t="s">
        <v>809</v>
      </c>
      <c r="B38" s="266" t="s">
        <v>492</v>
      </c>
      <c r="C38" s="269">
        <v>0</v>
      </c>
      <c r="D38" s="260"/>
      <c r="E38" s="536">
        <f t="shared" si="1"/>
        <v>0</v>
      </c>
    </row>
    <row r="39" spans="1:5" ht="15">
      <c r="A39" s="645" t="s">
        <v>810</v>
      </c>
      <c r="B39" s="267" t="s">
        <v>477</v>
      </c>
      <c r="C39" s="514">
        <v>0</v>
      </c>
      <c r="D39" s="258"/>
      <c r="E39" s="536">
        <f t="shared" si="1"/>
        <v>0</v>
      </c>
    </row>
    <row r="40" spans="1:5" ht="15.75" thickBot="1">
      <c r="A40" s="602" t="s">
        <v>811</v>
      </c>
      <c r="B40" s="266" t="s">
        <v>493</v>
      </c>
      <c r="C40" s="269">
        <f>535300+297664</f>
        <v>832964</v>
      </c>
      <c r="D40" s="260"/>
      <c r="E40" s="536">
        <f t="shared" si="1"/>
        <v>832964</v>
      </c>
    </row>
    <row r="41" spans="1:5" ht="15" thickBot="1">
      <c r="A41" s="582" t="s">
        <v>812</v>
      </c>
      <c r="B41" s="261" t="s">
        <v>494</v>
      </c>
      <c r="C41" s="515">
        <f>SUM(C35:C40)</f>
        <v>2518168</v>
      </c>
      <c r="D41" s="515">
        <f>SUM(D35:D40)</f>
        <v>0</v>
      </c>
      <c r="E41" s="810">
        <f>SUM(E35:E40)</f>
        <v>2518168</v>
      </c>
    </row>
    <row r="42" spans="1:5" ht="15" thickBot="1">
      <c r="A42" s="648" t="s">
        <v>813</v>
      </c>
      <c r="B42" s="115"/>
      <c r="C42" s="115"/>
      <c r="D42" s="115"/>
      <c r="E42" s="899"/>
    </row>
    <row r="43" spans="1:5" ht="15.75" thickBot="1">
      <c r="A43" s="582" t="s">
        <v>814</v>
      </c>
      <c r="B43" s="263" t="s">
        <v>495</v>
      </c>
      <c r="C43" s="798">
        <v>2012</v>
      </c>
      <c r="D43" s="798">
        <v>2013</v>
      </c>
      <c r="E43" s="531" t="s">
        <v>40</v>
      </c>
    </row>
    <row r="44" spans="1:5" ht="15.75">
      <c r="A44" s="615" t="s">
        <v>815</v>
      </c>
      <c r="B44" s="532" t="s">
        <v>600</v>
      </c>
      <c r="C44" s="534">
        <v>0</v>
      </c>
      <c r="D44" s="258"/>
      <c r="E44" s="535">
        <f>SUM(C44:D44)</f>
        <v>0</v>
      </c>
    </row>
    <row r="45" spans="1:5" ht="15.75">
      <c r="A45" s="599" t="s">
        <v>816</v>
      </c>
      <c r="B45" s="533" t="s">
        <v>601</v>
      </c>
      <c r="C45" s="259">
        <v>0</v>
      </c>
      <c r="D45" s="260"/>
      <c r="E45" s="528">
        <f>SUM(C45:D45)</f>
        <v>0</v>
      </c>
    </row>
    <row r="46" spans="1:5" ht="15.75">
      <c r="A46" s="599" t="s">
        <v>817</v>
      </c>
      <c r="B46" s="533" t="s">
        <v>602</v>
      </c>
      <c r="C46" s="259">
        <v>0</v>
      </c>
      <c r="D46" s="260"/>
      <c r="E46" s="528">
        <f>SUM(C46:D46)</f>
        <v>0</v>
      </c>
    </row>
    <row r="47" spans="1:5" ht="15.75">
      <c r="A47" s="599" t="s">
        <v>818</v>
      </c>
      <c r="B47" s="533" t="s">
        <v>603</v>
      </c>
      <c r="C47" s="514">
        <f>'33_sz_ melléklet'!C54</f>
        <v>2518168</v>
      </c>
      <c r="D47" s="260"/>
      <c r="E47" s="536">
        <f>SUM(C47:D47)</f>
        <v>2518168</v>
      </c>
    </row>
    <row r="48" spans="1:5" ht="16.5" thickBot="1">
      <c r="A48" s="618" t="s">
        <v>819</v>
      </c>
      <c r="B48" s="533" t="s">
        <v>604</v>
      </c>
      <c r="C48" s="530">
        <v>0</v>
      </c>
      <c r="D48" s="260"/>
      <c r="E48" s="528">
        <f>SUM(C48:D48)</f>
        <v>0</v>
      </c>
    </row>
    <row r="49" spans="1:10" ht="15" thickBot="1">
      <c r="A49" s="582" t="s">
        <v>820</v>
      </c>
      <c r="B49" s="268" t="s">
        <v>498</v>
      </c>
      <c r="C49" s="515">
        <f>SUM(C44:C48)</f>
        <v>2518168</v>
      </c>
      <c r="D49" s="515">
        <f>SUM(D44:D48)</f>
        <v>0</v>
      </c>
      <c r="E49" s="810">
        <f>SUM(E44:E48)</f>
        <v>2518168</v>
      </c>
      <c r="F49" s="19"/>
      <c r="G49" s="19"/>
      <c r="H49" s="19"/>
      <c r="I49" s="19"/>
      <c r="J49" s="19"/>
    </row>
    <row r="50" spans="2:10" ht="14.25">
      <c r="B50" s="449"/>
      <c r="C50" s="115"/>
      <c r="D50" s="115"/>
      <c r="E50" s="115"/>
      <c r="F50" s="19"/>
      <c r="G50" s="19"/>
      <c r="H50" s="19"/>
      <c r="I50" s="19"/>
      <c r="J50" s="19"/>
    </row>
    <row r="51" spans="1:10" ht="12.75">
      <c r="A51" s="1546" t="s">
        <v>1369</v>
      </c>
      <c r="B51" s="1546"/>
      <c r="C51" s="1546"/>
      <c r="D51" s="1546"/>
      <c r="E51" s="1546"/>
      <c r="F51" s="19"/>
      <c r="G51" s="19"/>
      <c r="H51" s="19"/>
      <c r="I51" s="19"/>
      <c r="J51" s="19"/>
    </row>
    <row r="52" spans="1:10" ht="12.75">
      <c r="A52" s="1545">
        <v>2</v>
      </c>
      <c r="B52" s="1545"/>
      <c r="C52" s="1545"/>
      <c r="D52" s="1545"/>
      <c r="E52" s="1545"/>
      <c r="F52" s="19"/>
      <c r="G52" s="19"/>
      <c r="H52" s="19"/>
      <c r="I52" s="19"/>
      <c r="J52" s="19"/>
    </row>
    <row r="53" spans="1:8" ht="17.25" customHeight="1">
      <c r="A53" s="1607" t="s">
        <v>487</v>
      </c>
      <c r="B53" s="1608"/>
      <c r="C53" s="1608"/>
      <c r="D53" s="1608"/>
      <c r="E53" s="1608"/>
      <c r="H53" s="443"/>
    </row>
    <row r="54" spans="1:5" ht="13.5">
      <c r="A54" s="1609" t="s">
        <v>784</v>
      </c>
      <c r="B54" s="1610"/>
      <c r="C54" s="1610"/>
      <c r="D54" s="1610"/>
      <c r="E54" s="1610"/>
    </row>
    <row r="55" spans="1:5" ht="15.75">
      <c r="A55" s="1604" t="s">
        <v>780</v>
      </c>
      <c r="B55" s="1570"/>
      <c r="C55" s="1570"/>
      <c r="D55" s="442"/>
      <c r="E55" s="442"/>
    </row>
    <row r="56" spans="2:5" ht="15.75" thickBot="1">
      <c r="B56" s="248"/>
      <c r="C56" s="248"/>
      <c r="D56" s="248"/>
      <c r="E56" s="248" t="s">
        <v>363</v>
      </c>
    </row>
    <row r="57" spans="1:5" ht="27" thickBot="1">
      <c r="A57" s="768" t="s">
        <v>801</v>
      </c>
      <c r="B57" s="263" t="s">
        <v>488</v>
      </c>
      <c r="C57" s="798">
        <v>2012</v>
      </c>
      <c r="D57" s="798">
        <v>2013</v>
      </c>
      <c r="E57" s="791" t="s">
        <v>10</v>
      </c>
    </row>
    <row r="58" spans="1:5" ht="13.5" thickBot="1">
      <c r="A58" s="708" t="s">
        <v>802</v>
      </c>
      <c r="B58" s="696" t="s">
        <v>803</v>
      </c>
      <c r="C58" s="696" t="s">
        <v>804</v>
      </c>
      <c r="D58" s="699" t="s">
        <v>805</v>
      </c>
      <c r="E58" s="689" t="s">
        <v>825</v>
      </c>
    </row>
    <row r="59" spans="1:5" ht="15">
      <c r="A59" s="724" t="s">
        <v>806</v>
      </c>
      <c r="B59" s="264" t="s">
        <v>489</v>
      </c>
      <c r="C59" s="816">
        <v>189137</v>
      </c>
      <c r="D59" s="799"/>
      <c r="E59" s="814">
        <f aca="true" t="shared" si="2" ref="E59:E64">SUM(C59:D59)</f>
        <v>189137</v>
      </c>
    </row>
    <row r="60" spans="1:5" ht="15">
      <c r="A60" s="650" t="s">
        <v>807</v>
      </c>
      <c r="B60" s="265" t="s">
        <v>490</v>
      </c>
      <c r="C60" s="817">
        <v>0</v>
      </c>
      <c r="D60" s="800"/>
      <c r="E60" s="797">
        <f t="shared" si="2"/>
        <v>0</v>
      </c>
    </row>
    <row r="61" spans="1:5" ht="15">
      <c r="A61" s="645" t="s">
        <v>808</v>
      </c>
      <c r="B61" s="264" t="s">
        <v>491</v>
      </c>
      <c r="C61" s="816">
        <f>' 27 28 sz. melléklet'!E22</f>
        <v>93761</v>
      </c>
      <c r="D61" s="799"/>
      <c r="E61" s="814">
        <f t="shared" si="2"/>
        <v>93761</v>
      </c>
    </row>
    <row r="62" spans="1:5" s="19" customFormat="1" ht="15">
      <c r="A62" s="645" t="s">
        <v>809</v>
      </c>
      <c r="B62" s="266" t="s">
        <v>492</v>
      </c>
      <c r="C62" s="817">
        <v>0</v>
      </c>
      <c r="D62" s="800"/>
      <c r="E62" s="797">
        <f t="shared" si="2"/>
        <v>0</v>
      </c>
    </row>
    <row r="63" spans="1:5" ht="15">
      <c r="A63" s="645" t="s">
        <v>810</v>
      </c>
      <c r="B63" s="267" t="s">
        <v>477</v>
      </c>
      <c r="C63" s="816">
        <v>0</v>
      </c>
      <c r="D63" s="799"/>
      <c r="E63" s="797">
        <f t="shared" si="2"/>
        <v>0</v>
      </c>
    </row>
    <row r="64" spans="1:5" ht="15.75" thickBot="1">
      <c r="A64" s="602" t="s">
        <v>811</v>
      </c>
      <c r="B64" s="266" t="s">
        <v>493</v>
      </c>
      <c r="C64" s="817">
        <v>0</v>
      </c>
      <c r="D64" s="800"/>
      <c r="E64" s="797">
        <f t="shared" si="2"/>
        <v>0</v>
      </c>
    </row>
    <row r="65" spans="1:5" ht="15" thickBot="1">
      <c r="A65" s="582" t="s">
        <v>812</v>
      </c>
      <c r="B65" s="261" t="s">
        <v>494</v>
      </c>
      <c r="C65" s="818">
        <f>SUM(C59:C64)</f>
        <v>282898</v>
      </c>
      <c r="D65" s="802"/>
      <c r="E65" s="815">
        <f>SUM(E59:E64)</f>
        <v>282898</v>
      </c>
    </row>
    <row r="66" spans="1:5" ht="13.5" thickBot="1">
      <c r="A66" s="648" t="s">
        <v>813</v>
      </c>
      <c r="B66" s="18"/>
      <c r="C66" s="428"/>
      <c r="D66" s="509"/>
      <c r="E66" s="501"/>
    </row>
    <row r="67" spans="1:5" ht="15.75" thickBot="1">
      <c r="A67" s="582" t="s">
        <v>814</v>
      </c>
      <c r="B67" s="805" t="s">
        <v>495</v>
      </c>
      <c r="C67" s="798">
        <v>2012</v>
      </c>
      <c r="D67" s="798">
        <v>2013</v>
      </c>
      <c r="E67" s="791" t="s">
        <v>40</v>
      </c>
    </row>
    <row r="68" spans="1:5" ht="15.75">
      <c r="A68" s="650" t="s">
        <v>815</v>
      </c>
      <c r="B68" s="811" t="s">
        <v>600</v>
      </c>
      <c r="C68" s="816">
        <v>0</v>
      </c>
      <c r="D68" s="804"/>
      <c r="E68" s="814">
        <f>SUM(C68:D68)</f>
        <v>0</v>
      </c>
    </row>
    <row r="69" spans="1:5" ht="15.75">
      <c r="A69" s="645" t="s">
        <v>816</v>
      </c>
      <c r="B69" s="812" t="s">
        <v>601</v>
      </c>
      <c r="C69" s="817">
        <v>0</v>
      </c>
      <c r="D69" s="820"/>
      <c r="E69" s="797">
        <f>SUM(C69:D69)</f>
        <v>0</v>
      </c>
    </row>
    <row r="70" spans="1:5" ht="15.75">
      <c r="A70" s="645" t="s">
        <v>817</v>
      </c>
      <c r="B70" s="812" t="s">
        <v>602</v>
      </c>
      <c r="C70" s="817">
        <v>0</v>
      </c>
      <c r="D70" s="820"/>
      <c r="E70" s="797">
        <f>SUM(C70:D70)</f>
        <v>0</v>
      </c>
    </row>
    <row r="71" spans="1:5" ht="15.75">
      <c r="A71" s="645" t="s">
        <v>818</v>
      </c>
      <c r="B71" s="812" t="s">
        <v>603</v>
      </c>
      <c r="C71" s="816">
        <f>'33_sz_ melléklet'!C39</f>
        <v>173130</v>
      </c>
      <c r="D71" s="820"/>
      <c r="E71" s="797">
        <f>SUM(C71:D71)</f>
        <v>173130</v>
      </c>
    </row>
    <row r="72" spans="1:5" ht="16.5" thickBot="1">
      <c r="A72" s="651" t="s">
        <v>819</v>
      </c>
      <c r="B72" s="813" t="s">
        <v>604</v>
      </c>
      <c r="C72" s="819">
        <f>'32_sz_ melléklet'!C36</f>
        <v>109768</v>
      </c>
      <c r="D72" s="821"/>
      <c r="E72" s="797">
        <f>SUM(C72:D72)</f>
        <v>109768</v>
      </c>
    </row>
    <row r="73" spans="1:10" ht="15" thickBot="1">
      <c r="A73" s="582" t="s">
        <v>820</v>
      </c>
      <c r="B73" s="809" t="s">
        <v>498</v>
      </c>
      <c r="C73" s="515">
        <f>SUM(C68:C72)</f>
        <v>282898</v>
      </c>
      <c r="D73" s="521"/>
      <c r="E73" s="810">
        <f>SUM(E68:E72)</f>
        <v>282898</v>
      </c>
      <c r="F73" s="19"/>
      <c r="G73" s="19"/>
      <c r="H73" s="19"/>
      <c r="I73" s="19"/>
      <c r="J73" s="19"/>
    </row>
    <row r="74" spans="2:10" ht="14.25">
      <c r="B74" s="449"/>
      <c r="C74" s="522"/>
      <c r="D74" s="522"/>
      <c r="E74" s="522"/>
      <c r="F74" s="19"/>
      <c r="G74" s="19"/>
      <c r="H74" s="19"/>
      <c r="I74" s="19"/>
      <c r="J74" s="19"/>
    </row>
    <row r="75" spans="2:10" ht="14.25">
      <c r="B75" s="449"/>
      <c r="C75" s="522"/>
      <c r="D75" s="522"/>
      <c r="E75" s="522"/>
      <c r="F75" s="19"/>
      <c r="G75" s="19"/>
      <c r="H75" s="19"/>
      <c r="I75" s="19"/>
      <c r="J75" s="19"/>
    </row>
    <row r="76" spans="2:10" ht="14.25">
      <c r="B76" s="449"/>
      <c r="C76" s="522"/>
      <c r="D76" s="522"/>
      <c r="E76" s="522"/>
      <c r="F76" s="19"/>
      <c r="G76" s="19"/>
      <c r="H76" s="19"/>
      <c r="I76" s="19"/>
      <c r="J76" s="19"/>
    </row>
    <row r="77" spans="1:5" ht="15.75">
      <c r="A77" s="1605" t="s">
        <v>1261</v>
      </c>
      <c r="B77" s="1605"/>
      <c r="C77" s="1605"/>
      <c r="D77" s="1605"/>
      <c r="E77" s="1605"/>
    </row>
    <row r="78" spans="1:5" ht="15.75">
      <c r="A78" s="1606" t="s">
        <v>1262</v>
      </c>
      <c r="B78" s="1606"/>
      <c r="C78" s="1606"/>
      <c r="D78" s="1606"/>
      <c r="E78" s="1606"/>
    </row>
    <row r="79" spans="2:5" ht="15.75" thickBot="1">
      <c r="B79" s="248"/>
      <c r="C79" s="248"/>
      <c r="D79" s="248"/>
      <c r="E79" s="248" t="s">
        <v>363</v>
      </c>
    </row>
    <row r="80" spans="1:5" ht="27" thickBot="1">
      <c r="A80" s="768" t="s">
        <v>801</v>
      </c>
      <c r="B80" s="263" t="s">
        <v>488</v>
      </c>
      <c r="C80" s="798">
        <v>2012</v>
      </c>
      <c r="D80" s="798">
        <v>2013</v>
      </c>
      <c r="E80" s="531" t="s">
        <v>10</v>
      </c>
    </row>
    <row r="81" spans="1:5" ht="13.5" thickBot="1">
      <c r="A81" s="708" t="s">
        <v>802</v>
      </c>
      <c r="B81" s="696" t="s">
        <v>803</v>
      </c>
      <c r="C81" s="696" t="s">
        <v>804</v>
      </c>
      <c r="D81" s="699" t="s">
        <v>805</v>
      </c>
      <c r="E81" s="689" t="s">
        <v>825</v>
      </c>
    </row>
    <row r="82" spans="1:5" ht="15">
      <c r="A82" s="724" t="s">
        <v>806</v>
      </c>
      <c r="B82" s="264" t="s">
        <v>489</v>
      </c>
      <c r="C82" s="514">
        <v>1146</v>
      </c>
      <c r="D82" s="258"/>
      <c r="E82" s="537">
        <f aca="true" t="shared" si="3" ref="E82:E87">SUM(C82:D82)</f>
        <v>1146</v>
      </c>
    </row>
    <row r="83" spans="1:5" ht="15">
      <c r="A83" s="650" t="s">
        <v>807</v>
      </c>
      <c r="B83" s="265" t="s">
        <v>490</v>
      </c>
      <c r="C83" s="269">
        <v>0</v>
      </c>
      <c r="D83" s="260"/>
      <c r="E83" s="536">
        <f t="shared" si="3"/>
        <v>0</v>
      </c>
    </row>
    <row r="84" spans="1:5" ht="15">
      <c r="A84" s="645" t="s">
        <v>808</v>
      </c>
      <c r="B84" s="264" t="s">
        <v>491</v>
      </c>
      <c r="C84" s="514">
        <f>' 27 28 sz. melléklet'!E19</f>
        <v>71671</v>
      </c>
      <c r="D84" s="258"/>
      <c r="E84" s="537">
        <f t="shared" si="3"/>
        <v>71671</v>
      </c>
    </row>
    <row r="85" spans="1:5" s="19" customFormat="1" ht="15">
      <c r="A85" s="645" t="s">
        <v>809</v>
      </c>
      <c r="B85" s="266" t="s">
        <v>492</v>
      </c>
      <c r="C85" s="269">
        <v>0</v>
      </c>
      <c r="D85" s="260"/>
      <c r="E85" s="536">
        <f t="shared" si="3"/>
        <v>0</v>
      </c>
    </row>
    <row r="86" spans="1:5" ht="15">
      <c r="A86" s="645" t="s">
        <v>810</v>
      </c>
      <c r="B86" s="267" t="s">
        <v>477</v>
      </c>
      <c r="C86" s="514">
        <v>0</v>
      </c>
      <c r="D86" s="258"/>
      <c r="E86" s="536">
        <f t="shared" si="3"/>
        <v>0</v>
      </c>
    </row>
    <row r="87" spans="1:5" ht="15.75" thickBot="1">
      <c r="A87" s="602" t="s">
        <v>811</v>
      </c>
      <c r="B87" s="266" t="s">
        <v>493</v>
      </c>
      <c r="C87" s="269">
        <v>0</v>
      </c>
      <c r="D87" s="260"/>
      <c r="E87" s="536">
        <f t="shared" si="3"/>
        <v>0</v>
      </c>
    </row>
    <row r="88" spans="1:5" ht="15" thickBot="1">
      <c r="A88" s="762" t="s">
        <v>812</v>
      </c>
      <c r="B88" s="261" t="s">
        <v>494</v>
      </c>
      <c r="C88" s="515">
        <f>SUM(C82:C87)</f>
        <v>72817</v>
      </c>
      <c r="D88" s="262"/>
      <c r="E88" s="810">
        <f>SUM(E82:E87)</f>
        <v>72817</v>
      </c>
    </row>
    <row r="89" spans="1:5" ht="13.5" thickBot="1">
      <c r="A89" s="645" t="s">
        <v>813</v>
      </c>
      <c r="B89" s="18"/>
      <c r="C89" s="18"/>
      <c r="D89" s="18"/>
      <c r="E89" s="501"/>
    </row>
    <row r="90" spans="1:5" ht="15.75" thickBot="1">
      <c r="A90" s="645" t="s">
        <v>814</v>
      </c>
      <c r="B90" s="805" t="s">
        <v>495</v>
      </c>
      <c r="C90" s="798">
        <v>2012</v>
      </c>
      <c r="D90" s="798">
        <v>2013</v>
      </c>
      <c r="E90" s="531" t="s">
        <v>40</v>
      </c>
    </row>
    <row r="91" spans="1:5" ht="15.75">
      <c r="A91" s="645" t="s">
        <v>815</v>
      </c>
      <c r="B91" s="806" t="s">
        <v>600</v>
      </c>
      <c r="C91" s="517">
        <v>0</v>
      </c>
      <c r="D91" s="517"/>
      <c r="E91" s="537">
        <f>SUM(C91:D91)</f>
        <v>0</v>
      </c>
    </row>
    <row r="92" spans="1:5" ht="15.75">
      <c r="A92" s="645" t="s">
        <v>816</v>
      </c>
      <c r="B92" s="807" t="s">
        <v>601</v>
      </c>
      <c r="C92" s="519">
        <v>0</v>
      </c>
      <c r="D92" s="519"/>
      <c r="E92" s="536">
        <f>SUM(C92:D92)</f>
        <v>0</v>
      </c>
    </row>
    <row r="93" spans="1:5" ht="15.75">
      <c r="A93" s="645" t="s">
        <v>817</v>
      </c>
      <c r="B93" s="807" t="s">
        <v>602</v>
      </c>
      <c r="C93" s="519">
        <v>0</v>
      </c>
      <c r="D93" s="519"/>
      <c r="E93" s="536">
        <f>SUM(C93:D93)</f>
        <v>0</v>
      </c>
    </row>
    <row r="94" spans="1:5" ht="15.75">
      <c r="A94" s="645" t="s">
        <v>818</v>
      </c>
      <c r="B94" s="807" t="s">
        <v>603</v>
      </c>
      <c r="C94" s="519">
        <f>'33_sz_ melléklet'!C70</f>
        <v>72817</v>
      </c>
      <c r="D94" s="519"/>
      <c r="E94" s="536">
        <f>SUM(C94:D94)</f>
        <v>72817</v>
      </c>
    </row>
    <row r="95" spans="1:5" ht="16.5" thickBot="1">
      <c r="A95" s="645" t="s">
        <v>819</v>
      </c>
      <c r="B95" s="808" t="s">
        <v>604</v>
      </c>
      <c r="C95" s="519">
        <v>0</v>
      </c>
      <c r="D95" s="519"/>
      <c r="E95" s="536">
        <f>SUM(C95:D95)</f>
        <v>0</v>
      </c>
    </row>
    <row r="96" spans="1:10" ht="15" thickBot="1">
      <c r="A96" s="898" t="s">
        <v>820</v>
      </c>
      <c r="B96" s="809" t="s">
        <v>498</v>
      </c>
      <c r="C96" s="515">
        <f>SUM(C91:C95)</f>
        <v>72817</v>
      </c>
      <c r="D96" s="521"/>
      <c r="E96" s="810">
        <f>SUM(E91:E95)</f>
        <v>72817</v>
      </c>
      <c r="F96" s="19"/>
      <c r="G96" s="19"/>
      <c r="H96" s="19"/>
      <c r="I96" s="19"/>
      <c r="J96" s="19"/>
    </row>
    <row r="97" spans="2:10" ht="35.25" customHeight="1">
      <c r="B97" s="449"/>
      <c r="C97" s="522"/>
      <c r="D97" s="522"/>
      <c r="E97" s="522"/>
      <c r="F97" s="19"/>
      <c r="G97" s="19"/>
      <c r="H97" s="19"/>
      <c r="I97" s="19"/>
      <c r="J97" s="19"/>
    </row>
    <row r="98" spans="2:10" ht="14.25">
      <c r="B98" s="449"/>
      <c r="C98" s="115"/>
      <c r="D98" s="115"/>
      <c r="E98" s="115"/>
      <c r="F98" s="19"/>
      <c r="G98" s="19"/>
      <c r="H98" s="19"/>
      <c r="I98" s="19"/>
      <c r="J98" s="19"/>
    </row>
    <row r="99" spans="2:10" ht="14.25">
      <c r="B99" s="449"/>
      <c r="C99" s="115"/>
      <c r="D99" s="115"/>
      <c r="E99" s="115"/>
      <c r="F99" s="19"/>
      <c r="G99" s="19"/>
      <c r="H99" s="19"/>
      <c r="I99" s="19"/>
      <c r="J99" s="19"/>
    </row>
    <row r="100" spans="2:10" ht="14.25">
      <c r="B100" s="449"/>
      <c r="C100" s="115"/>
      <c r="D100" s="115"/>
      <c r="E100" s="115"/>
      <c r="F100" s="19"/>
      <c r="G100" s="19"/>
      <c r="H100" s="19"/>
      <c r="I100" s="19"/>
      <c r="J100" s="19"/>
    </row>
    <row r="101" spans="2:10" ht="14.25">
      <c r="B101" s="449"/>
      <c r="C101" s="115"/>
      <c r="D101" s="115"/>
      <c r="E101" s="115"/>
      <c r="F101" s="19"/>
      <c r="G101" s="19"/>
      <c r="H101" s="19"/>
      <c r="I101" s="19"/>
      <c r="J101" s="19"/>
    </row>
    <row r="102" spans="1:10" ht="12.75">
      <c r="A102" s="1546" t="s">
        <v>1369</v>
      </c>
      <c r="B102" s="1546"/>
      <c r="C102" s="1546"/>
      <c r="D102" s="1546"/>
      <c r="E102" s="1546"/>
      <c r="F102" s="19"/>
      <c r="G102" s="19"/>
      <c r="H102" s="19"/>
      <c r="I102" s="19"/>
      <c r="J102" s="19"/>
    </row>
    <row r="103" spans="1:10" ht="12.75">
      <c r="A103" s="1545">
        <v>3</v>
      </c>
      <c r="B103" s="1545"/>
      <c r="C103" s="1545"/>
      <c r="D103" s="1545"/>
      <c r="E103" s="1545"/>
      <c r="F103" s="19"/>
      <c r="G103" s="19"/>
      <c r="H103" s="19"/>
      <c r="I103" s="19"/>
      <c r="J103" s="19"/>
    </row>
    <row r="104" spans="1:5" ht="15.75">
      <c r="A104" s="1604" t="s">
        <v>785</v>
      </c>
      <c r="B104" s="1570"/>
      <c r="C104" s="1570"/>
      <c r="D104" s="1570"/>
      <c r="E104" s="1570"/>
    </row>
    <row r="105" spans="1:5" ht="15.75">
      <c r="A105" s="1604" t="s">
        <v>781</v>
      </c>
      <c r="B105" s="1570"/>
      <c r="C105" s="1570"/>
      <c r="D105" s="1570"/>
      <c r="E105" s="1570"/>
    </row>
    <row r="106" spans="2:5" ht="15.75" thickBot="1">
      <c r="B106" s="248"/>
      <c r="C106" s="248"/>
      <c r="D106" s="248"/>
      <c r="E106" s="248" t="s">
        <v>363</v>
      </c>
    </row>
    <row r="107" spans="1:5" ht="27" thickBot="1">
      <c r="A107" s="768" t="s">
        <v>801</v>
      </c>
      <c r="B107" s="263" t="s">
        <v>488</v>
      </c>
      <c r="C107" s="798">
        <v>2012</v>
      </c>
      <c r="D107" s="798">
        <v>2013</v>
      </c>
      <c r="E107" s="531" t="s">
        <v>10</v>
      </c>
    </row>
    <row r="108" spans="1:5" ht="13.5" thickBot="1">
      <c r="A108" s="708" t="s">
        <v>802</v>
      </c>
      <c r="B108" s="696" t="s">
        <v>803</v>
      </c>
      <c r="C108" s="696" t="s">
        <v>804</v>
      </c>
      <c r="D108" s="699" t="s">
        <v>805</v>
      </c>
      <c r="E108" s="689" t="s">
        <v>825</v>
      </c>
    </row>
    <row r="109" spans="1:5" ht="15">
      <c r="A109" s="724" t="s">
        <v>806</v>
      </c>
      <c r="B109" s="264" t="s">
        <v>489</v>
      </c>
      <c r="C109" s="514">
        <v>0</v>
      </c>
      <c r="D109" s="258"/>
      <c r="E109" s="537">
        <f aca="true" t="shared" si="4" ref="E109:E114">SUM(C109:D109)</f>
        <v>0</v>
      </c>
    </row>
    <row r="110" spans="1:5" ht="15">
      <c r="A110" s="650" t="s">
        <v>807</v>
      </c>
      <c r="B110" s="265" t="s">
        <v>490</v>
      </c>
      <c r="C110" s="269">
        <v>0</v>
      </c>
      <c r="D110" s="260"/>
      <c r="E110" s="536">
        <f t="shared" si="4"/>
        <v>0</v>
      </c>
    </row>
    <row r="111" spans="1:5" ht="15">
      <c r="A111" s="645" t="s">
        <v>808</v>
      </c>
      <c r="B111" s="264" t="s">
        <v>491</v>
      </c>
      <c r="C111" s="514">
        <f>' 27 28 sz. melléklet'!E25</f>
        <v>84217</v>
      </c>
      <c r="D111" s="258"/>
      <c r="E111" s="536">
        <f t="shared" si="4"/>
        <v>84217</v>
      </c>
    </row>
    <row r="112" spans="1:5" s="19" customFormat="1" ht="15">
      <c r="A112" s="645" t="s">
        <v>809</v>
      </c>
      <c r="B112" s="266" t="s">
        <v>492</v>
      </c>
      <c r="C112" s="269">
        <v>0</v>
      </c>
      <c r="D112" s="260"/>
      <c r="E112" s="536">
        <f t="shared" si="4"/>
        <v>0</v>
      </c>
    </row>
    <row r="113" spans="1:5" ht="15">
      <c r="A113" s="645" t="s">
        <v>810</v>
      </c>
      <c r="B113" s="267" t="s">
        <v>477</v>
      </c>
      <c r="C113" s="514">
        <v>0</v>
      </c>
      <c r="D113" s="258"/>
      <c r="E113" s="536">
        <f t="shared" si="4"/>
        <v>0</v>
      </c>
    </row>
    <row r="114" spans="1:5" ht="15.75" thickBot="1">
      <c r="A114" s="602" t="s">
        <v>811</v>
      </c>
      <c r="B114" s="266" t="s">
        <v>493</v>
      </c>
      <c r="C114" s="269">
        <v>0</v>
      </c>
      <c r="D114" s="260"/>
      <c r="E114" s="536">
        <f t="shared" si="4"/>
        <v>0</v>
      </c>
    </row>
    <row r="115" spans="1:5" ht="15" thickBot="1">
      <c r="A115" s="762" t="s">
        <v>812</v>
      </c>
      <c r="B115" s="261" t="s">
        <v>494</v>
      </c>
      <c r="C115" s="515">
        <f>SUM(C109:C114)</f>
        <v>84217</v>
      </c>
      <c r="D115" s="262"/>
      <c r="E115" s="810">
        <f>SUM(E109:E114)</f>
        <v>84217</v>
      </c>
    </row>
    <row r="116" spans="1:5" ht="13.5" thickBot="1">
      <c r="A116" s="645" t="s">
        <v>813</v>
      </c>
      <c r="B116" s="18"/>
      <c r="C116" s="18"/>
      <c r="D116" s="18"/>
      <c r="E116" s="501"/>
    </row>
    <row r="117" spans="1:5" ht="15.75" thickBot="1">
      <c r="A117" s="645" t="s">
        <v>814</v>
      </c>
      <c r="B117" s="263" t="s">
        <v>495</v>
      </c>
      <c r="C117" s="255">
        <v>2012</v>
      </c>
      <c r="D117" s="256">
        <v>2013</v>
      </c>
      <c r="E117" s="531" t="s">
        <v>40</v>
      </c>
    </row>
    <row r="118" spans="1:5" ht="15.75">
      <c r="A118" s="645" t="s">
        <v>815</v>
      </c>
      <c r="B118" s="516" t="s">
        <v>600</v>
      </c>
      <c r="C118" s="517">
        <v>0</v>
      </c>
      <c r="D118" s="517"/>
      <c r="E118" s="537">
        <f>SUM(C118:D118)</f>
        <v>0</v>
      </c>
    </row>
    <row r="119" spans="1:5" ht="15.75">
      <c r="A119" s="645" t="s">
        <v>816</v>
      </c>
      <c r="B119" s="518" t="s">
        <v>601</v>
      </c>
      <c r="C119" s="519">
        <v>0</v>
      </c>
      <c r="D119" s="519"/>
      <c r="E119" s="536">
        <f>SUM(C119:D119)</f>
        <v>0</v>
      </c>
    </row>
    <row r="120" spans="1:5" ht="15.75">
      <c r="A120" s="645" t="s">
        <v>817</v>
      </c>
      <c r="B120" s="518" t="s">
        <v>602</v>
      </c>
      <c r="C120" s="519">
        <v>0</v>
      </c>
      <c r="D120" s="519"/>
      <c r="E120" s="536">
        <f>SUM(C120:D120)</f>
        <v>0</v>
      </c>
    </row>
    <row r="121" spans="1:5" ht="15.75">
      <c r="A121" s="645" t="s">
        <v>818</v>
      </c>
      <c r="B121" s="518" t="s">
        <v>603</v>
      </c>
      <c r="C121" s="519">
        <f>'33_sz_ melléklet'!C46</f>
        <v>79000</v>
      </c>
      <c r="D121" s="519"/>
      <c r="E121" s="536">
        <f>SUM(C121:D121)</f>
        <v>79000</v>
      </c>
    </row>
    <row r="122" spans="1:5" ht="16.5" thickBot="1">
      <c r="A122" s="645" t="s">
        <v>819</v>
      </c>
      <c r="B122" s="520" t="s">
        <v>604</v>
      </c>
      <c r="C122" s="519">
        <v>0</v>
      </c>
      <c r="D122" s="519"/>
      <c r="E122" s="536">
        <f>SUM(C122:D122)</f>
        <v>0</v>
      </c>
    </row>
    <row r="123" spans="1:10" ht="15" thickBot="1">
      <c r="A123" s="898" t="s">
        <v>820</v>
      </c>
      <c r="B123" s="268" t="s">
        <v>498</v>
      </c>
      <c r="C123" s="515">
        <f>SUM(C118:C122)</f>
        <v>79000</v>
      </c>
      <c r="D123" s="521"/>
      <c r="E123" s="810">
        <f>SUM(E118:E122)</f>
        <v>79000</v>
      </c>
      <c r="F123" s="19"/>
      <c r="G123" s="19"/>
      <c r="H123" s="19"/>
      <c r="I123" s="19"/>
      <c r="J123" s="19"/>
    </row>
    <row r="124" spans="2:10" ht="14.25">
      <c r="B124" s="449"/>
      <c r="C124" s="522"/>
      <c r="D124" s="522"/>
      <c r="E124" s="522"/>
      <c r="F124" s="19"/>
      <c r="G124" s="19"/>
      <c r="H124" s="19"/>
      <c r="I124" s="19"/>
      <c r="J124" s="19"/>
    </row>
    <row r="125" spans="2:10" ht="14.25">
      <c r="B125" s="449"/>
      <c r="C125" s="522"/>
      <c r="D125" s="522"/>
      <c r="E125" s="522"/>
      <c r="F125" s="19"/>
      <c r="G125" s="19"/>
      <c r="H125" s="19"/>
      <c r="I125" s="19"/>
      <c r="J125" s="19"/>
    </row>
    <row r="126" spans="1:10" ht="14.25">
      <c r="A126" s="19"/>
      <c r="B126" s="449"/>
      <c r="C126" s="522"/>
      <c r="D126" s="522"/>
      <c r="E126" s="522"/>
      <c r="F126" s="19"/>
      <c r="G126" s="19"/>
      <c r="H126" s="19"/>
      <c r="I126" s="19"/>
      <c r="J126" s="19"/>
    </row>
    <row r="127" spans="1:5" s="19" customFormat="1" ht="12.75">
      <c r="A127"/>
      <c r="B127"/>
      <c r="C127"/>
      <c r="D127"/>
      <c r="E127"/>
    </row>
    <row r="128" spans="1:5" ht="15.75">
      <c r="A128" s="1604" t="s">
        <v>786</v>
      </c>
      <c r="B128" s="1570"/>
      <c r="C128" s="1570"/>
      <c r="D128" s="1570"/>
      <c r="E128" s="1570"/>
    </row>
    <row r="129" spans="1:5" ht="15.75">
      <c r="A129" s="1604" t="s">
        <v>782</v>
      </c>
      <c r="B129" s="1570"/>
      <c r="C129" s="1570"/>
      <c r="D129" s="1570"/>
      <c r="E129" s="1570"/>
    </row>
    <row r="130" spans="2:5" ht="15.75" thickBot="1">
      <c r="B130" s="248"/>
      <c r="C130" s="248"/>
      <c r="D130" s="248"/>
      <c r="E130" s="248" t="s">
        <v>363</v>
      </c>
    </row>
    <row r="131" spans="1:5" ht="27" thickBot="1">
      <c r="A131" s="768" t="s">
        <v>801</v>
      </c>
      <c r="B131" s="263" t="s">
        <v>488</v>
      </c>
      <c r="C131" s="798">
        <v>2012</v>
      </c>
      <c r="D131" s="798">
        <v>2013</v>
      </c>
      <c r="E131" s="531" t="s">
        <v>10</v>
      </c>
    </row>
    <row r="132" spans="1:5" ht="13.5" thickBot="1">
      <c r="A132" s="708" t="s">
        <v>802</v>
      </c>
      <c r="B132" s="696" t="s">
        <v>803</v>
      </c>
      <c r="C132" s="696" t="s">
        <v>804</v>
      </c>
      <c r="D132" s="699" t="s">
        <v>805</v>
      </c>
      <c r="E132" s="689" t="s">
        <v>825</v>
      </c>
    </row>
    <row r="133" spans="1:5" ht="15">
      <c r="A133" s="724" t="s">
        <v>806</v>
      </c>
      <c r="B133" s="264" t="s">
        <v>489</v>
      </c>
      <c r="C133" s="1334">
        <f>' 27 28 sz. melléklet'!E27</f>
        <v>10726</v>
      </c>
      <c r="D133" s="258"/>
      <c r="E133" s="537">
        <f aca="true" t="shared" si="5" ref="E133:E138">SUM(C133:D133)</f>
        <v>10726</v>
      </c>
    </row>
    <row r="134" spans="1:5" ht="15">
      <c r="A134" s="650" t="s">
        <v>807</v>
      </c>
      <c r="B134" s="265" t="s">
        <v>490</v>
      </c>
      <c r="C134" s="1333">
        <f>' 27 28 sz. melléklet'!E27</f>
        <v>10726</v>
      </c>
      <c r="D134" s="260"/>
      <c r="E134" s="536">
        <f t="shared" si="5"/>
        <v>10726</v>
      </c>
    </row>
    <row r="135" spans="1:5" ht="15">
      <c r="A135" s="645" t="s">
        <v>808</v>
      </c>
      <c r="B135" s="264" t="s">
        <v>491</v>
      </c>
      <c r="C135" s="514">
        <f>' 27 28 sz. melléklet'!E26</f>
        <v>45900</v>
      </c>
      <c r="D135" s="258"/>
      <c r="E135" s="536">
        <f t="shared" si="5"/>
        <v>45900</v>
      </c>
    </row>
    <row r="136" spans="1:5" s="19" customFormat="1" ht="15">
      <c r="A136" s="645" t="s">
        <v>809</v>
      </c>
      <c r="B136" s="266" t="s">
        <v>492</v>
      </c>
      <c r="C136" s="269">
        <v>0</v>
      </c>
      <c r="D136" s="260"/>
      <c r="E136" s="536">
        <f t="shared" si="5"/>
        <v>0</v>
      </c>
    </row>
    <row r="137" spans="1:5" ht="15">
      <c r="A137" s="645" t="s">
        <v>810</v>
      </c>
      <c r="B137" s="267" t="s">
        <v>477</v>
      </c>
      <c r="C137" s="514">
        <v>0</v>
      </c>
      <c r="D137" s="258"/>
      <c r="E137" s="536">
        <f t="shared" si="5"/>
        <v>0</v>
      </c>
    </row>
    <row r="138" spans="1:5" ht="15.75" thickBot="1">
      <c r="A138" s="602" t="s">
        <v>811</v>
      </c>
      <c r="B138" s="266" t="s">
        <v>493</v>
      </c>
      <c r="C138" s="269">
        <v>0</v>
      </c>
      <c r="D138" s="260"/>
      <c r="E138" s="536">
        <f t="shared" si="5"/>
        <v>0</v>
      </c>
    </row>
    <row r="139" spans="1:5" ht="15" thickBot="1">
      <c r="A139" s="762" t="s">
        <v>812</v>
      </c>
      <c r="B139" s="261" t="s">
        <v>494</v>
      </c>
      <c r="C139" s="515">
        <f>SUM(C133:C138)-C134</f>
        <v>56626</v>
      </c>
      <c r="D139" s="262"/>
      <c r="E139" s="810">
        <f>SUM(E133:E138)</f>
        <v>67352</v>
      </c>
    </row>
    <row r="140" spans="1:5" ht="13.5" thickBot="1">
      <c r="A140" s="645" t="s">
        <v>813</v>
      </c>
      <c r="B140" s="18"/>
      <c r="C140" s="18"/>
      <c r="D140" s="18"/>
      <c r="E140" s="501"/>
    </row>
    <row r="141" spans="1:5" ht="15.75" thickBot="1">
      <c r="A141" s="645" t="s">
        <v>814</v>
      </c>
      <c r="B141" s="263" t="s">
        <v>495</v>
      </c>
      <c r="C141" s="798">
        <v>2012</v>
      </c>
      <c r="D141" s="798">
        <v>2013</v>
      </c>
      <c r="E141" s="531" t="s">
        <v>40</v>
      </c>
    </row>
    <row r="142" spans="1:5" ht="15.75">
      <c r="A142" s="645" t="s">
        <v>815</v>
      </c>
      <c r="B142" s="516" t="s">
        <v>600</v>
      </c>
      <c r="C142" s="517">
        <v>0</v>
      </c>
      <c r="D142" s="517"/>
      <c r="E142" s="537">
        <f>SUM(C142:D142)</f>
        <v>0</v>
      </c>
    </row>
    <row r="143" spans="1:5" ht="15.75">
      <c r="A143" s="645" t="s">
        <v>816</v>
      </c>
      <c r="B143" s="518" t="s">
        <v>601</v>
      </c>
      <c r="C143" s="519">
        <v>0</v>
      </c>
      <c r="D143" s="519"/>
      <c r="E143" s="536">
        <f>SUM(C143:D143)</f>
        <v>0</v>
      </c>
    </row>
    <row r="144" spans="1:5" ht="15.75">
      <c r="A144" s="645" t="s">
        <v>817</v>
      </c>
      <c r="B144" s="518" t="s">
        <v>602</v>
      </c>
      <c r="C144" s="519">
        <v>0</v>
      </c>
      <c r="D144" s="519"/>
      <c r="E144" s="536">
        <f>SUM(C144:D144)</f>
        <v>0</v>
      </c>
    </row>
    <row r="145" spans="1:5" ht="15.75">
      <c r="A145" s="645" t="s">
        <v>818</v>
      </c>
      <c r="B145" s="518" t="s">
        <v>603</v>
      </c>
      <c r="C145" s="519">
        <f>'33_sz_ melléklet'!C35</f>
        <v>49311</v>
      </c>
      <c r="D145" s="519"/>
      <c r="E145" s="536">
        <f>SUM(C145:D145)</f>
        <v>49311</v>
      </c>
    </row>
    <row r="146" spans="1:5" ht="16.5" thickBot="1">
      <c r="A146" s="645" t="s">
        <v>819</v>
      </c>
      <c r="B146" s="520" t="s">
        <v>604</v>
      </c>
      <c r="C146" s="519">
        <v>0</v>
      </c>
      <c r="D146" s="519"/>
      <c r="E146" s="536">
        <f>SUM(C146:D146)</f>
        <v>0</v>
      </c>
    </row>
    <row r="147" spans="1:10" ht="15" thickBot="1">
      <c r="A147" s="898" t="s">
        <v>820</v>
      </c>
      <c r="B147" s="268" t="s">
        <v>498</v>
      </c>
      <c r="C147" s="515">
        <f>SUM(C142:C146)</f>
        <v>49311</v>
      </c>
      <c r="D147" s="521"/>
      <c r="E147" s="810">
        <f>SUM(E142:E146)</f>
        <v>49311</v>
      </c>
      <c r="F147" s="19"/>
      <c r="G147" s="19"/>
      <c r="H147" s="19"/>
      <c r="I147" s="19"/>
      <c r="J147" s="19"/>
    </row>
    <row r="148" spans="2:10" ht="14.25">
      <c r="B148" s="449"/>
      <c r="C148" s="522"/>
      <c r="D148" s="522"/>
      <c r="E148" s="522"/>
      <c r="F148" s="19"/>
      <c r="G148" s="19"/>
      <c r="H148" s="19"/>
      <c r="I148" s="19"/>
      <c r="J148" s="19"/>
    </row>
    <row r="149" spans="2:10" ht="14.25">
      <c r="B149" s="449"/>
      <c r="C149" s="522"/>
      <c r="D149" s="522"/>
      <c r="E149" s="522"/>
      <c r="F149" s="19"/>
      <c r="G149" s="19"/>
      <c r="H149" s="19"/>
      <c r="I149" s="19"/>
      <c r="J149" s="19"/>
    </row>
    <row r="150" spans="2:10" ht="14.25">
      <c r="B150" s="449"/>
      <c r="C150" s="522"/>
      <c r="D150" s="522"/>
      <c r="E150" s="522"/>
      <c r="F150" s="19"/>
      <c r="G150" s="19"/>
      <c r="H150" s="19"/>
      <c r="I150" s="19"/>
      <c r="J150" s="19"/>
    </row>
    <row r="151" spans="2:10" ht="14.25">
      <c r="B151" s="449"/>
      <c r="C151" s="522"/>
      <c r="D151" s="522"/>
      <c r="E151" s="522"/>
      <c r="F151" s="19"/>
      <c r="G151" s="19"/>
      <c r="H151" s="19"/>
      <c r="I151" s="19"/>
      <c r="J151" s="19"/>
    </row>
    <row r="152" spans="2:10" ht="14.25">
      <c r="B152" s="449"/>
      <c r="C152" s="522"/>
      <c r="D152" s="522"/>
      <c r="E152" s="522"/>
      <c r="F152" s="19"/>
      <c r="G152" s="19"/>
      <c r="H152" s="19"/>
      <c r="I152" s="19"/>
      <c r="J152" s="19"/>
    </row>
    <row r="153" spans="2:10" ht="14.25">
      <c r="B153" s="449"/>
      <c r="C153" s="522"/>
      <c r="D153" s="522"/>
      <c r="E153" s="522"/>
      <c r="F153" s="19"/>
      <c r="G153" s="19"/>
      <c r="H153" s="19"/>
      <c r="I153" s="19"/>
      <c r="J153" s="19"/>
    </row>
    <row r="154" spans="1:10" ht="12.75">
      <c r="A154" s="1546" t="s">
        <v>1369</v>
      </c>
      <c r="B154" s="1546"/>
      <c r="C154" s="1546"/>
      <c r="D154" s="1546"/>
      <c r="E154" s="1546"/>
      <c r="F154" s="19"/>
      <c r="G154" s="19"/>
      <c r="H154" s="19"/>
      <c r="I154" s="19"/>
      <c r="J154" s="19"/>
    </row>
    <row r="155" spans="1:10" ht="12.75">
      <c r="A155" s="1545">
        <v>4</v>
      </c>
      <c r="B155" s="1545"/>
      <c r="C155" s="1545"/>
      <c r="D155" s="1545"/>
      <c r="E155" s="1545"/>
      <c r="F155" s="19"/>
      <c r="G155" s="19"/>
      <c r="H155" s="19"/>
      <c r="I155" s="19"/>
      <c r="J155" s="19"/>
    </row>
    <row r="156" spans="2:10" ht="14.25">
      <c r="B156" s="449"/>
      <c r="C156" s="522"/>
      <c r="D156" s="522"/>
      <c r="E156" s="522"/>
      <c r="F156" s="19"/>
      <c r="G156" s="19"/>
      <c r="H156" s="19"/>
      <c r="I156" s="19"/>
      <c r="J156" s="19"/>
    </row>
    <row r="157" spans="1:5" ht="15.75">
      <c r="A157" s="1603" t="s">
        <v>1259</v>
      </c>
      <c r="B157" s="1603"/>
      <c r="C157" s="1603"/>
      <c r="D157" s="1603"/>
      <c r="E157" s="1603"/>
    </row>
    <row r="158" spans="1:5" ht="15.75">
      <c r="A158" s="1603" t="s">
        <v>1260</v>
      </c>
      <c r="B158" s="1603"/>
      <c r="C158" s="1603"/>
      <c r="D158" s="1603"/>
      <c r="E158" s="1603"/>
    </row>
    <row r="159" spans="2:5" ht="15.75" thickBot="1">
      <c r="B159" s="248"/>
      <c r="C159" s="248"/>
      <c r="D159" s="248"/>
      <c r="E159" s="248" t="s">
        <v>363</v>
      </c>
    </row>
    <row r="160" spans="1:5" ht="27" thickBot="1">
      <c r="A160" s="768" t="s">
        <v>801</v>
      </c>
      <c r="B160" s="263" t="s">
        <v>488</v>
      </c>
      <c r="C160" s="798">
        <v>2012</v>
      </c>
      <c r="D160" s="798">
        <v>2013</v>
      </c>
      <c r="E160" s="531" t="s">
        <v>10</v>
      </c>
    </row>
    <row r="161" spans="1:5" ht="13.5" thickBot="1">
      <c r="A161" s="708" t="s">
        <v>802</v>
      </c>
      <c r="B161" s="696" t="s">
        <v>803</v>
      </c>
      <c r="C161" s="696" t="s">
        <v>804</v>
      </c>
      <c r="D161" s="699" t="s">
        <v>805</v>
      </c>
      <c r="E161" s="689" t="s">
        <v>825</v>
      </c>
    </row>
    <row r="162" spans="1:5" ht="15">
      <c r="A162" s="724" t="s">
        <v>806</v>
      </c>
      <c r="B162" s="264" t="s">
        <v>489</v>
      </c>
      <c r="C162" s="514"/>
      <c r="D162" s="258"/>
      <c r="E162" s="537">
        <f aca="true" t="shared" si="6" ref="E162:E167">SUM(C162:D162)</f>
        <v>0</v>
      </c>
    </row>
    <row r="163" spans="1:5" ht="15">
      <c r="A163" s="650" t="s">
        <v>807</v>
      </c>
      <c r="B163" s="265" t="s">
        <v>490</v>
      </c>
      <c r="C163" s="269">
        <v>0</v>
      </c>
      <c r="D163" s="260"/>
      <c r="E163" s="536">
        <f t="shared" si="6"/>
        <v>0</v>
      </c>
    </row>
    <row r="164" spans="1:5" ht="15">
      <c r="A164" s="645" t="s">
        <v>808</v>
      </c>
      <c r="B164" s="264" t="s">
        <v>491</v>
      </c>
      <c r="C164" s="514">
        <f>' 27 28 sz. melléklet'!E20</f>
        <v>1019</v>
      </c>
      <c r="D164" s="258"/>
      <c r="E164" s="536">
        <f t="shared" si="6"/>
        <v>1019</v>
      </c>
    </row>
    <row r="165" spans="1:5" s="19" customFormat="1" ht="15">
      <c r="A165" s="645" t="s">
        <v>809</v>
      </c>
      <c r="B165" s="266" t="s">
        <v>492</v>
      </c>
      <c r="C165" s="269">
        <v>0</v>
      </c>
      <c r="D165" s="260"/>
      <c r="E165" s="536">
        <f t="shared" si="6"/>
        <v>0</v>
      </c>
    </row>
    <row r="166" spans="1:5" ht="15">
      <c r="A166" s="645" t="s">
        <v>810</v>
      </c>
      <c r="B166" s="267" t="s">
        <v>477</v>
      </c>
      <c r="C166" s="514">
        <v>0</v>
      </c>
      <c r="D166" s="258"/>
      <c r="E166" s="536">
        <f t="shared" si="6"/>
        <v>0</v>
      </c>
    </row>
    <row r="167" spans="1:5" ht="15.75" thickBot="1">
      <c r="A167" s="602" t="s">
        <v>811</v>
      </c>
      <c r="B167" s="266" t="s">
        <v>493</v>
      </c>
      <c r="C167" s="269">
        <v>0</v>
      </c>
      <c r="D167" s="260"/>
      <c r="E167" s="536">
        <f t="shared" si="6"/>
        <v>0</v>
      </c>
    </row>
    <row r="168" spans="1:5" ht="15" thickBot="1">
      <c r="A168" s="762" t="s">
        <v>812</v>
      </c>
      <c r="B168" s="261" t="s">
        <v>494</v>
      </c>
      <c r="C168" s="515">
        <f>SUM(C162:C167)</f>
        <v>1019</v>
      </c>
      <c r="D168" s="262"/>
      <c r="E168" s="810">
        <f>SUM(E162:E167)</f>
        <v>1019</v>
      </c>
    </row>
    <row r="169" spans="1:5" ht="13.5" thickBot="1">
      <c r="A169" s="645" t="s">
        <v>813</v>
      </c>
      <c r="B169" s="18"/>
      <c r="C169" s="18"/>
      <c r="D169" s="18"/>
      <c r="E169" s="501"/>
    </row>
    <row r="170" spans="1:5" ht="15.75" thickBot="1">
      <c r="A170" s="645" t="s">
        <v>814</v>
      </c>
      <c r="B170" s="263" t="s">
        <v>495</v>
      </c>
      <c r="C170" s="798">
        <v>2012</v>
      </c>
      <c r="D170" s="798">
        <v>2013</v>
      </c>
      <c r="E170" s="531" t="s">
        <v>40</v>
      </c>
    </row>
    <row r="171" spans="1:5" ht="15.75">
      <c r="A171" s="645" t="s">
        <v>815</v>
      </c>
      <c r="B171" s="516" t="s">
        <v>600</v>
      </c>
      <c r="C171" s="517">
        <v>0</v>
      </c>
      <c r="D171" s="517"/>
      <c r="E171" s="537">
        <f>SUM(C171:D171)</f>
        <v>0</v>
      </c>
    </row>
    <row r="172" spans="1:5" ht="15.75">
      <c r="A172" s="645" t="s">
        <v>816</v>
      </c>
      <c r="B172" s="518" t="s">
        <v>601</v>
      </c>
      <c r="C172" s="519">
        <v>0</v>
      </c>
      <c r="D172" s="519"/>
      <c r="E172" s="536">
        <f>SUM(C172:D172)</f>
        <v>0</v>
      </c>
    </row>
    <row r="173" spans="1:5" ht="15.75">
      <c r="A173" s="645" t="s">
        <v>817</v>
      </c>
      <c r="B173" s="518" t="s">
        <v>602</v>
      </c>
      <c r="C173" s="519">
        <v>0</v>
      </c>
      <c r="D173" s="519"/>
      <c r="E173" s="536">
        <f>SUM(C173:D173)</f>
        <v>0</v>
      </c>
    </row>
    <row r="174" spans="1:5" ht="15.75">
      <c r="A174" s="645" t="s">
        <v>818</v>
      </c>
      <c r="B174" s="518" t="s">
        <v>603</v>
      </c>
      <c r="C174" s="519">
        <f>'33_sz_ melléklet'!C76</f>
        <v>1019</v>
      </c>
      <c r="D174" s="519"/>
      <c r="E174" s="536">
        <f>SUM(C174:D174)</f>
        <v>1019</v>
      </c>
    </row>
    <row r="175" spans="1:5" ht="16.5" thickBot="1">
      <c r="A175" s="645" t="s">
        <v>819</v>
      </c>
      <c r="B175" s="520" t="s">
        <v>604</v>
      </c>
      <c r="C175" s="519">
        <v>0</v>
      </c>
      <c r="D175" s="519"/>
      <c r="E175" s="536">
        <f>SUM(C175:D175)</f>
        <v>0</v>
      </c>
    </row>
    <row r="176" spans="1:10" ht="15" thickBot="1">
      <c r="A176" s="898" t="s">
        <v>820</v>
      </c>
      <c r="B176" s="268" t="s">
        <v>498</v>
      </c>
      <c r="C176" s="515">
        <f>SUM(C171:C175)</f>
        <v>1019</v>
      </c>
      <c r="D176" s="521"/>
      <c r="E176" s="810">
        <f>SUM(E171:E175)</f>
        <v>1019</v>
      </c>
      <c r="F176" s="19"/>
      <c r="G176" s="19"/>
      <c r="H176" s="19"/>
      <c r="I176" s="19"/>
      <c r="J176" s="19"/>
    </row>
    <row r="177" spans="2:10" ht="14.25">
      <c r="B177" s="449"/>
      <c r="C177" s="522"/>
      <c r="D177" s="522"/>
      <c r="E177" s="522"/>
      <c r="F177" s="19"/>
      <c r="G177" s="19"/>
      <c r="H177" s="19"/>
      <c r="I177" s="19"/>
      <c r="J177" s="19"/>
    </row>
    <row r="178" spans="2:10" ht="14.25">
      <c r="B178" s="449"/>
      <c r="C178" s="522"/>
      <c r="D178" s="522"/>
      <c r="E178" s="522"/>
      <c r="F178" s="19"/>
      <c r="G178" s="19"/>
      <c r="H178" s="19"/>
      <c r="I178" s="19"/>
      <c r="J178" s="19"/>
    </row>
    <row r="179" spans="2:10" ht="14.25">
      <c r="B179" s="449"/>
      <c r="C179" s="522"/>
      <c r="D179" s="522"/>
      <c r="E179" s="522"/>
      <c r="F179" s="19"/>
      <c r="G179" s="19"/>
      <c r="H179" s="19"/>
      <c r="I179" s="19"/>
      <c r="J179" s="19"/>
    </row>
    <row r="180" spans="2:10" ht="14.25">
      <c r="B180" s="449"/>
      <c r="C180" s="522"/>
      <c r="D180" s="522"/>
      <c r="E180" s="522"/>
      <c r="F180" s="19"/>
      <c r="G180" s="19"/>
      <c r="H180" s="19"/>
      <c r="I180" s="19"/>
      <c r="J180" s="19"/>
    </row>
    <row r="181" spans="1:5" ht="15.75">
      <c r="A181" s="1604" t="s">
        <v>1241</v>
      </c>
      <c r="B181" s="1570"/>
      <c r="C181" s="1570"/>
      <c r="D181" s="1570"/>
      <c r="E181" s="1570"/>
    </row>
    <row r="182" spans="1:5" ht="15.75">
      <c r="A182" s="1604" t="s">
        <v>1242</v>
      </c>
      <c r="B182" s="1570"/>
      <c r="C182" s="1570"/>
      <c r="D182" s="1570"/>
      <c r="E182" s="1570"/>
    </row>
    <row r="183" spans="2:5" ht="15.75" thickBot="1">
      <c r="B183" s="248"/>
      <c r="C183" s="248"/>
      <c r="D183" s="248"/>
      <c r="E183" s="248" t="s">
        <v>363</v>
      </c>
    </row>
    <row r="184" spans="1:5" ht="27" thickBot="1">
      <c r="A184" s="768" t="s">
        <v>801</v>
      </c>
      <c r="B184" s="263" t="s">
        <v>488</v>
      </c>
      <c r="C184" s="798">
        <v>2012</v>
      </c>
      <c r="D184" s="798">
        <v>2013</v>
      </c>
      <c r="E184" s="531" t="s">
        <v>10</v>
      </c>
    </row>
    <row r="185" spans="1:5" ht="13.5" thickBot="1">
      <c r="A185" s="708" t="s">
        <v>802</v>
      </c>
      <c r="B185" s="696" t="s">
        <v>803</v>
      </c>
      <c r="C185" s="696" t="s">
        <v>804</v>
      </c>
      <c r="D185" s="699" t="s">
        <v>805</v>
      </c>
      <c r="E185" s="689" t="s">
        <v>825</v>
      </c>
    </row>
    <row r="186" spans="1:5" ht="15">
      <c r="A186" s="724" t="s">
        <v>806</v>
      </c>
      <c r="B186" s="264" t="s">
        <v>489</v>
      </c>
      <c r="C186" s="514">
        <v>0</v>
      </c>
      <c r="D186" s="258"/>
      <c r="E186" s="537">
        <f aca="true" t="shared" si="7" ref="E186:E191">SUM(C186:D186)</f>
        <v>0</v>
      </c>
    </row>
    <row r="187" spans="1:5" ht="15">
      <c r="A187" s="650" t="s">
        <v>807</v>
      </c>
      <c r="B187" s="265" t="s">
        <v>490</v>
      </c>
      <c r="C187" s="269">
        <v>0</v>
      </c>
      <c r="D187" s="260"/>
      <c r="E187" s="536">
        <f t="shared" si="7"/>
        <v>0</v>
      </c>
    </row>
    <row r="188" spans="1:5" ht="15">
      <c r="A188" s="645" t="s">
        <v>808</v>
      </c>
      <c r="B188" s="264" t="s">
        <v>491</v>
      </c>
      <c r="C188" s="514">
        <v>1186</v>
      </c>
      <c r="D188" s="258"/>
      <c r="E188" s="537">
        <f t="shared" si="7"/>
        <v>1186</v>
      </c>
    </row>
    <row r="189" spans="1:5" s="19" customFormat="1" ht="15">
      <c r="A189" s="645" t="s">
        <v>809</v>
      </c>
      <c r="B189" s="266" t="s">
        <v>492</v>
      </c>
      <c r="C189" s="269">
        <v>0</v>
      </c>
      <c r="D189" s="260"/>
      <c r="E189" s="536">
        <f t="shared" si="7"/>
        <v>0</v>
      </c>
    </row>
    <row r="190" spans="1:5" ht="15">
      <c r="A190" s="645" t="s">
        <v>810</v>
      </c>
      <c r="B190" s="267" t="s">
        <v>477</v>
      </c>
      <c r="C190" s="514">
        <v>0</v>
      </c>
      <c r="D190" s="258"/>
      <c r="E190" s="536">
        <f t="shared" si="7"/>
        <v>0</v>
      </c>
    </row>
    <row r="191" spans="1:5" ht="15.75" thickBot="1">
      <c r="A191" s="602" t="s">
        <v>811</v>
      </c>
      <c r="B191" s="266" t="s">
        <v>493</v>
      </c>
      <c r="C191" s="269">
        <v>0</v>
      </c>
      <c r="D191" s="260"/>
      <c r="E191" s="536">
        <f t="shared" si="7"/>
        <v>0</v>
      </c>
    </row>
    <row r="192" spans="1:5" ht="15" thickBot="1">
      <c r="A192" s="762" t="s">
        <v>812</v>
      </c>
      <c r="B192" s="261" t="s">
        <v>494</v>
      </c>
      <c r="C192" s="515">
        <f>SUM(C186:C191)</f>
        <v>1186</v>
      </c>
      <c r="D192" s="262">
        <v>0</v>
      </c>
      <c r="E192" s="810">
        <f>SUM(E186:E191)</f>
        <v>1186</v>
      </c>
    </row>
    <row r="193" spans="1:5" ht="13.5" thickBot="1">
      <c r="A193" s="645" t="s">
        <v>813</v>
      </c>
      <c r="B193" s="18"/>
      <c r="C193" s="18"/>
      <c r="D193" s="18"/>
      <c r="E193" s="501"/>
    </row>
    <row r="194" spans="1:5" ht="15.75" thickBot="1">
      <c r="A194" s="645" t="s">
        <v>814</v>
      </c>
      <c r="B194" s="263" t="s">
        <v>495</v>
      </c>
      <c r="C194" s="798">
        <v>2012</v>
      </c>
      <c r="D194" s="798">
        <v>2013</v>
      </c>
      <c r="E194" s="531" t="s">
        <v>40</v>
      </c>
    </row>
    <row r="195" spans="1:5" ht="15.75">
      <c r="A195" s="645" t="s">
        <v>815</v>
      </c>
      <c r="B195" s="516" t="s">
        <v>600</v>
      </c>
      <c r="C195" s="517">
        <v>1186</v>
      </c>
      <c r="D195" s="517"/>
      <c r="E195" s="537">
        <f>SUM(C195:D195)</f>
        <v>1186</v>
      </c>
    </row>
    <row r="196" spans="1:5" ht="15.75">
      <c r="A196" s="645" t="s">
        <v>816</v>
      </c>
      <c r="B196" s="518" t="s">
        <v>601</v>
      </c>
      <c r="C196" s="519">
        <v>0</v>
      </c>
      <c r="D196" s="519"/>
      <c r="E196" s="536">
        <f>SUM(C196:D196)</f>
        <v>0</v>
      </c>
    </row>
    <row r="197" spans="1:5" ht="15.75">
      <c r="A197" s="645" t="s">
        <v>817</v>
      </c>
      <c r="B197" s="518" t="s">
        <v>602</v>
      </c>
      <c r="C197" s="519">
        <v>0</v>
      </c>
      <c r="D197" s="519"/>
      <c r="E197" s="536">
        <f>SUM(C197:D197)</f>
        <v>0</v>
      </c>
    </row>
    <row r="198" spans="1:5" ht="15.75">
      <c r="A198" s="645" t="s">
        <v>818</v>
      </c>
      <c r="B198" s="518" t="s">
        <v>603</v>
      </c>
      <c r="C198" s="519">
        <v>0</v>
      </c>
      <c r="D198" s="519"/>
      <c r="E198" s="536">
        <f>SUM(C198:D198)</f>
        <v>0</v>
      </c>
    </row>
    <row r="199" spans="1:5" ht="16.5" thickBot="1">
      <c r="A199" s="645" t="s">
        <v>819</v>
      </c>
      <c r="B199" s="520" t="s">
        <v>604</v>
      </c>
      <c r="C199" s="519">
        <v>0</v>
      </c>
      <c r="D199" s="519"/>
      <c r="E199" s="536">
        <f>SUM(C199:D199)</f>
        <v>0</v>
      </c>
    </row>
    <row r="200" spans="1:10" ht="15" thickBot="1">
      <c r="A200" s="898" t="s">
        <v>820</v>
      </c>
      <c r="B200" s="268" t="s">
        <v>498</v>
      </c>
      <c r="C200" s="515">
        <f>SUM(C195:C199)</f>
        <v>1186</v>
      </c>
      <c r="D200" s="521">
        <v>0</v>
      </c>
      <c r="E200" s="810">
        <f>SUM(E195:E199)</f>
        <v>1186</v>
      </c>
      <c r="F200" s="19"/>
      <c r="G200" s="19"/>
      <c r="H200" s="19"/>
      <c r="I200" s="19"/>
      <c r="J200" s="19"/>
    </row>
    <row r="201" spans="1:10" ht="14.25">
      <c r="A201" s="580"/>
      <c r="B201" s="449"/>
      <c r="C201" s="522"/>
      <c r="D201" s="522"/>
      <c r="E201" s="522"/>
      <c r="F201" s="19"/>
      <c r="G201" s="19"/>
      <c r="H201" s="19"/>
      <c r="I201" s="19"/>
      <c r="J201" s="19"/>
    </row>
    <row r="202" spans="1:10" ht="14.25">
      <c r="A202" s="580"/>
      <c r="B202" s="449"/>
      <c r="C202" s="522"/>
      <c r="D202" s="522"/>
      <c r="E202" s="522"/>
      <c r="F202" s="19"/>
      <c r="G202" s="19"/>
      <c r="H202" s="19"/>
      <c r="I202" s="19"/>
      <c r="J202" s="19"/>
    </row>
    <row r="203" spans="1:10" ht="14.25">
      <c r="A203" s="580"/>
      <c r="B203" s="449"/>
      <c r="C203" s="522"/>
      <c r="D203" s="522"/>
      <c r="E203" s="522"/>
      <c r="F203" s="19"/>
      <c r="G203" s="19"/>
      <c r="H203" s="19"/>
      <c r="I203" s="19"/>
      <c r="J203" s="19"/>
    </row>
    <row r="204" spans="1:10" ht="14.25">
      <c r="A204" s="580"/>
      <c r="B204" s="449"/>
      <c r="C204" s="522"/>
      <c r="D204" s="522"/>
      <c r="E204" s="522"/>
      <c r="F204" s="19"/>
      <c r="G204" s="19"/>
      <c r="H204" s="19"/>
      <c r="I204" s="19"/>
      <c r="J204" s="19"/>
    </row>
    <row r="205" spans="1:10" ht="14.25">
      <c r="A205" s="580"/>
      <c r="B205" s="449"/>
      <c r="C205" s="522"/>
      <c r="D205" s="522"/>
      <c r="E205" s="522"/>
      <c r="F205" s="19"/>
      <c r="G205" s="19"/>
      <c r="H205" s="19"/>
      <c r="I205" s="19"/>
      <c r="J205" s="19"/>
    </row>
    <row r="206" spans="1:10" ht="12.75">
      <c r="A206" s="1546" t="s">
        <v>1369</v>
      </c>
      <c r="B206" s="1546"/>
      <c r="C206" s="1546"/>
      <c r="D206" s="1546"/>
      <c r="E206" s="1546"/>
      <c r="F206" s="19"/>
      <c r="G206" s="19"/>
      <c r="H206" s="19"/>
      <c r="I206" s="19"/>
      <c r="J206" s="19"/>
    </row>
    <row r="207" spans="1:10" ht="12.75">
      <c r="A207" s="1545">
        <v>5</v>
      </c>
      <c r="B207" s="1545"/>
      <c r="C207" s="1545"/>
      <c r="D207" s="1545"/>
      <c r="E207" s="1545"/>
      <c r="F207" s="19"/>
      <c r="G207" s="19"/>
      <c r="H207" s="19"/>
      <c r="I207" s="19"/>
      <c r="J207" s="19"/>
    </row>
    <row r="208" spans="2:10" ht="14.25">
      <c r="B208" s="449"/>
      <c r="C208" s="522"/>
      <c r="D208" s="522"/>
      <c r="E208" s="522"/>
      <c r="F208" s="19"/>
      <c r="G208" s="19"/>
      <c r="H208" s="19"/>
      <c r="I208" s="19"/>
      <c r="J208" s="19"/>
    </row>
    <row r="209" spans="1:10" ht="15.75" customHeight="1">
      <c r="A209" s="1603" t="s">
        <v>1263</v>
      </c>
      <c r="B209" s="1603"/>
      <c r="C209" s="1603"/>
      <c r="D209" s="1603"/>
      <c r="E209" s="1603"/>
      <c r="F209" s="19"/>
      <c r="G209" s="19"/>
      <c r="H209" s="19"/>
      <c r="I209" s="19"/>
      <c r="J209" s="19"/>
    </row>
    <row r="210" spans="1:10" ht="15.75" customHeight="1">
      <c r="A210" s="1603" t="s">
        <v>1264</v>
      </c>
      <c r="B210" s="1603"/>
      <c r="C210" s="1603"/>
      <c r="D210" s="1603"/>
      <c r="E210" s="1603"/>
      <c r="F210" s="19"/>
      <c r="G210" s="19"/>
      <c r="H210" s="19"/>
      <c r="I210" s="19"/>
      <c r="J210" s="19"/>
    </row>
    <row r="211" spans="2:10" ht="15.75" thickBot="1">
      <c r="B211" s="248"/>
      <c r="C211" s="248"/>
      <c r="D211" s="248"/>
      <c r="E211" s="248" t="s">
        <v>363</v>
      </c>
      <c r="F211" s="19"/>
      <c r="G211" s="19"/>
      <c r="H211" s="19"/>
      <c r="I211" s="19"/>
      <c r="J211" s="19"/>
    </row>
    <row r="212" spans="1:10" ht="27" thickBot="1">
      <c r="A212" s="768" t="s">
        <v>801</v>
      </c>
      <c r="B212" s="263" t="s">
        <v>488</v>
      </c>
      <c r="C212" s="798">
        <v>2012</v>
      </c>
      <c r="D212" s="798">
        <v>2013</v>
      </c>
      <c r="E212" s="531" t="s">
        <v>10</v>
      </c>
      <c r="F212" s="19"/>
      <c r="G212" s="19"/>
      <c r="H212" s="19"/>
      <c r="I212" s="19"/>
      <c r="J212" s="19"/>
    </row>
    <row r="213" spans="1:10" ht="13.5" thickBot="1">
      <c r="A213" s="708" t="s">
        <v>802</v>
      </c>
      <c r="B213" s="696" t="s">
        <v>803</v>
      </c>
      <c r="C213" s="696" t="s">
        <v>804</v>
      </c>
      <c r="D213" s="699" t="s">
        <v>805</v>
      </c>
      <c r="E213" s="689" t="s">
        <v>825</v>
      </c>
      <c r="F213" s="19"/>
      <c r="G213" s="19"/>
      <c r="H213" s="19"/>
      <c r="I213" s="19"/>
      <c r="J213" s="19"/>
    </row>
    <row r="214" spans="1:10" ht="15">
      <c r="A214" s="724" t="s">
        <v>806</v>
      </c>
      <c r="B214" s="264" t="s">
        <v>489</v>
      </c>
      <c r="C214" s="514">
        <v>16120</v>
      </c>
      <c r="D214" s="258"/>
      <c r="E214" s="537">
        <f aca="true" t="shared" si="8" ref="E214:E219">SUM(C214:D214)</f>
        <v>16120</v>
      </c>
      <c r="F214" s="19"/>
      <c r="G214" s="19"/>
      <c r="H214" s="19"/>
      <c r="I214" s="19"/>
      <c r="J214" s="19"/>
    </row>
    <row r="215" spans="1:10" ht="15">
      <c r="A215" s="650" t="s">
        <v>807</v>
      </c>
      <c r="B215" s="265" t="s">
        <v>490</v>
      </c>
      <c r="C215" s="269">
        <v>0</v>
      </c>
      <c r="D215" s="260"/>
      <c r="E215" s="536">
        <f t="shared" si="8"/>
        <v>0</v>
      </c>
      <c r="F215" s="19"/>
      <c r="G215" s="19"/>
      <c r="H215" s="19"/>
      <c r="I215" s="19"/>
      <c r="J215" s="19"/>
    </row>
    <row r="216" spans="1:10" ht="15">
      <c r="A216" s="645" t="s">
        <v>808</v>
      </c>
      <c r="B216" s="264" t="s">
        <v>491</v>
      </c>
      <c r="C216" s="514">
        <f>' 27 28 sz. melléklet'!E28</f>
        <v>91346</v>
      </c>
      <c r="D216" s="258"/>
      <c r="E216" s="536">
        <f t="shared" si="8"/>
        <v>91346</v>
      </c>
      <c r="F216" s="19"/>
      <c r="G216" s="19"/>
      <c r="H216" s="19"/>
      <c r="I216" s="19"/>
      <c r="J216" s="19"/>
    </row>
    <row r="217" spans="1:10" ht="15">
      <c r="A217" s="645" t="s">
        <v>809</v>
      </c>
      <c r="B217" s="266" t="s">
        <v>492</v>
      </c>
      <c r="C217" s="269">
        <v>0</v>
      </c>
      <c r="D217" s="260"/>
      <c r="E217" s="536">
        <f t="shared" si="8"/>
        <v>0</v>
      </c>
      <c r="F217" s="19"/>
      <c r="G217" s="19"/>
      <c r="H217" s="19"/>
      <c r="I217" s="19"/>
      <c r="J217" s="19"/>
    </row>
    <row r="218" spans="1:10" ht="15">
      <c r="A218" s="645" t="s">
        <v>810</v>
      </c>
      <c r="B218" s="267" t="s">
        <v>477</v>
      </c>
      <c r="C218" s="514">
        <v>0</v>
      </c>
      <c r="D218" s="258"/>
      <c r="E218" s="536">
        <f t="shared" si="8"/>
        <v>0</v>
      </c>
      <c r="F218" s="19"/>
      <c r="G218" s="19"/>
      <c r="H218" s="19"/>
      <c r="I218" s="19"/>
      <c r="J218" s="19"/>
    </row>
    <row r="219" spans="1:10" ht="15.75" thickBot="1">
      <c r="A219" s="602" t="s">
        <v>811</v>
      </c>
      <c r="B219" s="266" t="s">
        <v>493</v>
      </c>
      <c r="C219" s="269">
        <v>0</v>
      </c>
      <c r="D219" s="260"/>
      <c r="E219" s="536">
        <f t="shared" si="8"/>
        <v>0</v>
      </c>
      <c r="F219" s="19"/>
      <c r="G219" s="19"/>
      <c r="H219" s="19"/>
      <c r="I219" s="19"/>
      <c r="J219" s="19"/>
    </row>
    <row r="220" spans="1:10" ht="15" thickBot="1">
      <c r="A220" s="762" t="s">
        <v>812</v>
      </c>
      <c r="B220" s="261" t="s">
        <v>494</v>
      </c>
      <c r="C220" s="515">
        <f>SUM(C214:C219)</f>
        <v>107466</v>
      </c>
      <c r="D220" s="262"/>
      <c r="E220" s="810">
        <f>SUM(E214:E219)</f>
        <v>107466</v>
      </c>
      <c r="F220" s="19"/>
      <c r="G220" s="19"/>
      <c r="H220" s="19"/>
      <c r="I220" s="19"/>
      <c r="J220" s="19"/>
    </row>
    <row r="221" spans="1:10" ht="13.5" thickBot="1">
      <c r="A221" s="645" t="s">
        <v>813</v>
      </c>
      <c r="B221" s="18"/>
      <c r="C221" s="18"/>
      <c r="D221" s="18"/>
      <c r="E221" s="501"/>
      <c r="F221" s="19"/>
      <c r="G221" s="19"/>
      <c r="H221" s="19"/>
      <c r="I221" s="19"/>
      <c r="J221" s="19"/>
    </row>
    <row r="222" spans="1:10" ht="15.75" thickBot="1">
      <c r="A222" s="645" t="s">
        <v>814</v>
      </c>
      <c r="B222" s="263" t="s">
        <v>495</v>
      </c>
      <c r="C222" s="798">
        <v>2012</v>
      </c>
      <c r="D222" s="798">
        <v>2013</v>
      </c>
      <c r="E222" s="531" t="s">
        <v>40</v>
      </c>
      <c r="F222" s="19"/>
      <c r="G222" s="19"/>
      <c r="H222" s="19"/>
      <c r="I222" s="19"/>
      <c r="J222" s="19"/>
    </row>
    <row r="223" spans="1:10" ht="15.75">
      <c r="A223" s="645" t="s">
        <v>815</v>
      </c>
      <c r="B223" s="516" t="s">
        <v>600</v>
      </c>
      <c r="C223" s="517">
        <v>0</v>
      </c>
      <c r="D223" s="517"/>
      <c r="E223" s="537">
        <f>SUM(C223:D223)</f>
        <v>0</v>
      </c>
      <c r="F223" s="19"/>
      <c r="G223" s="19"/>
      <c r="H223" s="19"/>
      <c r="I223" s="19"/>
      <c r="J223" s="19"/>
    </row>
    <row r="224" spans="1:10" ht="15.75">
      <c r="A224" s="645" t="s">
        <v>816</v>
      </c>
      <c r="B224" s="518" t="s">
        <v>601</v>
      </c>
      <c r="C224" s="519">
        <v>0</v>
      </c>
      <c r="D224" s="519"/>
      <c r="E224" s="536">
        <f>SUM(C224:D224)</f>
        <v>0</v>
      </c>
      <c r="F224" s="19"/>
      <c r="G224" s="19"/>
      <c r="H224" s="19"/>
      <c r="I224" s="19"/>
      <c r="J224" s="19"/>
    </row>
    <row r="225" spans="1:10" ht="15.75">
      <c r="A225" s="645" t="s">
        <v>817</v>
      </c>
      <c r="B225" s="518" t="s">
        <v>602</v>
      </c>
      <c r="C225" s="519">
        <v>0</v>
      </c>
      <c r="D225" s="519"/>
      <c r="E225" s="536">
        <f>SUM(C225:D225)</f>
        <v>0</v>
      </c>
      <c r="F225" s="19"/>
      <c r="G225" s="19"/>
      <c r="H225" s="19"/>
      <c r="I225" s="19"/>
      <c r="J225" s="19"/>
    </row>
    <row r="226" spans="1:10" ht="15.75">
      <c r="A226" s="645" t="s">
        <v>818</v>
      </c>
      <c r="B226" s="518" t="s">
        <v>603</v>
      </c>
      <c r="C226" s="519">
        <f>'33_sz_ melléklet'!C73</f>
        <v>107466</v>
      </c>
      <c r="D226" s="519"/>
      <c r="E226" s="536">
        <f>SUM(C226:D226)</f>
        <v>107466</v>
      </c>
      <c r="F226" s="19"/>
      <c r="G226" s="19"/>
      <c r="H226" s="19"/>
      <c r="I226" s="19"/>
      <c r="J226" s="19"/>
    </row>
    <row r="227" spans="1:10" ht="16.5" thickBot="1">
      <c r="A227" s="645" t="s">
        <v>819</v>
      </c>
      <c r="B227" s="520" t="s">
        <v>604</v>
      </c>
      <c r="C227" s="519">
        <v>0</v>
      </c>
      <c r="D227" s="519"/>
      <c r="E227" s="536">
        <f>SUM(C227:D227)</f>
        <v>0</v>
      </c>
      <c r="F227" s="19"/>
      <c r="G227" s="19"/>
      <c r="H227" s="19"/>
      <c r="I227" s="19"/>
      <c r="J227" s="19"/>
    </row>
    <row r="228" spans="1:10" ht="15" thickBot="1">
      <c r="A228" s="898" t="s">
        <v>820</v>
      </c>
      <c r="B228" s="268" t="s">
        <v>498</v>
      </c>
      <c r="C228" s="515">
        <f>SUM(C223:C227)</f>
        <v>107466</v>
      </c>
      <c r="D228" s="521"/>
      <c r="E228" s="810">
        <f>SUM(E223:E227)</f>
        <v>107466</v>
      </c>
      <c r="F228" s="19"/>
      <c r="G228" s="19"/>
      <c r="H228" s="19"/>
      <c r="I228" s="19"/>
      <c r="J228" s="19"/>
    </row>
    <row r="229" spans="2:10" ht="14.25">
      <c r="B229" s="449"/>
      <c r="C229" s="522"/>
      <c r="D229" s="522"/>
      <c r="E229" s="522"/>
      <c r="F229" s="19"/>
      <c r="G229" s="19"/>
      <c r="H229" s="19"/>
      <c r="I229" s="19"/>
      <c r="J229" s="19"/>
    </row>
    <row r="230" spans="2:10" ht="14.25">
      <c r="B230" s="449"/>
      <c r="C230" s="522"/>
      <c r="D230" s="522"/>
      <c r="E230" s="522"/>
      <c r="F230" s="19"/>
      <c r="G230" s="19"/>
      <c r="H230" s="19"/>
      <c r="I230" s="19"/>
      <c r="J230" s="19"/>
    </row>
    <row r="231" spans="2:10" ht="14.25">
      <c r="B231" s="449"/>
      <c r="C231" s="522"/>
      <c r="D231" s="522"/>
      <c r="E231" s="522"/>
      <c r="F231" s="19"/>
      <c r="G231" s="19"/>
      <c r="H231" s="19"/>
      <c r="I231" s="19"/>
      <c r="J231" s="19"/>
    </row>
    <row r="232" spans="2:10" ht="14.25">
      <c r="B232" s="449"/>
      <c r="C232" s="522"/>
      <c r="D232" s="522"/>
      <c r="E232" s="522"/>
      <c r="F232" s="19"/>
      <c r="G232" s="19"/>
      <c r="H232" s="19"/>
      <c r="I232" s="19"/>
      <c r="J232" s="19"/>
    </row>
    <row r="233" spans="1:10" ht="15.75">
      <c r="A233" s="1603" t="s">
        <v>1266</v>
      </c>
      <c r="B233" s="1603"/>
      <c r="C233" s="1603"/>
      <c r="D233" s="1603"/>
      <c r="E233" s="1603"/>
      <c r="F233" s="19"/>
      <c r="G233" s="19"/>
      <c r="H233" s="19"/>
      <c r="I233" s="19"/>
      <c r="J233" s="19"/>
    </row>
    <row r="234" spans="1:10" ht="15.75">
      <c r="A234" s="1603" t="s">
        <v>1264</v>
      </c>
      <c r="B234" s="1603"/>
      <c r="C234" s="1603"/>
      <c r="D234" s="1603"/>
      <c r="E234" s="1603"/>
      <c r="F234" s="19"/>
      <c r="G234" s="19"/>
      <c r="H234" s="19"/>
      <c r="I234" s="19"/>
      <c r="J234" s="19"/>
    </row>
    <row r="235" spans="2:10" ht="15.75" thickBot="1">
      <c r="B235" s="248"/>
      <c r="C235" s="248"/>
      <c r="D235" s="248"/>
      <c r="E235" s="248" t="s">
        <v>363</v>
      </c>
      <c r="F235" s="19"/>
      <c r="G235" s="19"/>
      <c r="H235" s="19"/>
      <c r="I235" s="19"/>
      <c r="J235" s="19"/>
    </row>
    <row r="236" spans="1:10" ht="27" thickBot="1">
      <c r="A236" s="768" t="s">
        <v>801</v>
      </c>
      <c r="B236" s="263" t="s">
        <v>488</v>
      </c>
      <c r="C236" s="798">
        <v>2012</v>
      </c>
      <c r="D236" s="798">
        <v>2013</v>
      </c>
      <c r="E236" s="531" t="s">
        <v>10</v>
      </c>
      <c r="F236" s="19"/>
      <c r="G236" s="19"/>
      <c r="H236" s="19"/>
      <c r="I236" s="19"/>
      <c r="J236" s="19"/>
    </row>
    <row r="237" spans="1:10" ht="13.5" thickBot="1">
      <c r="A237" s="708" t="s">
        <v>802</v>
      </c>
      <c r="B237" s="696" t="s">
        <v>803</v>
      </c>
      <c r="C237" s="696" t="s">
        <v>804</v>
      </c>
      <c r="D237" s="699" t="s">
        <v>805</v>
      </c>
      <c r="E237" s="689" t="s">
        <v>825</v>
      </c>
      <c r="F237" s="19"/>
      <c r="G237" s="19"/>
      <c r="H237" s="19"/>
      <c r="I237" s="19"/>
      <c r="J237" s="19"/>
    </row>
    <row r="238" spans="1:10" ht="15">
      <c r="A238" s="724" t="s">
        <v>806</v>
      </c>
      <c r="B238" s="264" t="s">
        <v>489</v>
      </c>
      <c r="C238" s="514">
        <v>7102</v>
      </c>
      <c r="D238" s="258"/>
      <c r="E238" s="537">
        <f aca="true" t="shared" si="9" ref="E238:E243">SUM(C238:D238)</f>
        <v>7102</v>
      </c>
      <c r="F238" s="19"/>
      <c r="G238" s="19"/>
      <c r="H238" s="19"/>
      <c r="I238" s="19"/>
      <c r="J238" s="19"/>
    </row>
    <row r="239" spans="1:10" ht="15">
      <c r="A239" s="650" t="s">
        <v>807</v>
      </c>
      <c r="B239" s="265" t="s">
        <v>490</v>
      </c>
      <c r="C239" s="269">
        <v>0</v>
      </c>
      <c r="D239" s="260"/>
      <c r="E239" s="536">
        <f t="shared" si="9"/>
        <v>0</v>
      </c>
      <c r="F239" s="19"/>
      <c r="G239" s="19"/>
      <c r="H239" s="19"/>
      <c r="I239" s="19"/>
      <c r="J239" s="19"/>
    </row>
    <row r="240" spans="1:10" ht="15">
      <c r="A240" s="645" t="s">
        <v>808</v>
      </c>
      <c r="B240" s="264" t="s">
        <v>491</v>
      </c>
      <c r="C240" s="514">
        <f>' 27 28 sz. melléklet'!E29</f>
        <v>40248</v>
      </c>
      <c r="D240" s="258"/>
      <c r="E240" s="537">
        <f t="shared" si="9"/>
        <v>40248</v>
      </c>
      <c r="F240" s="19"/>
      <c r="G240" s="19"/>
      <c r="H240" s="19"/>
      <c r="I240" s="19"/>
      <c r="J240" s="19"/>
    </row>
    <row r="241" spans="1:10" ht="15">
      <c r="A241" s="645" t="s">
        <v>809</v>
      </c>
      <c r="B241" s="266" t="s">
        <v>492</v>
      </c>
      <c r="C241" s="269">
        <v>0</v>
      </c>
      <c r="D241" s="260"/>
      <c r="E241" s="536">
        <f t="shared" si="9"/>
        <v>0</v>
      </c>
      <c r="F241" s="19"/>
      <c r="G241" s="19"/>
      <c r="H241" s="19"/>
      <c r="I241" s="19"/>
      <c r="J241" s="19"/>
    </row>
    <row r="242" spans="1:10" ht="15">
      <c r="A242" s="645" t="s">
        <v>810</v>
      </c>
      <c r="B242" s="267" t="s">
        <v>477</v>
      </c>
      <c r="C242" s="514">
        <v>0</v>
      </c>
      <c r="D242" s="258"/>
      <c r="E242" s="536">
        <f t="shared" si="9"/>
        <v>0</v>
      </c>
      <c r="F242" s="19"/>
      <c r="G242" s="19"/>
      <c r="H242" s="19"/>
      <c r="I242" s="19"/>
      <c r="J242" s="19"/>
    </row>
    <row r="243" spans="1:10" ht="15.75" thickBot="1">
      <c r="A243" s="602" t="s">
        <v>811</v>
      </c>
      <c r="B243" s="266" t="s">
        <v>493</v>
      </c>
      <c r="C243" s="269">
        <v>0</v>
      </c>
      <c r="D243" s="260"/>
      <c r="E243" s="536">
        <f t="shared" si="9"/>
        <v>0</v>
      </c>
      <c r="F243" s="19"/>
      <c r="G243" s="19"/>
      <c r="H243" s="19"/>
      <c r="I243" s="19"/>
      <c r="J243" s="19"/>
    </row>
    <row r="244" spans="1:10" ht="15" thickBot="1">
      <c r="A244" s="762" t="s">
        <v>812</v>
      </c>
      <c r="B244" s="261" t="s">
        <v>494</v>
      </c>
      <c r="C244" s="515">
        <f>SUM(C238:C243)</f>
        <v>47350</v>
      </c>
      <c r="D244" s="262">
        <v>0</v>
      </c>
      <c r="E244" s="810">
        <f>SUM(E238:E243)</f>
        <v>47350</v>
      </c>
      <c r="F244" s="19"/>
      <c r="G244" s="19"/>
      <c r="H244" s="19"/>
      <c r="I244" s="19"/>
      <c r="J244" s="19"/>
    </row>
    <row r="245" spans="1:10" ht="13.5" thickBot="1">
      <c r="A245" s="645" t="s">
        <v>813</v>
      </c>
      <c r="B245" s="18"/>
      <c r="C245" s="18"/>
      <c r="D245" s="18"/>
      <c r="E245" s="501"/>
      <c r="F245" s="19"/>
      <c r="G245" s="19"/>
      <c r="H245" s="19"/>
      <c r="I245" s="19"/>
      <c r="J245" s="19"/>
    </row>
    <row r="246" spans="1:10" ht="15.75" thickBot="1">
      <c r="A246" s="645" t="s">
        <v>814</v>
      </c>
      <c r="B246" s="263" t="s">
        <v>495</v>
      </c>
      <c r="C246" s="798">
        <v>2012</v>
      </c>
      <c r="D246" s="798">
        <v>2013</v>
      </c>
      <c r="E246" s="531" t="s">
        <v>40</v>
      </c>
      <c r="F246" s="19"/>
      <c r="G246" s="19"/>
      <c r="H246" s="19"/>
      <c r="I246" s="19"/>
      <c r="J246" s="19"/>
    </row>
    <row r="247" spans="1:10" ht="15.75">
      <c r="A247" s="645" t="s">
        <v>815</v>
      </c>
      <c r="B247" s="516" t="s">
        <v>600</v>
      </c>
      <c r="C247" s="517"/>
      <c r="D247" s="517"/>
      <c r="E247" s="537">
        <f>SUM(C247:D247)</f>
        <v>0</v>
      </c>
      <c r="F247" s="19"/>
      <c r="G247" s="19"/>
      <c r="H247" s="19"/>
      <c r="I247" s="19"/>
      <c r="J247" s="19"/>
    </row>
    <row r="248" spans="1:10" ht="15.75">
      <c r="A248" s="645" t="s">
        <v>816</v>
      </c>
      <c r="B248" s="518" t="s">
        <v>601</v>
      </c>
      <c r="C248" s="519">
        <v>0</v>
      </c>
      <c r="D248" s="519"/>
      <c r="E248" s="536">
        <f>SUM(C248:D248)</f>
        <v>0</v>
      </c>
      <c r="F248" s="19"/>
      <c r="G248" s="19"/>
      <c r="H248" s="19"/>
      <c r="I248" s="19"/>
      <c r="J248" s="19"/>
    </row>
    <row r="249" spans="1:10" ht="15.75">
      <c r="A249" s="645" t="s">
        <v>817</v>
      </c>
      <c r="B249" s="518" t="s">
        <v>602</v>
      </c>
      <c r="C249" s="519">
        <v>0</v>
      </c>
      <c r="D249" s="519"/>
      <c r="E249" s="536">
        <f>SUM(C249:D249)</f>
        <v>0</v>
      </c>
      <c r="F249" s="19"/>
      <c r="G249" s="19"/>
      <c r="H249" s="19"/>
      <c r="I249" s="19"/>
      <c r="J249" s="19"/>
    </row>
    <row r="250" spans="1:10" ht="15.75">
      <c r="A250" s="645" t="s">
        <v>818</v>
      </c>
      <c r="B250" s="518" t="s">
        <v>603</v>
      </c>
      <c r="C250" s="519">
        <f>'33_sz_ melléklet'!C49</f>
        <v>47350</v>
      </c>
      <c r="D250" s="519"/>
      <c r="E250" s="536">
        <f>SUM(C250:D250)</f>
        <v>47350</v>
      </c>
      <c r="F250" s="19"/>
      <c r="G250" s="19"/>
      <c r="H250" s="19"/>
      <c r="I250" s="19"/>
      <c r="J250" s="19"/>
    </row>
    <row r="251" spans="1:10" ht="16.5" thickBot="1">
      <c r="A251" s="645" t="s">
        <v>819</v>
      </c>
      <c r="B251" s="520" t="s">
        <v>604</v>
      </c>
      <c r="C251" s="519">
        <v>0</v>
      </c>
      <c r="D251" s="519"/>
      <c r="E251" s="536">
        <f>SUM(C251:D251)</f>
        <v>0</v>
      </c>
      <c r="F251" s="19"/>
      <c r="G251" s="19"/>
      <c r="H251" s="19"/>
      <c r="I251" s="19"/>
      <c r="J251" s="19"/>
    </row>
    <row r="252" spans="1:10" ht="15" thickBot="1">
      <c r="A252" s="898" t="s">
        <v>820</v>
      </c>
      <c r="B252" s="268" t="s">
        <v>498</v>
      </c>
      <c r="C252" s="515">
        <f>SUM(C247:C251)</f>
        <v>47350</v>
      </c>
      <c r="D252" s="521">
        <v>0</v>
      </c>
      <c r="E252" s="810">
        <f>SUM(E247:E251)</f>
        <v>47350</v>
      </c>
      <c r="F252" s="19"/>
      <c r="G252" s="19"/>
      <c r="H252" s="19"/>
      <c r="I252" s="19"/>
      <c r="J252" s="19"/>
    </row>
    <row r="253" spans="1:10" ht="14.25">
      <c r="A253" s="580"/>
      <c r="B253" s="449"/>
      <c r="C253" s="522"/>
      <c r="D253" s="522"/>
      <c r="E253" s="522"/>
      <c r="F253" s="19"/>
      <c r="G253" s="19"/>
      <c r="H253" s="19"/>
      <c r="I253" s="19"/>
      <c r="J253" s="19"/>
    </row>
    <row r="254" spans="1:10" ht="14.25">
      <c r="A254" s="580"/>
      <c r="B254" s="449"/>
      <c r="C254" s="522"/>
      <c r="D254" s="522"/>
      <c r="E254" s="522"/>
      <c r="F254" s="19"/>
      <c r="G254" s="19"/>
      <c r="H254" s="19"/>
      <c r="I254" s="19"/>
      <c r="J254" s="19"/>
    </row>
    <row r="255" spans="1:10" ht="14.25">
      <c r="A255" s="580"/>
      <c r="B255" s="449"/>
      <c r="C255" s="522"/>
      <c r="D255" s="522"/>
      <c r="E255" s="522"/>
      <c r="F255" s="19"/>
      <c r="G255" s="19"/>
      <c r="H255" s="19"/>
      <c r="I255" s="19"/>
      <c r="J255" s="19"/>
    </row>
    <row r="256" spans="2:10" ht="14.25">
      <c r="B256" s="449"/>
      <c r="C256" s="522"/>
      <c r="D256" s="522"/>
      <c r="E256" s="522"/>
      <c r="F256" s="19"/>
      <c r="G256" s="19"/>
      <c r="H256" s="19"/>
      <c r="I256" s="19"/>
      <c r="J256" s="19"/>
    </row>
    <row r="257" spans="2:10" ht="14.25">
      <c r="B257" s="449"/>
      <c r="C257" s="522"/>
      <c r="D257" s="522"/>
      <c r="E257" s="522"/>
      <c r="F257" s="19"/>
      <c r="G257" s="19"/>
      <c r="H257" s="19"/>
      <c r="I257" s="19"/>
      <c r="J257" s="19"/>
    </row>
    <row r="258" spans="2:10" ht="14.25">
      <c r="B258" s="449"/>
      <c r="C258" s="522"/>
      <c r="D258" s="522"/>
      <c r="E258" s="522"/>
      <c r="F258" s="19"/>
      <c r="G258" s="19"/>
      <c r="H258" s="19"/>
      <c r="I258" s="19"/>
      <c r="J258" s="19"/>
    </row>
    <row r="259" spans="2:10" ht="14.25">
      <c r="B259" s="449"/>
      <c r="C259" s="522"/>
      <c r="D259" s="522"/>
      <c r="E259" s="522"/>
      <c r="F259" s="19"/>
      <c r="G259" s="19"/>
      <c r="H259" s="19"/>
      <c r="I259" s="19"/>
      <c r="J259" s="19"/>
    </row>
    <row r="260" spans="2:10" ht="14.25">
      <c r="B260" s="449"/>
      <c r="C260" s="522"/>
      <c r="D260" s="522"/>
      <c r="E260" s="522"/>
      <c r="F260" s="19"/>
      <c r="G260" s="19"/>
      <c r="H260" s="19"/>
      <c r="I260" s="19"/>
      <c r="J260" s="19"/>
    </row>
    <row r="261" spans="1:10" ht="12.75">
      <c r="A261" s="1546" t="s">
        <v>1369</v>
      </c>
      <c r="B261" s="1546"/>
      <c r="C261" s="1546"/>
      <c r="D261" s="1546"/>
      <c r="E261" s="1546"/>
      <c r="F261" s="19"/>
      <c r="G261" s="19"/>
      <c r="H261" s="19"/>
      <c r="I261" s="19"/>
      <c r="J261" s="19"/>
    </row>
    <row r="262" spans="1:10" ht="12.75">
      <c r="A262" s="1545">
        <v>6</v>
      </c>
      <c r="B262" s="1545"/>
      <c r="C262" s="1545"/>
      <c r="D262" s="1545"/>
      <c r="E262" s="1545"/>
      <c r="F262" s="19"/>
      <c r="G262" s="19"/>
      <c r="H262" s="19"/>
      <c r="I262" s="19"/>
      <c r="J262" s="19"/>
    </row>
    <row r="263" spans="2:10" ht="14.25">
      <c r="B263" s="449"/>
      <c r="C263" s="522"/>
      <c r="D263" s="522"/>
      <c r="E263" s="522"/>
      <c r="F263" s="19"/>
      <c r="G263" s="19"/>
      <c r="H263" s="19"/>
      <c r="I263" s="19"/>
      <c r="J263" s="19"/>
    </row>
    <row r="264" spans="1:5" ht="15.75">
      <c r="A264" s="1603" t="s">
        <v>1265</v>
      </c>
      <c r="B264" s="1603"/>
      <c r="C264" s="1603"/>
      <c r="D264" s="1603"/>
      <c r="E264" s="1603"/>
    </row>
    <row r="265" spans="1:5" ht="15.75">
      <c r="A265" s="1603" t="s">
        <v>1264</v>
      </c>
      <c r="B265" s="1603"/>
      <c r="C265" s="1603"/>
      <c r="D265" s="1603"/>
      <c r="E265" s="1603"/>
    </row>
    <row r="266" spans="2:5" ht="15.75" thickBot="1">
      <c r="B266" s="248"/>
      <c r="C266" s="248"/>
      <c r="D266" s="248"/>
      <c r="E266" s="248" t="s">
        <v>363</v>
      </c>
    </row>
    <row r="267" spans="1:5" ht="27" thickBot="1">
      <c r="A267" s="768" t="s">
        <v>801</v>
      </c>
      <c r="B267" s="263" t="s">
        <v>488</v>
      </c>
      <c r="C267" s="798">
        <v>2012</v>
      </c>
      <c r="D267" s="798">
        <v>2013</v>
      </c>
      <c r="E267" s="531" t="s">
        <v>10</v>
      </c>
    </row>
    <row r="268" spans="1:5" ht="13.5" thickBot="1">
      <c r="A268" s="708" t="s">
        <v>802</v>
      </c>
      <c r="B268" s="696" t="s">
        <v>803</v>
      </c>
      <c r="C268" s="696" t="s">
        <v>804</v>
      </c>
      <c r="D268" s="699" t="s">
        <v>805</v>
      </c>
      <c r="E268" s="689" t="s">
        <v>825</v>
      </c>
    </row>
    <row r="269" spans="1:5" ht="15">
      <c r="A269" s="724" t="s">
        <v>806</v>
      </c>
      <c r="B269" s="264" t="s">
        <v>489</v>
      </c>
      <c r="C269" s="514">
        <v>33146</v>
      </c>
      <c r="D269" s="258"/>
      <c r="E269" s="537">
        <f aca="true" t="shared" si="10" ref="E269:E274">SUM(C269:D269)</f>
        <v>33146</v>
      </c>
    </row>
    <row r="270" spans="1:5" ht="15">
      <c r="A270" s="650" t="s">
        <v>807</v>
      </c>
      <c r="B270" s="265" t="s">
        <v>490</v>
      </c>
      <c r="C270" s="269">
        <v>0</v>
      </c>
      <c r="D270" s="260"/>
      <c r="E270" s="536">
        <f t="shared" si="10"/>
        <v>0</v>
      </c>
    </row>
    <row r="271" spans="1:5" ht="15">
      <c r="A271" s="645" t="s">
        <v>808</v>
      </c>
      <c r="B271" s="264" t="s">
        <v>491</v>
      </c>
      <c r="C271" s="514">
        <f>' 27 28 sz. melléklet'!E30</f>
        <v>187827</v>
      </c>
      <c r="D271" s="258"/>
      <c r="E271" s="536">
        <f t="shared" si="10"/>
        <v>187827</v>
      </c>
    </row>
    <row r="272" spans="1:5" s="19" customFormat="1" ht="15">
      <c r="A272" s="645" t="s">
        <v>809</v>
      </c>
      <c r="B272" s="266" t="s">
        <v>492</v>
      </c>
      <c r="C272" s="269">
        <v>0</v>
      </c>
      <c r="D272" s="260"/>
      <c r="E272" s="536">
        <f t="shared" si="10"/>
        <v>0</v>
      </c>
    </row>
    <row r="273" spans="1:5" ht="15">
      <c r="A273" s="645" t="s">
        <v>810</v>
      </c>
      <c r="B273" s="267" t="s">
        <v>477</v>
      </c>
      <c r="C273" s="514">
        <v>0</v>
      </c>
      <c r="D273" s="258"/>
      <c r="E273" s="536">
        <f t="shared" si="10"/>
        <v>0</v>
      </c>
    </row>
    <row r="274" spans="1:5" ht="15.75" thickBot="1">
      <c r="A274" s="602" t="s">
        <v>811</v>
      </c>
      <c r="B274" s="266" t="s">
        <v>493</v>
      </c>
      <c r="C274" s="269">
        <v>0</v>
      </c>
      <c r="D274" s="260"/>
      <c r="E274" s="536">
        <f t="shared" si="10"/>
        <v>0</v>
      </c>
    </row>
    <row r="275" spans="1:5" ht="15" thickBot="1">
      <c r="A275" s="762" t="s">
        <v>812</v>
      </c>
      <c r="B275" s="261" t="s">
        <v>494</v>
      </c>
      <c r="C275" s="515">
        <f>SUM(C269:C274)</f>
        <v>220973</v>
      </c>
      <c r="D275" s="262"/>
      <c r="E275" s="810">
        <f>SUM(E269:E274)</f>
        <v>220973</v>
      </c>
    </row>
    <row r="276" spans="1:5" ht="13.5" thickBot="1">
      <c r="A276" s="645" t="s">
        <v>813</v>
      </c>
      <c r="B276" s="18"/>
      <c r="C276" s="18"/>
      <c r="D276" s="18"/>
      <c r="E276" s="501"/>
    </row>
    <row r="277" spans="1:5" ht="15.75" thickBot="1">
      <c r="A277" s="645" t="s">
        <v>814</v>
      </c>
      <c r="B277" s="263" t="s">
        <v>495</v>
      </c>
      <c r="C277" s="798">
        <v>2012</v>
      </c>
      <c r="D277" s="798">
        <v>2013</v>
      </c>
      <c r="E277" s="531" t="s">
        <v>40</v>
      </c>
    </row>
    <row r="278" spans="1:5" ht="15.75">
      <c r="A278" s="645" t="s">
        <v>815</v>
      </c>
      <c r="B278" s="516" t="s">
        <v>600</v>
      </c>
      <c r="C278" s="517">
        <v>0</v>
      </c>
      <c r="D278" s="517"/>
      <c r="E278" s="537">
        <f>SUM(C278:D278)</f>
        <v>0</v>
      </c>
    </row>
    <row r="279" spans="1:5" ht="15.75">
      <c r="A279" s="645" t="s">
        <v>816</v>
      </c>
      <c r="B279" s="518" t="s">
        <v>601</v>
      </c>
      <c r="C279" s="519">
        <v>0</v>
      </c>
      <c r="D279" s="519"/>
      <c r="E279" s="536">
        <f>SUM(C279:D279)</f>
        <v>0</v>
      </c>
    </row>
    <row r="280" spans="1:5" ht="15.75">
      <c r="A280" s="645" t="s">
        <v>817</v>
      </c>
      <c r="B280" s="518" t="s">
        <v>602</v>
      </c>
      <c r="C280" s="519">
        <v>0</v>
      </c>
      <c r="D280" s="519"/>
      <c r="E280" s="536">
        <f>SUM(C280:D280)</f>
        <v>0</v>
      </c>
    </row>
    <row r="281" spans="1:5" ht="15.75">
      <c r="A281" s="645" t="s">
        <v>818</v>
      </c>
      <c r="B281" s="518" t="s">
        <v>603</v>
      </c>
      <c r="C281" s="519">
        <f>'33_sz_ melléklet'!C50</f>
        <v>220973</v>
      </c>
      <c r="D281" s="519"/>
      <c r="E281" s="536">
        <f>SUM(C281:D281)</f>
        <v>220973</v>
      </c>
    </row>
    <row r="282" spans="1:5" ht="16.5" thickBot="1">
      <c r="A282" s="651" t="s">
        <v>819</v>
      </c>
      <c r="B282" s="520" t="s">
        <v>604</v>
      </c>
      <c r="C282" s="519">
        <v>0</v>
      </c>
      <c r="D282" s="519"/>
      <c r="E282" s="536">
        <f>SUM(C282:D282)</f>
        <v>0</v>
      </c>
    </row>
    <row r="283" spans="1:10" ht="15" thickBot="1">
      <c r="A283" s="582" t="s">
        <v>820</v>
      </c>
      <c r="B283" s="268" t="s">
        <v>498</v>
      </c>
      <c r="C283" s="515">
        <f>SUM(C278:C282)</f>
        <v>220973</v>
      </c>
      <c r="D283" s="521"/>
      <c r="E283" s="810">
        <f>SUM(E278:E282)</f>
        <v>220973</v>
      </c>
      <c r="F283" s="19"/>
      <c r="G283" s="19"/>
      <c r="H283" s="19"/>
      <c r="I283" s="19"/>
      <c r="J283" s="19"/>
    </row>
    <row r="284" spans="2:10" ht="14.25">
      <c r="B284" s="449"/>
      <c r="C284" s="522"/>
      <c r="D284" s="522"/>
      <c r="E284" s="522"/>
      <c r="F284" s="19"/>
      <c r="G284" s="19"/>
      <c r="H284" s="19"/>
      <c r="I284" s="19"/>
      <c r="J284" s="19"/>
    </row>
    <row r="285" spans="2:10" ht="14.25">
      <c r="B285" s="449"/>
      <c r="C285" s="522"/>
      <c r="D285" s="522"/>
      <c r="E285" s="522"/>
      <c r="F285" s="19"/>
      <c r="G285" s="19"/>
      <c r="H285" s="19"/>
      <c r="I285" s="19"/>
      <c r="J285" s="19"/>
    </row>
    <row r="286" spans="2:10" ht="14.25">
      <c r="B286" s="449"/>
      <c r="C286" s="522"/>
      <c r="D286" s="522"/>
      <c r="E286" s="522"/>
      <c r="F286" s="19"/>
      <c r="G286" s="19"/>
      <c r="H286" s="19"/>
      <c r="I286" s="19"/>
      <c r="J286" s="19"/>
    </row>
    <row r="287" spans="2:10" ht="14.25">
      <c r="B287" s="449"/>
      <c r="C287" s="522"/>
      <c r="D287" s="522"/>
      <c r="E287" s="522"/>
      <c r="F287" s="19"/>
      <c r="G287" s="19"/>
      <c r="H287" s="19"/>
      <c r="I287" s="19"/>
      <c r="J287" s="19"/>
    </row>
    <row r="288" spans="2:11" ht="15.75">
      <c r="B288" s="442" t="s">
        <v>1240</v>
      </c>
      <c r="C288" s="442"/>
      <c r="D288" s="442"/>
      <c r="E288" s="442"/>
      <c r="F288" s="19"/>
      <c r="G288" s="19"/>
      <c r="H288" s="19"/>
      <c r="I288" s="19"/>
      <c r="J288" s="19"/>
      <c r="K288" s="442"/>
    </row>
    <row r="289" spans="2:11" ht="15.75">
      <c r="B289" s="442"/>
      <c r="C289" s="442"/>
      <c r="D289" s="442"/>
      <c r="E289" s="442"/>
      <c r="F289" s="19"/>
      <c r="G289" s="19"/>
      <c r="H289" s="19"/>
      <c r="I289" s="19"/>
      <c r="J289" s="19"/>
      <c r="K289" s="442"/>
    </row>
    <row r="290" spans="2:11" ht="16.5" thickBot="1">
      <c r="B290" s="442"/>
      <c r="C290" s="442"/>
      <c r="D290" s="442"/>
      <c r="E290" s="442" t="s">
        <v>363</v>
      </c>
      <c r="F290" s="19"/>
      <c r="G290" s="19"/>
      <c r="H290" s="19"/>
      <c r="I290" s="19"/>
      <c r="J290" s="19"/>
      <c r="K290" s="442"/>
    </row>
    <row r="291" spans="1:5" ht="27" thickBot="1">
      <c r="A291" s="768" t="s">
        <v>801</v>
      </c>
      <c r="B291" s="1630" t="s">
        <v>496</v>
      </c>
      <c r="C291" s="1631"/>
      <c r="D291" s="1384" t="s">
        <v>497</v>
      </c>
      <c r="E291" s="257"/>
    </row>
    <row r="292" spans="1:5" ht="13.5" thickBot="1">
      <c r="A292" s="708" t="s">
        <v>802</v>
      </c>
      <c r="B292" s="1627" t="s">
        <v>803</v>
      </c>
      <c r="C292" s="1628"/>
      <c r="D292" s="1627" t="s">
        <v>804</v>
      </c>
      <c r="E292" s="1634"/>
    </row>
    <row r="293" spans="1:5" ht="15.75">
      <c r="A293" s="724" t="s">
        <v>806</v>
      </c>
      <c r="B293" s="1615" t="s">
        <v>789</v>
      </c>
      <c r="C293" s="1616"/>
      <c r="D293" s="1617">
        <v>1229</v>
      </c>
      <c r="E293" s="1618"/>
    </row>
    <row r="294" spans="1:5" ht="15.75">
      <c r="A294" s="650" t="s">
        <v>807</v>
      </c>
      <c r="B294" s="1619" t="s">
        <v>788</v>
      </c>
      <c r="C294" s="1620"/>
      <c r="D294" s="1621">
        <v>2000</v>
      </c>
      <c r="E294" s="1622"/>
    </row>
    <row r="295" spans="1:5" ht="16.5" thickBot="1">
      <c r="A295" s="645" t="s">
        <v>808</v>
      </c>
      <c r="B295" s="1623"/>
      <c r="C295" s="1624"/>
      <c r="D295" s="1625"/>
      <c r="E295" s="1626"/>
    </row>
    <row r="296" spans="1:5" ht="16.5" thickBot="1">
      <c r="A296" s="898" t="s">
        <v>809</v>
      </c>
      <c r="B296" s="1611" t="s">
        <v>40</v>
      </c>
      <c r="C296" s="1612"/>
      <c r="D296" s="1613">
        <f>SUM(D293:D295)</f>
        <v>3229</v>
      </c>
      <c r="E296" s="1614"/>
    </row>
    <row r="297" spans="2:10" ht="14.25">
      <c r="B297" s="449"/>
      <c r="C297" s="115"/>
      <c r="D297" s="115"/>
      <c r="E297" s="115"/>
      <c r="F297" s="19"/>
      <c r="G297" s="19"/>
      <c r="H297" s="19"/>
      <c r="I297" s="19"/>
      <c r="J297" s="19"/>
    </row>
    <row r="298" spans="2:10" ht="14.25">
      <c r="B298" s="449"/>
      <c r="C298" s="115"/>
      <c r="D298" s="115"/>
      <c r="E298" s="115"/>
      <c r="F298" s="19"/>
      <c r="G298" s="19"/>
      <c r="H298" s="19"/>
      <c r="I298" s="19"/>
      <c r="J298" s="19"/>
    </row>
    <row r="299" spans="2:10" ht="14.25">
      <c r="B299" s="449"/>
      <c r="C299" s="115"/>
      <c r="D299" s="115"/>
      <c r="E299" s="115"/>
      <c r="F299" s="19"/>
      <c r="G299" s="19"/>
      <c r="H299" s="19"/>
      <c r="I299" s="19"/>
      <c r="J299" s="19"/>
    </row>
    <row r="300" spans="2:10" ht="14.25">
      <c r="B300" s="449"/>
      <c r="C300" s="115"/>
      <c r="D300" s="115"/>
      <c r="E300" s="115"/>
      <c r="F300" s="19"/>
      <c r="G300" s="19"/>
      <c r="H300" s="19"/>
      <c r="I300" s="19"/>
      <c r="J300" s="19"/>
    </row>
    <row r="301" spans="2:10" ht="14.25">
      <c r="B301" s="449"/>
      <c r="C301" s="115"/>
      <c r="D301" s="115"/>
      <c r="E301" s="115"/>
      <c r="F301" s="19"/>
      <c r="G301" s="19"/>
      <c r="H301" s="19"/>
      <c r="I301" s="19"/>
      <c r="J301" s="19"/>
    </row>
    <row r="302" spans="2:10" ht="14.25">
      <c r="B302" s="449"/>
      <c r="C302" s="115"/>
      <c r="D302" s="115"/>
      <c r="E302" s="115"/>
      <c r="F302" s="19"/>
      <c r="G302" s="19"/>
      <c r="H302" s="19"/>
      <c r="I302" s="19"/>
      <c r="J302" s="19"/>
    </row>
    <row r="303" spans="2:10" ht="14.25">
      <c r="B303" s="449"/>
      <c r="C303" s="115"/>
      <c r="D303" s="115"/>
      <c r="E303" s="115"/>
      <c r="F303" s="19"/>
      <c r="G303" s="19"/>
      <c r="H303" s="19"/>
      <c r="I303" s="19"/>
      <c r="J303" s="19"/>
    </row>
    <row r="304" spans="2:10" ht="14.25">
      <c r="B304" s="449"/>
      <c r="C304" s="115"/>
      <c r="D304" s="115"/>
      <c r="E304" s="115"/>
      <c r="F304" s="19"/>
      <c r="G304" s="19"/>
      <c r="H304" s="19"/>
      <c r="I304" s="19"/>
      <c r="J304" s="19"/>
    </row>
    <row r="305" spans="2:10" ht="14.25">
      <c r="B305" s="449"/>
      <c r="C305" s="115"/>
      <c r="D305" s="115"/>
      <c r="E305" s="115"/>
      <c r="F305" s="19"/>
      <c r="G305" s="19"/>
      <c r="H305" s="19"/>
      <c r="I305" s="19"/>
      <c r="J305" s="19"/>
    </row>
    <row r="306" spans="2:10" ht="14.25">
      <c r="B306" s="449"/>
      <c r="C306" s="115"/>
      <c r="D306" s="115"/>
      <c r="E306" s="115"/>
      <c r="F306" s="19"/>
      <c r="G306" s="19"/>
      <c r="H306" s="19"/>
      <c r="I306" s="19"/>
      <c r="J306" s="19"/>
    </row>
    <row r="307" spans="2:10" ht="14.25">
      <c r="B307" s="449"/>
      <c r="C307" s="115"/>
      <c r="D307" s="115"/>
      <c r="E307" s="115"/>
      <c r="F307" s="19"/>
      <c r="G307" s="19"/>
      <c r="H307" s="19"/>
      <c r="I307" s="19"/>
      <c r="J307" s="19"/>
    </row>
    <row r="308" spans="2:10" ht="14.25">
      <c r="B308" s="449"/>
      <c r="C308" s="115"/>
      <c r="D308" s="115"/>
      <c r="E308" s="115"/>
      <c r="F308" s="19"/>
      <c r="G308" s="19"/>
      <c r="H308" s="19"/>
      <c r="I308" s="19"/>
      <c r="J308" s="19"/>
    </row>
    <row r="309" spans="2:10" ht="14.25">
      <c r="B309" s="449"/>
      <c r="C309" s="115"/>
      <c r="D309" s="115"/>
      <c r="E309" s="115"/>
      <c r="F309" s="19"/>
      <c r="G309" s="19"/>
      <c r="H309" s="19"/>
      <c r="I309" s="19"/>
      <c r="J309" s="19"/>
    </row>
    <row r="310" spans="2:10" ht="14.25">
      <c r="B310" s="449"/>
      <c r="C310" s="115"/>
      <c r="D310" s="115"/>
      <c r="E310" s="115"/>
      <c r="F310" s="19"/>
      <c r="G310" s="19"/>
      <c r="H310" s="19"/>
      <c r="I310" s="19"/>
      <c r="J310" s="19"/>
    </row>
    <row r="311" spans="2:10" ht="14.25">
      <c r="B311" s="449"/>
      <c r="C311" s="115"/>
      <c r="D311" s="115"/>
      <c r="E311" s="115"/>
      <c r="F311" s="19"/>
      <c r="G311" s="19"/>
      <c r="H311" s="19"/>
      <c r="I311" s="19"/>
      <c r="J311" s="19"/>
    </row>
    <row r="312" spans="2:10" ht="14.25">
      <c r="B312" s="449"/>
      <c r="C312" s="115"/>
      <c r="D312" s="115"/>
      <c r="E312" s="115"/>
      <c r="F312" s="19"/>
      <c r="G312" s="19"/>
      <c r="H312" s="19"/>
      <c r="I312" s="19"/>
      <c r="J312" s="19"/>
    </row>
    <row r="313" spans="2:10" ht="14.25">
      <c r="B313" s="449"/>
      <c r="C313" s="115"/>
      <c r="D313" s="115"/>
      <c r="E313" s="115"/>
      <c r="F313" s="19"/>
      <c r="G313" s="19"/>
      <c r="H313" s="19"/>
      <c r="I313" s="19"/>
      <c r="J313" s="19"/>
    </row>
    <row r="314" spans="2:10" ht="14.25">
      <c r="B314" s="449"/>
      <c r="C314" s="115"/>
      <c r="D314" s="115"/>
      <c r="E314" s="115"/>
      <c r="F314" s="19"/>
      <c r="G314" s="19"/>
      <c r="H314" s="19"/>
      <c r="I314" s="19"/>
      <c r="J314" s="19"/>
    </row>
    <row r="315" spans="2:10" ht="14.25">
      <c r="B315" s="449"/>
      <c r="C315" s="115"/>
      <c r="D315" s="115"/>
      <c r="E315" s="115"/>
      <c r="F315" s="19"/>
      <c r="G315" s="19"/>
      <c r="H315" s="19"/>
      <c r="I315" s="19"/>
      <c r="J315" s="19"/>
    </row>
    <row r="316" spans="2:10" ht="14.25">
      <c r="B316" s="449"/>
      <c r="C316" s="115"/>
      <c r="D316" s="115"/>
      <c r="E316" s="115"/>
      <c r="F316" s="19"/>
      <c r="G316" s="19"/>
      <c r="H316" s="19"/>
      <c r="I316" s="19"/>
      <c r="J316" s="19"/>
    </row>
    <row r="317" spans="2:10" ht="14.25">
      <c r="B317" s="449"/>
      <c r="C317" s="115"/>
      <c r="D317" s="115"/>
      <c r="E317" s="115"/>
      <c r="F317" s="19"/>
      <c r="G317" s="19"/>
      <c r="H317" s="19"/>
      <c r="I317" s="19"/>
      <c r="J317" s="19"/>
    </row>
    <row r="318" spans="2:10" ht="14.25">
      <c r="B318" s="449"/>
      <c r="C318" s="115"/>
      <c r="D318" s="115"/>
      <c r="E318" s="115"/>
      <c r="F318" s="19"/>
      <c r="G318" s="19"/>
      <c r="H318" s="19"/>
      <c r="I318" s="19"/>
      <c r="J318" s="19"/>
    </row>
    <row r="319" spans="2:10" ht="14.25">
      <c r="B319" s="449"/>
      <c r="C319" s="115"/>
      <c r="D319" s="115"/>
      <c r="E319" s="115"/>
      <c r="F319" s="19"/>
      <c r="G319" s="19"/>
      <c r="H319" s="19"/>
      <c r="I319" s="19"/>
      <c r="J319" s="19"/>
    </row>
    <row r="320" spans="2:10" ht="14.25">
      <c r="B320" s="449"/>
      <c r="C320" s="115"/>
      <c r="D320" s="115"/>
      <c r="E320" s="115"/>
      <c r="F320" s="19"/>
      <c r="G320" s="19"/>
      <c r="H320" s="19"/>
      <c r="I320" s="19"/>
      <c r="J320" s="19"/>
    </row>
    <row r="321" spans="2:10" ht="14.25">
      <c r="B321" s="449"/>
      <c r="C321" s="115"/>
      <c r="D321" s="115"/>
      <c r="E321" s="115"/>
      <c r="F321" s="19"/>
      <c r="G321" s="19"/>
      <c r="H321" s="19"/>
      <c r="I321" s="19"/>
      <c r="J321" s="19"/>
    </row>
    <row r="322" spans="2:10" ht="14.25">
      <c r="B322" s="449"/>
      <c r="C322" s="115"/>
      <c r="D322" s="115"/>
      <c r="E322" s="115"/>
      <c r="F322" s="19"/>
      <c r="G322" s="19"/>
      <c r="H322" s="19"/>
      <c r="I322" s="19"/>
      <c r="J322" s="19"/>
    </row>
    <row r="327" ht="12.75">
      <c r="A327" s="19"/>
    </row>
    <row r="328" spans="6:10" s="19" customFormat="1" ht="12.75">
      <c r="F328"/>
      <c r="G328"/>
      <c r="H328"/>
      <c r="I328"/>
      <c r="J328"/>
    </row>
    <row r="329" spans="6:10" s="19" customFormat="1" ht="12.75">
      <c r="F329"/>
      <c r="G329"/>
      <c r="H329"/>
      <c r="I329"/>
      <c r="J329"/>
    </row>
    <row r="330" spans="1:10" s="19" customFormat="1" ht="12.75">
      <c r="A330"/>
      <c r="F330"/>
      <c r="G330"/>
      <c r="H330"/>
      <c r="I330"/>
      <c r="J330"/>
    </row>
  </sheetData>
  <sheetProtection/>
  <mergeCells count="50">
    <mergeCell ref="A261:E261"/>
    <mergeCell ref="A262:E262"/>
    <mergeCell ref="A264:E264"/>
    <mergeCell ref="A210:E210"/>
    <mergeCell ref="A233:E233"/>
    <mergeCell ref="A234:E234"/>
    <mergeCell ref="A154:E154"/>
    <mergeCell ref="A155:E155"/>
    <mergeCell ref="A157:E157"/>
    <mergeCell ref="A158:E158"/>
    <mergeCell ref="A181:E181"/>
    <mergeCell ref="A182:E182"/>
    <mergeCell ref="A55:C55"/>
    <mergeCell ref="A51:E51"/>
    <mergeCell ref="A52:E52"/>
    <mergeCell ref="D292:E292"/>
    <mergeCell ref="A102:E102"/>
    <mergeCell ref="A103:E103"/>
    <mergeCell ref="A104:E104"/>
    <mergeCell ref="A105:E105"/>
    <mergeCell ref="A128:E128"/>
    <mergeCell ref="A129:E129"/>
    <mergeCell ref="B292:C292"/>
    <mergeCell ref="A1:E1"/>
    <mergeCell ref="A3:E3"/>
    <mergeCell ref="A4:E4"/>
    <mergeCell ref="A5:E5"/>
    <mergeCell ref="A7:E7"/>
    <mergeCell ref="B291:C291"/>
    <mergeCell ref="A8:E8"/>
    <mergeCell ref="A31:E31"/>
    <mergeCell ref="A30:E30"/>
    <mergeCell ref="B296:C296"/>
    <mergeCell ref="D296:E296"/>
    <mergeCell ref="B293:C293"/>
    <mergeCell ref="D293:E293"/>
    <mergeCell ref="B294:C294"/>
    <mergeCell ref="D294:E294"/>
    <mergeCell ref="B295:C295"/>
    <mergeCell ref="D295:E295"/>
    <mergeCell ref="A265:E265"/>
    <mergeCell ref="A9:C9"/>
    <mergeCell ref="A77:E77"/>
    <mergeCell ref="A78:E78"/>
    <mergeCell ref="A206:E206"/>
    <mergeCell ref="A207:E207"/>
    <mergeCell ref="A209:E209"/>
    <mergeCell ref="A29:E29"/>
    <mergeCell ref="A53:E53"/>
    <mergeCell ref="A54:E5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28">
      <selection activeCell="A44" sqref="A1:G44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546" t="s">
        <v>1370</v>
      </c>
      <c r="B2" s="1546"/>
      <c r="C2" s="1546"/>
      <c r="D2" s="1546"/>
      <c r="E2" s="1546"/>
      <c r="F2" s="1"/>
      <c r="G2" s="1"/>
    </row>
    <row r="3" spans="1:7" ht="12.75">
      <c r="A3" s="1"/>
      <c r="B3" s="1"/>
      <c r="C3" s="1"/>
      <c r="D3" s="1"/>
      <c r="E3" s="44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40" t="s">
        <v>191</v>
      </c>
      <c r="C5" s="1"/>
      <c r="D5" s="1"/>
      <c r="E5" s="1"/>
      <c r="F5" s="1"/>
      <c r="G5" s="1"/>
    </row>
    <row r="6" spans="1:7" ht="15.75">
      <c r="A6" s="1"/>
      <c r="B6" s="140" t="s">
        <v>192</v>
      </c>
      <c r="C6" s="140"/>
      <c r="D6" s="140"/>
      <c r="E6" s="140"/>
      <c r="F6" s="1"/>
      <c r="G6" s="1"/>
    </row>
    <row r="7" spans="1:7" ht="15.75">
      <c r="A7" s="1"/>
      <c r="B7" s="140"/>
      <c r="C7" s="140"/>
      <c r="D7" s="140"/>
      <c r="E7" s="140"/>
      <c r="F7" s="1"/>
      <c r="G7" s="1"/>
    </row>
    <row r="8" spans="1:7" ht="15.75">
      <c r="A8" s="1"/>
      <c r="B8" s="140"/>
      <c r="C8" s="140"/>
      <c r="D8" s="140" t="s">
        <v>991</v>
      </c>
      <c r="E8" s="140"/>
      <c r="F8" s="1"/>
      <c r="G8" s="1"/>
    </row>
    <row r="9" spans="1:7" ht="15.75">
      <c r="A9" s="1"/>
      <c r="B9" s="140"/>
      <c r="C9" s="140"/>
      <c r="D9" s="140"/>
      <c r="E9" s="140"/>
      <c r="F9" s="1"/>
      <c r="G9" s="1"/>
    </row>
    <row r="10" spans="1:7" ht="15.75">
      <c r="A10" s="1"/>
      <c r="B10" s="140"/>
      <c r="C10" s="140"/>
      <c r="D10" s="140"/>
      <c r="E10" s="140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3" t="s">
        <v>193</v>
      </c>
      <c r="B12" s="17"/>
      <c r="C12" s="17"/>
      <c r="D12" s="17"/>
    </row>
    <row r="15" spans="1:6" ht="15.75">
      <c r="A15" s="23" t="s">
        <v>194</v>
      </c>
      <c r="B15" s="23"/>
      <c r="C15" s="23"/>
      <c r="D15" s="23"/>
      <c r="E15" s="23"/>
      <c r="F15" s="1"/>
    </row>
    <row r="16" spans="1:6" ht="15.75">
      <c r="A16" s="23" t="s">
        <v>195</v>
      </c>
      <c r="B16" s="23"/>
      <c r="C16" s="23"/>
      <c r="D16" s="23"/>
      <c r="E16" s="23"/>
      <c r="F16" s="1"/>
    </row>
    <row r="17" spans="1:6" ht="12.75">
      <c r="A17" s="605" t="s">
        <v>196</v>
      </c>
      <c r="B17" s="1"/>
      <c r="C17" s="1"/>
      <c r="D17" s="1"/>
      <c r="E17" s="1"/>
      <c r="F17" s="1"/>
    </row>
    <row r="18" spans="1:6" ht="12.75">
      <c r="A18" s="605"/>
      <c r="B18" s="1"/>
      <c r="C18" s="1"/>
      <c r="D18" s="1"/>
      <c r="E18" s="1"/>
      <c r="F18" s="1"/>
    </row>
    <row r="19" spans="1:6" ht="12.75">
      <c r="A19" s="605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606"/>
      <c r="B21" s="607"/>
      <c r="C21" s="608"/>
      <c r="D21" s="609"/>
      <c r="E21" s="610" t="s">
        <v>197</v>
      </c>
      <c r="F21" s="1"/>
    </row>
    <row r="22" spans="1:6" ht="12.75">
      <c r="A22" s="611" t="s">
        <v>198</v>
      </c>
      <c r="B22" s="1635" t="s">
        <v>199</v>
      </c>
      <c r="C22" s="1636"/>
      <c r="D22" s="1637"/>
      <c r="E22" s="611" t="s">
        <v>200</v>
      </c>
      <c r="F22" s="1"/>
    </row>
    <row r="23" spans="1:6" ht="13.5" thickBot="1">
      <c r="A23" s="512"/>
      <c r="B23" s="287"/>
      <c r="C23" s="245"/>
      <c r="D23" s="612"/>
      <c r="E23" s="167" t="s">
        <v>201</v>
      </c>
      <c r="F23" s="1"/>
    </row>
    <row r="24" spans="1:6" ht="12.75">
      <c r="A24" s="606"/>
      <c r="B24" s="39"/>
      <c r="C24" s="39"/>
      <c r="D24" s="39"/>
      <c r="E24" s="610"/>
      <c r="F24" s="1"/>
    </row>
    <row r="25" spans="1:6" ht="12.75">
      <c r="A25" s="613">
        <v>1</v>
      </c>
      <c r="B25" s="291" t="s">
        <v>202</v>
      </c>
      <c r="C25" s="291"/>
      <c r="D25" s="291"/>
      <c r="E25" s="26"/>
      <c r="F25" s="1"/>
    </row>
    <row r="26" spans="1:6" ht="12.75">
      <c r="A26" s="283">
        <v>2</v>
      </c>
      <c r="B26" s="39" t="s">
        <v>203</v>
      </c>
      <c r="C26" s="39"/>
      <c r="D26" s="292"/>
      <c r="E26" s="30"/>
      <c r="F26" s="1"/>
    </row>
    <row r="27" spans="1:6" ht="12.75">
      <c r="A27" s="613"/>
      <c r="B27" s="291" t="s">
        <v>204</v>
      </c>
      <c r="C27" s="291"/>
      <c r="D27" s="290"/>
      <c r="E27" s="26"/>
      <c r="F27" s="1"/>
    </row>
    <row r="28" spans="1:6" ht="12.75">
      <c r="A28" s="283">
        <v>3</v>
      </c>
      <c r="B28" s="39" t="s">
        <v>205</v>
      </c>
      <c r="C28" s="39"/>
      <c r="D28" s="292"/>
      <c r="E28" s="30"/>
      <c r="F28" s="1"/>
    </row>
    <row r="29" spans="1:6" ht="12.75">
      <c r="A29" s="613"/>
      <c r="B29" s="291" t="s">
        <v>206</v>
      </c>
      <c r="C29" s="291"/>
      <c r="D29" s="290"/>
      <c r="E29" s="26"/>
      <c r="F29" s="1"/>
    </row>
    <row r="30" spans="1:6" ht="12.75">
      <c r="A30" s="613">
        <v>4</v>
      </c>
      <c r="B30" s="291" t="s">
        <v>207</v>
      </c>
      <c r="C30" s="291"/>
      <c r="D30" s="290"/>
      <c r="E30" s="26"/>
      <c r="F30" s="1"/>
    </row>
    <row r="31" spans="1:6" ht="12.75">
      <c r="A31" s="283">
        <v>5</v>
      </c>
      <c r="B31" s="39" t="s">
        <v>208</v>
      </c>
      <c r="C31" s="39"/>
      <c r="D31" s="292"/>
      <c r="E31" s="30"/>
      <c r="F31" s="1"/>
    </row>
    <row r="32" spans="1:6" ht="12.75">
      <c r="A32" s="613"/>
      <c r="B32" s="291" t="s">
        <v>209</v>
      </c>
      <c r="C32" s="291"/>
      <c r="D32" s="290"/>
      <c r="E32" s="26"/>
      <c r="F32" s="1"/>
    </row>
    <row r="33" spans="1:6" ht="12.75">
      <c r="A33" s="614">
        <v>6</v>
      </c>
      <c r="B33" s="5" t="s">
        <v>210</v>
      </c>
      <c r="C33" s="4"/>
      <c r="D33" s="247"/>
      <c r="E33" s="28"/>
      <c r="F33" s="1"/>
    </row>
    <row r="34" spans="1:6" ht="13.5" thickBot="1">
      <c r="A34" s="284">
        <v>7</v>
      </c>
      <c r="B34" s="245" t="s">
        <v>211</v>
      </c>
      <c r="C34" s="245"/>
      <c r="D34" s="612"/>
      <c r="E34" s="210"/>
      <c r="F34" s="1"/>
    </row>
    <row r="35" spans="1:6" ht="16.5" thickBot="1">
      <c r="A35" s="1"/>
      <c r="B35" s="159" t="s">
        <v>40</v>
      </c>
      <c r="C35" s="294"/>
      <c r="D35" s="295"/>
      <c r="E35" s="293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638" t="s">
        <v>915</v>
      </c>
      <c r="B37" s="1570"/>
      <c r="C37" s="1570"/>
      <c r="D37" s="1570"/>
      <c r="E37" s="1570"/>
      <c r="F37" s="1"/>
    </row>
    <row r="38" spans="1:6" ht="12.75">
      <c r="A38" s="1638" t="s">
        <v>212</v>
      </c>
      <c r="B38" s="1570"/>
      <c r="C38" s="1570"/>
      <c r="D38" s="1570"/>
      <c r="E38" s="1570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992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213</v>
      </c>
      <c r="F43" s="1"/>
    </row>
    <row r="44" spans="1:6" ht="12.75">
      <c r="A44" s="1"/>
      <c r="B44" s="1"/>
      <c r="C44" s="1"/>
      <c r="D44" s="1"/>
      <c r="E44" s="1" t="s">
        <v>214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23" sqref="A1:N23"/>
    </sheetView>
  </sheetViews>
  <sheetFormatPr defaultColWidth="9.140625" defaultRowHeight="12.75"/>
  <cols>
    <col min="1" max="1" width="21.57421875" style="0" customWidth="1"/>
    <col min="2" max="13" width="9.7109375" style="0" customWidth="1"/>
  </cols>
  <sheetData>
    <row r="1" spans="1:6" ht="12.75">
      <c r="A1" s="1546" t="s">
        <v>1371</v>
      </c>
      <c r="B1" s="1570"/>
      <c r="C1" s="1570"/>
      <c r="D1" s="1570"/>
      <c r="E1" s="1570"/>
      <c r="F1" s="1570"/>
    </row>
    <row r="2" spans="1:14" ht="12.75">
      <c r="A2" s="1629" t="s">
        <v>1225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  <c r="L2" s="1629"/>
      <c r="M2" s="1629"/>
      <c r="N2" s="1629"/>
    </row>
    <row r="3" spans="1:14" ht="13.5" thickBot="1">
      <c r="A3" s="1"/>
      <c r="B3" s="1639" t="s">
        <v>115</v>
      </c>
      <c r="C3" s="1640"/>
      <c r="D3" s="1640"/>
      <c r="E3" s="1640"/>
      <c r="F3" s="1640"/>
      <c r="G3" s="1640"/>
      <c r="H3" s="1640"/>
      <c r="I3" s="1640"/>
      <c r="J3" s="1640"/>
      <c r="K3" s="1640"/>
      <c r="L3" s="1640"/>
      <c r="M3" s="1640"/>
      <c r="N3" s="1640"/>
    </row>
    <row r="4" spans="1:14" ht="38.25">
      <c r="A4" s="212" t="s">
        <v>3</v>
      </c>
      <c r="B4" s="1367" t="s">
        <v>917</v>
      </c>
      <c r="C4" s="1367" t="s">
        <v>993</v>
      </c>
      <c r="D4" s="1367" t="s">
        <v>994</v>
      </c>
      <c r="E4" s="1367" t="s">
        <v>995</v>
      </c>
      <c r="F4" s="1367" t="s">
        <v>996</v>
      </c>
      <c r="G4" s="1367" t="s">
        <v>997</v>
      </c>
      <c r="H4" s="1367" t="s">
        <v>998</v>
      </c>
      <c r="I4" s="1367" t="s">
        <v>999</v>
      </c>
      <c r="J4" s="1367" t="s">
        <v>1000</v>
      </c>
      <c r="K4" s="1367" t="s">
        <v>1001</v>
      </c>
      <c r="L4" s="1367" t="s">
        <v>1002</v>
      </c>
      <c r="M4" s="1031" t="s">
        <v>1003</v>
      </c>
      <c r="N4" s="1032" t="s">
        <v>40</v>
      </c>
    </row>
    <row r="5" spans="1:14" ht="17.25" customHeight="1">
      <c r="A5" s="1033" t="s">
        <v>1004</v>
      </c>
      <c r="B5" s="1365">
        <f>'14 16_sz_ melléklet'!C28</f>
        <v>883000</v>
      </c>
      <c r="C5" s="1365">
        <v>900000</v>
      </c>
      <c r="D5" s="1365">
        <f>C5*1.005</f>
        <v>904499.9999999999</v>
      </c>
      <c r="E5" s="1365">
        <f>D5*1.005</f>
        <v>909022.4999999998</v>
      </c>
      <c r="F5" s="1365">
        <f aca="true" t="shared" si="0" ref="F5:L5">E5*1.005</f>
        <v>913567.6124999997</v>
      </c>
      <c r="G5" s="1365">
        <f t="shared" si="0"/>
        <v>918135.4505624996</v>
      </c>
      <c r="H5" s="1365">
        <f t="shared" si="0"/>
        <v>922726.127815312</v>
      </c>
      <c r="I5" s="1365">
        <f t="shared" si="0"/>
        <v>927339.7584543885</v>
      </c>
      <c r="J5" s="1365">
        <f t="shared" si="0"/>
        <v>931976.4572466604</v>
      </c>
      <c r="K5" s="1365">
        <f t="shared" si="0"/>
        <v>936636.3395328936</v>
      </c>
      <c r="L5" s="1365">
        <f t="shared" si="0"/>
        <v>941319.5212305579</v>
      </c>
      <c r="M5" s="1365">
        <v>8895474</v>
      </c>
      <c r="N5" s="1370">
        <f aca="true" t="shared" si="1" ref="N5:N13">SUM(B5:M5)</f>
        <v>18983697.767342314</v>
      </c>
    </row>
    <row r="6" spans="1:14" ht="24.75" customHeight="1">
      <c r="A6" s="1033" t="s">
        <v>1005</v>
      </c>
      <c r="B6" s="1365">
        <f>'22 24  sz. melléklet'!F32+'14 16_sz_ melléklet'!C30</f>
        <v>260707</v>
      </c>
      <c r="C6" s="1365">
        <v>250000</v>
      </c>
      <c r="D6" s="1365">
        <f>C6*1.05</f>
        <v>262500</v>
      </c>
      <c r="E6" s="1365">
        <f aca="true" t="shared" si="2" ref="E6:L6">D6*1.05</f>
        <v>275625</v>
      </c>
      <c r="F6" s="1365">
        <f t="shared" si="2"/>
        <v>289406.25</v>
      </c>
      <c r="G6" s="1365">
        <f t="shared" si="2"/>
        <v>303876.5625</v>
      </c>
      <c r="H6" s="1365">
        <f t="shared" si="2"/>
        <v>319070.390625</v>
      </c>
      <c r="I6" s="1365">
        <f t="shared" si="2"/>
        <v>335023.91015625</v>
      </c>
      <c r="J6" s="1365">
        <f t="shared" si="2"/>
        <v>351775.1056640625</v>
      </c>
      <c r="K6" s="1365">
        <f t="shared" si="2"/>
        <v>369363.86094726564</v>
      </c>
      <c r="L6" s="1365">
        <f t="shared" si="2"/>
        <v>387832.05399462895</v>
      </c>
      <c r="M6" s="1365">
        <v>1500000</v>
      </c>
      <c r="N6" s="1370">
        <f t="shared" si="1"/>
        <v>4905180.133887207</v>
      </c>
    </row>
    <row r="7" spans="1:14" ht="25.5" customHeight="1">
      <c r="A7" s="1033" t="s">
        <v>1006</v>
      </c>
      <c r="B7" s="1365">
        <f>'22 24  sz. melléklet'!F45</f>
        <v>130000</v>
      </c>
      <c r="C7" s="1365">
        <v>130000</v>
      </c>
      <c r="D7" s="1365">
        <v>110000</v>
      </c>
      <c r="E7" s="1365">
        <v>100000</v>
      </c>
      <c r="F7" s="1365">
        <v>100000</v>
      </c>
      <c r="G7" s="1365">
        <v>100000</v>
      </c>
      <c r="H7" s="1365">
        <v>100000</v>
      </c>
      <c r="I7" s="1365">
        <v>100000</v>
      </c>
      <c r="J7" s="1365">
        <v>100000</v>
      </c>
      <c r="K7" s="1365">
        <v>100000</v>
      </c>
      <c r="L7" s="1365">
        <v>100000</v>
      </c>
      <c r="M7" s="1365">
        <v>900000</v>
      </c>
      <c r="N7" s="1370">
        <f t="shared" si="1"/>
        <v>2070000</v>
      </c>
    </row>
    <row r="8" spans="1:14" ht="49.5" customHeight="1">
      <c r="A8" s="1033" t="s">
        <v>1007</v>
      </c>
      <c r="B8" s="1365">
        <f>'22 24  sz. melléklet'!F17</f>
        <v>553961</v>
      </c>
      <c r="C8" s="1365">
        <v>500000</v>
      </c>
      <c r="D8" s="1365">
        <v>400000</v>
      </c>
      <c r="E8" s="1365">
        <v>250000</v>
      </c>
      <c r="F8" s="1365">
        <v>200000</v>
      </c>
      <c r="G8" s="1365">
        <v>100000</v>
      </c>
      <c r="H8" s="1365">
        <v>100000</v>
      </c>
      <c r="I8" s="1365">
        <v>100000</v>
      </c>
      <c r="J8" s="1365">
        <v>100000</v>
      </c>
      <c r="K8" s="1365">
        <v>100000</v>
      </c>
      <c r="L8" s="1365">
        <v>100000</v>
      </c>
      <c r="M8" s="1365">
        <v>450000</v>
      </c>
      <c r="N8" s="1370">
        <f t="shared" si="1"/>
        <v>2953961</v>
      </c>
    </row>
    <row r="9" spans="1:14" ht="18.75" customHeight="1">
      <c r="A9" s="1033" t="s">
        <v>1008</v>
      </c>
      <c r="B9" s="1365">
        <f>'14 16_sz_ melléklet'!C29</f>
        <v>5060</v>
      </c>
      <c r="C9" s="1365">
        <v>6000</v>
      </c>
      <c r="D9" s="1365">
        <f>C9*1.005</f>
        <v>6029.999999999999</v>
      </c>
      <c r="E9" s="1365">
        <f aca="true" t="shared" si="3" ref="E9:L9">D9*1.005</f>
        <v>6060.149999999999</v>
      </c>
      <c r="F9" s="1365">
        <f t="shared" si="3"/>
        <v>6090.450749999998</v>
      </c>
      <c r="G9" s="1365">
        <f t="shared" si="3"/>
        <v>6120.903003749998</v>
      </c>
      <c r="H9" s="1365">
        <f t="shared" si="3"/>
        <v>6151.507518768747</v>
      </c>
      <c r="I9" s="1365">
        <f t="shared" si="3"/>
        <v>6182.26505636259</v>
      </c>
      <c r="J9" s="1365">
        <f t="shared" si="3"/>
        <v>6213.176381644403</v>
      </c>
      <c r="K9" s="1365">
        <f t="shared" si="3"/>
        <v>6244.242263552624</v>
      </c>
      <c r="L9" s="1365">
        <f t="shared" si="3"/>
        <v>6275.463474870386</v>
      </c>
      <c r="M9" s="1365">
        <v>63000</v>
      </c>
      <c r="N9" s="1370">
        <f t="shared" si="1"/>
        <v>129428.15844894874</v>
      </c>
    </row>
    <row r="10" spans="1:14" ht="25.5" customHeight="1" thickBot="1">
      <c r="A10" s="1033" t="s">
        <v>1009</v>
      </c>
      <c r="B10" s="1365">
        <v>13500</v>
      </c>
      <c r="C10" s="1365">
        <v>13500</v>
      </c>
      <c r="D10" s="1365">
        <v>13500</v>
      </c>
      <c r="E10" s="1365">
        <v>501500</v>
      </c>
      <c r="F10" s="1365">
        <v>11500</v>
      </c>
      <c r="G10" s="1365">
        <v>11500</v>
      </c>
      <c r="H10" s="1365">
        <v>11500</v>
      </c>
      <c r="I10" s="1365">
        <v>11500</v>
      </c>
      <c r="J10" s="1365">
        <v>11500</v>
      </c>
      <c r="K10" s="1365">
        <v>11500</v>
      </c>
      <c r="L10" s="1365">
        <v>11500</v>
      </c>
      <c r="M10" s="1365">
        <v>11500</v>
      </c>
      <c r="N10" s="1370">
        <f t="shared" si="1"/>
        <v>634000</v>
      </c>
    </row>
    <row r="11" spans="1:14" ht="18" customHeight="1" thickBot="1">
      <c r="A11" s="1029" t="s">
        <v>1010</v>
      </c>
      <c r="B11" s="182">
        <f aca="true" t="shared" si="4" ref="B11:M11">SUM(B5:B10)</f>
        <v>1846228</v>
      </c>
      <c r="C11" s="182">
        <f t="shared" si="4"/>
        <v>1799500</v>
      </c>
      <c r="D11" s="182">
        <f t="shared" si="4"/>
        <v>1696530</v>
      </c>
      <c r="E11" s="182">
        <f t="shared" si="4"/>
        <v>2042207.6499999997</v>
      </c>
      <c r="F11" s="182">
        <f t="shared" si="4"/>
        <v>1520564.31325</v>
      </c>
      <c r="G11" s="182">
        <f t="shared" si="4"/>
        <v>1439632.9160662494</v>
      </c>
      <c r="H11" s="182">
        <f t="shared" si="4"/>
        <v>1459448.0259590808</v>
      </c>
      <c r="I11" s="182">
        <f t="shared" si="4"/>
        <v>1480045.933667001</v>
      </c>
      <c r="J11" s="182">
        <f t="shared" si="4"/>
        <v>1501464.7392923671</v>
      </c>
      <c r="K11" s="182">
        <f t="shared" si="4"/>
        <v>1523744.442743712</v>
      </c>
      <c r="L11" s="182">
        <f t="shared" si="4"/>
        <v>1546927.0387000574</v>
      </c>
      <c r="M11" s="182">
        <f t="shared" si="4"/>
        <v>11819974</v>
      </c>
      <c r="N11" s="1368">
        <f t="shared" si="1"/>
        <v>29676267.05967847</v>
      </c>
    </row>
    <row r="12" spans="1:14" ht="16.5" customHeight="1">
      <c r="A12" s="1034" t="s">
        <v>1011</v>
      </c>
      <c r="B12" s="1008">
        <f>B11/2</f>
        <v>923114</v>
      </c>
      <c r="C12" s="1008">
        <f aca="true" t="shared" si="5" ref="C12:M12">C11/2</f>
        <v>899750</v>
      </c>
      <c r="D12" s="1008">
        <f t="shared" si="5"/>
        <v>848265</v>
      </c>
      <c r="E12" s="1008">
        <f t="shared" si="5"/>
        <v>1021103.8249999998</v>
      </c>
      <c r="F12" s="1008">
        <f t="shared" si="5"/>
        <v>760282.156625</v>
      </c>
      <c r="G12" s="1008">
        <f t="shared" si="5"/>
        <v>719816.4580331247</v>
      </c>
      <c r="H12" s="1008">
        <f t="shared" si="5"/>
        <v>729724.0129795404</v>
      </c>
      <c r="I12" s="1008">
        <f t="shared" si="5"/>
        <v>740022.9668335005</v>
      </c>
      <c r="J12" s="1008">
        <f t="shared" si="5"/>
        <v>750732.3696461836</v>
      </c>
      <c r="K12" s="1008">
        <f t="shared" si="5"/>
        <v>761872.221371856</v>
      </c>
      <c r="L12" s="1008">
        <f t="shared" si="5"/>
        <v>773463.5193500287</v>
      </c>
      <c r="M12" s="1008">
        <f t="shared" si="5"/>
        <v>5909987</v>
      </c>
      <c r="N12" s="1369">
        <f t="shared" si="1"/>
        <v>14838133.529839234</v>
      </c>
    </row>
    <row r="13" spans="1:14" ht="33.75" customHeight="1">
      <c r="A13" s="1035" t="s">
        <v>1012</v>
      </c>
      <c r="B13" s="1366">
        <f>'42_sz_ melléklet'!L12</f>
        <v>14604</v>
      </c>
      <c r="C13" s="1366">
        <f>'42_sz_ melléklet'!L13</f>
        <v>280236.7003333336</v>
      </c>
      <c r="D13" s="1366">
        <f>'42_sz_ melléklet'!L14</f>
        <v>92360</v>
      </c>
      <c r="E13" s="1366">
        <f>'42_sz_ melléklet'!L15</f>
        <v>101364</v>
      </c>
      <c r="F13" s="1366">
        <f>'42_sz_ melléklet'!L16</f>
        <v>109012</v>
      </c>
      <c r="G13" s="1366">
        <f>'42_sz_ melléklet'!L17</f>
        <v>111659</v>
      </c>
      <c r="H13" s="1366">
        <f>'42_sz_ melléklet'!L18</f>
        <v>118014</v>
      </c>
      <c r="I13" s="1366">
        <f>'42_sz_ melléklet'!L19</f>
        <v>119603</v>
      </c>
      <c r="J13" s="1366">
        <f>'42_sz_ melléklet'!L20</f>
        <v>120662</v>
      </c>
      <c r="K13" s="1366">
        <f>'42_sz_ melléklet'!L21</f>
        <v>125429</v>
      </c>
      <c r="L13" s="1366">
        <f>'42_sz_ melléklet'!L22</f>
        <v>128606</v>
      </c>
      <c r="M13" s="1366">
        <f>'42_sz_ melléklet'!L23+'42_sz_ melléklet'!L24+'42_sz_ melléklet'!L25+'42_sz_ melléklet'!L26+'42_sz_ melléklet'!L27+'42_sz_ melléklet'!L28+'42_sz_ melléklet'!L29+'42_sz_ melléklet'!L30+'42_sz_ melléklet'!L31+'42_sz_ melléklet'!L32</f>
        <v>2209370</v>
      </c>
      <c r="N13" s="1221">
        <f t="shared" si="1"/>
        <v>3530919.7003333336</v>
      </c>
    </row>
    <row r="14" spans="1:14" ht="25.5" customHeight="1">
      <c r="A14" s="1033" t="s">
        <v>1013</v>
      </c>
      <c r="B14" s="1365">
        <f>'11 12 sz_melléklet'!C13</f>
        <v>1250</v>
      </c>
      <c r="C14" s="1365">
        <v>1250</v>
      </c>
      <c r="D14" s="1365">
        <v>1250</v>
      </c>
      <c r="E14" s="1365">
        <v>1250</v>
      </c>
      <c r="F14" s="1365">
        <v>1250</v>
      </c>
      <c r="G14" s="1365"/>
      <c r="H14" s="1365"/>
      <c r="I14" s="1365"/>
      <c r="J14" s="1365"/>
      <c r="K14" s="1365"/>
      <c r="L14" s="1365"/>
      <c r="M14" s="1365"/>
      <c r="N14" s="1326"/>
    </row>
    <row r="15" spans="1:14" ht="16.5" customHeight="1">
      <c r="A15" s="1033" t="s">
        <v>1014</v>
      </c>
      <c r="B15" s="1365"/>
      <c r="C15" s="1365"/>
      <c r="D15" s="1365"/>
      <c r="E15" s="1365"/>
      <c r="F15" s="1365"/>
      <c r="G15" s="1365"/>
      <c r="H15" s="1365"/>
      <c r="I15" s="1365"/>
      <c r="J15" s="1365"/>
      <c r="K15" s="1365"/>
      <c r="L15" s="1365"/>
      <c r="M15" s="1365"/>
      <c r="N15" s="1326"/>
    </row>
    <row r="16" spans="1:14" ht="24.75" customHeight="1">
      <c r="A16" s="1033" t="s">
        <v>1015</v>
      </c>
      <c r="B16" s="1365"/>
      <c r="C16" s="1365"/>
      <c r="D16" s="1365"/>
      <c r="E16" s="1365"/>
      <c r="F16" s="1365"/>
      <c r="G16" s="1365"/>
      <c r="H16" s="1365"/>
      <c r="I16" s="1365"/>
      <c r="J16" s="1365"/>
      <c r="K16" s="1365"/>
      <c r="L16" s="1365"/>
      <c r="M16" s="1365"/>
      <c r="N16" s="1326"/>
    </row>
    <row r="17" spans="1:14" ht="33" customHeight="1">
      <c r="A17" s="1033" t="s">
        <v>1016</v>
      </c>
      <c r="B17" s="1365"/>
      <c r="C17" s="1365"/>
      <c r="D17" s="1365"/>
      <c r="E17" s="1365"/>
      <c r="F17" s="1365"/>
      <c r="G17" s="1365"/>
      <c r="H17" s="1365"/>
      <c r="I17" s="1365"/>
      <c r="J17" s="1365"/>
      <c r="K17" s="1365"/>
      <c r="L17" s="1365"/>
      <c r="M17" s="1365"/>
      <c r="N17" s="1326"/>
    </row>
    <row r="18" spans="1:14" ht="51" customHeight="1">
      <c r="A18" s="1033" t="s">
        <v>1017</v>
      </c>
      <c r="B18" s="1365"/>
      <c r="C18" s="1365"/>
      <c r="D18" s="1365"/>
      <c r="E18" s="1365"/>
      <c r="F18" s="1365"/>
      <c r="G18" s="1365"/>
      <c r="H18" s="1365"/>
      <c r="I18" s="1365"/>
      <c r="J18" s="1365"/>
      <c r="K18" s="1365"/>
      <c r="L18" s="1365"/>
      <c r="M18" s="1365"/>
      <c r="N18" s="1326"/>
    </row>
    <row r="19" spans="1:14" ht="26.25" customHeight="1" thickBot="1">
      <c r="A19" s="1036" t="s">
        <v>1018</v>
      </c>
      <c r="B19" s="164">
        <f>'51_ sz_ melléklet'!C6+'51_ sz_ melléklet'!C7</f>
        <v>13500</v>
      </c>
      <c r="C19" s="164">
        <f>'51_ sz_ melléklet'!D6+'51_ sz_ melléklet'!D7</f>
        <v>13500</v>
      </c>
      <c r="D19" s="164">
        <f>'51_ sz_ melléklet'!E6+'51_ sz_ melléklet'!E7</f>
        <v>13500</v>
      </c>
      <c r="E19" s="164">
        <f>'51_ sz_ melléklet'!F6+'51_ sz_ melléklet'!F7</f>
        <v>501500</v>
      </c>
      <c r="F19" s="164">
        <f>'51_ sz_ melléklet'!G7</f>
        <v>11500</v>
      </c>
      <c r="G19" s="164">
        <f>'51_ sz_ melléklet'!H7</f>
        <v>11500</v>
      </c>
      <c r="H19" s="164">
        <f>'51_ sz_ melléklet'!I7</f>
        <v>11500</v>
      </c>
      <c r="I19" s="164">
        <f>'51_ sz_ melléklet'!J7</f>
        <v>11500</v>
      </c>
      <c r="J19" s="164">
        <f>'51_ sz_ melléklet'!K7</f>
        <v>11500</v>
      </c>
      <c r="K19" s="164">
        <f>'51_ sz_ melléklet'!L7</f>
        <v>11500</v>
      </c>
      <c r="L19" s="164">
        <f>'51_ sz_ melléklet'!M7</f>
        <v>11500</v>
      </c>
      <c r="M19" s="164">
        <f>'51_ sz_ melléklet'!N7</f>
        <v>11500</v>
      </c>
      <c r="N19" s="165">
        <f>SUM(B19:M19)</f>
        <v>634000</v>
      </c>
    </row>
    <row r="20" spans="1:14" ht="24.75" customHeight="1" thickBot="1">
      <c r="A20" s="1030" t="s">
        <v>1019</v>
      </c>
      <c r="B20" s="1009">
        <f>SUM(B13:B19)</f>
        <v>29354</v>
      </c>
      <c r="C20" s="1009">
        <f aca="true" t="shared" si="6" ref="C20:M20">SUM(C13:C19)</f>
        <v>294986.7003333336</v>
      </c>
      <c r="D20" s="1009">
        <f t="shared" si="6"/>
        <v>107110</v>
      </c>
      <c r="E20" s="1009">
        <f t="shared" si="6"/>
        <v>604114</v>
      </c>
      <c r="F20" s="1009">
        <f t="shared" si="6"/>
        <v>121762</v>
      </c>
      <c r="G20" s="1009">
        <f t="shared" si="6"/>
        <v>123159</v>
      </c>
      <c r="H20" s="1009">
        <f t="shared" si="6"/>
        <v>129514</v>
      </c>
      <c r="I20" s="1009">
        <f t="shared" si="6"/>
        <v>131103</v>
      </c>
      <c r="J20" s="1009">
        <f t="shared" si="6"/>
        <v>132162</v>
      </c>
      <c r="K20" s="1009">
        <f t="shared" si="6"/>
        <v>136929</v>
      </c>
      <c r="L20" s="1009">
        <f t="shared" si="6"/>
        <v>140106</v>
      </c>
      <c r="M20" s="1009">
        <f t="shared" si="6"/>
        <v>2220870</v>
      </c>
      <c r="N20" s="1010">
        <f>SUM(B20:M20)</f>
        <v>4171169.7003333336</v>
      </c>
    </row>
    <row r="21" spans="1:14" ht="38.25" customHeight="1" thickBot="1">
      <c r="A21" s="1029" t="s">
        <v>1020</v>
      </c>
      <c r="B21" s="182">
        <f>B12-B20</f>
        <v>893760</v>
      </c>
      <c r="C21" s="182">
        <f aca="true" t="shared" si="7" ref="C21:N21">C12-C20</f>
        <v>604763.2996666664</v>
      </c>
      <c r="D21" s="182">
        <f t="shared" si="7"/>
        <v>741155</v>
      </c>
      <c r="E21" s="182">
        <f t="shared" si="7"/>
        <v>416989.82499999984</v>
      </c>
      <c r="F21" s="182">
        <f t="shared" si="7"/>
        <v>638520.156625</v>
      </c>
      <c r="G21" s="182">
        <f t="shared" si="7"/>
        <v>596657.4580331247</v>
      </c>
      <c r="H21" s="182">
        <f t="shared" si="7"/>
        <v>600210.0129795404</v>
      </c>
      <c r="I21" s="182">
        <f t="shared" si="7"/>
        <v>608919.9668335005</v>
      </c>
      <c r="J21" s="182">
        <f t="shared" si="7"/>
        <v>618570.3696461836</v>
      </c>
      <c r="K21" s="182">
        <f t="shared" si="7"/>
        <v>624943.221371856</v>
      </c>
      <c r="L21" s="182">
        <f t="shared" si="7"/>
        <v>633357.5193500287</v>
      </c>
      <c r="M21" s="182">
        <f t="shared" si="7"/>
        <v>3689117</v>
      </c>
      <c r="N21" s="1368">
        <f t="shared" si="7"/>
        <v>10666963.829505902</v>
      </c>
    </row>
    <row r="22" spans="1:14" ht="12.75">
      <c r="A22" s="1" t="s">
        <v>1021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20" customFormat="1" ht="12.75">
      <c r="A42" s="44"/>
    </row>
    <row r="43" ht="12.75">
      <c r="A43" s="1"/>
    </row>
  </sheetData>
  <sheetProtection/>
  <mergeCells count="3">
    <mergeCell ref="B3:N3"/>
    <mergeCell ref="A1:F1"/>
    <mergeCell ref="A2:N2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546" t="s">
        <v>1372</v>
      </c>
      <c r="B3" s="1570"/>
      <c r="C3" s="1570"/>
      <c r="D3" s="1570"/>
      <c r="E3" s="1570"/>
      <c r="F3" s="1570"/>
      <c r="G3" s="1"/>
      <c r="H3" s="1"/>
      <c r="I3" s="248"/>
      <c r="J3" s="248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577" t="s">
        <v>217</v>
      </c>
      <c r="C6" s="1643"/>
      <c r="D6" s="1643"/>
      <c r="E6" s="1643"/>
      <c r="F6" s="1643"/>
      <c r="G6" s="1643"/>
      <c r="H6" s="1643"/>
      <c r="I6" s="1643"/>
      <c r="J6" s="1643"/>
      <c r="K6" s="1"/>
    </row>
    <row r="7" spans="2:11" ht="12.75">
      <c r="B7" s="1"/>
      <c r="C7" s="1"/>
      <c r="D7" s="44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5" t="s">
        <v>9</v>
      </c>
      <c r="K9" s="1"/>
    </row>
    <row r="10" spans="1:11" ht="13.5" thickBot="1">
      <c r="A10" s="1578" t="s">
        <v>801</v>
      </c>
      <c r="B10" s="249" t="s">
        <v>218</v>
      </c>
      <c r="C10" s="1645" t="s">
        <v>476</v>
      </c>
      <c r="D10" s="1646"/>
      <c r="E10" s="1647" t="s">
        <v>477</v>
      </c>
      <c r="F10" s="1646"/>
      <c r="G10" s="1648" t="s">
        <v>478</v>
      </c>
      <c r="H10" s="1646"/>
      <c r="I10" s="1647" t="s">
        <v>479</v>
      </c>
      <c r="J10" s="1645"/>
      <c r="K10" s="1641" t="s">
        <v>168</v>
      </c>
    </row>
    <row r="11" spans="1:11" ht="13.5" thickBot="1">
      <c r="A11" s="1644"/>
      <c r="B11" s="251"/>
      <c r="C11" s="250" t="s">
        <v>219</v>
      </c>
      <c r="D11" s="252" t="s">
        <v>220</v>
      </c>
      <c r="E11" s="252" t="s">
        <v>480</v>
      </c>
      <c r="F11" s="252" t="s">
        <v>481</v>
      </c>
      <c r="G11" s="253" t="s">
        <v>482</v>
      </c>
      <c r="H11" s="253" t="s">
        <v>481</v>
      </c>
      <c r="I11" s="252" t="s">
        <v>483</v>
      </c>
      <c r="J11" s="250" t="s">
        <v>484</v>
      </c>
      <c r="K11" s="1642"/>
    </row>
    <row r="12" spans="1:11" ht="13.5" thickBot="1">
      <c r="A12" s="708" t="s">
        <v>802</v>
      </c>
      <c r="B12" s="647" t="s">
        <v>803</v>
      </c>
      <c r="C12" s="647" t="s">
        <v>804</v>
      </c>
      <c r="D12" s="647" t="s">
        <v>805</v>
      </c>
      <c r="E12" s="647" t="s">
        <v>825</v>
      </c>
      <c r="F12" s="647" t="s">
        <v>850</v>
      </c>
      <c r="G12" s="647" t="s">
        <v>851</v>
      </c>
      <c r="H12" s="647" t="s">
        <v>904</v>
      </c>
      <c r="I12" s="647" t="s">
        <v>905</v>
      </c>
      <c r="J12" s="250" t="s">
        <v>906</v>
      </c>
      <c r="K12" s="252" t="s">
        <v>909</v>
      </c>
    </row>
    <row r="13" spans="1:11" ht="12.75">
      <c r="A13" s="724" t="s">
        <v>806</v>
      </c>
      <c r="B13" s="254" t="s">
        <v>221</v>
      </c>
      <c r="C13" s="199">
        <v>550000</v>
      </c>
      <c r="D13" s="193">
        <v>635000</v>
      </c>
      <c r="E13" s="199">
        <v>85000</v>
      </c>
      <c r="F13" s="193"/>
      <c r="G13" s="198">
        <v>0</v>
      </c>
      <c r="H13" s="33">
        <v>0</v>
      </c>
      <c r="I13" s="198">
        <v>0</v>
      </c>
      <c r="J13" s="900">
        <v>0</v>
      </c>
      <c r="K13" s="193"/>
    </row>
    <row r="14" spans="1:11" ht="12.75">
      <c r="A14" s="650" t="s">
        <v>807</v>
      </c>
      <c r="B14" s="254" t="s">
        <v>222</v>
      </c>
      <c r="C14" s="199">
        <v>550000</v>
      </c>
      <c r="D14" s="193">
        <v>550000</v>
      </c>
      <c r="E14" s="199">
        <v>15000</v>
      </c>
      <c r="F14" s="193"/>
      <c r="G14" s="190">
        <v>0</v>
      </c>
      <c r="H14" s="147">
        <v>0</v>
      </c>
      <c r="I14" s="190">
        <v>0</v>
      </c>
      <c r="J14" s="502">
        <v>0</v>
      </c>
      <c r="K14" s="190"/>
    </row>
    <row r="15" spans="1:11" ht="12.75">
      <c r="A15" s="552" t="s">
        <v>808</v>
      </c>
      <c r="B15" s="254" t="s">
        <v>223</v>
      </c>
      <c r="C15" s="199">
        <v>665431</v>
      </c>
      <c r="D15" s="193">
        <v>697088</v>
      </c>
      <c r="E15" s="199"/>
      <c r="F15" s="193">
        <v>3651</v>
      </c>
      <c r="G15" s="198">
        <v>0</v>
      </c>
      <c r="H15" s="33">
        <v>0</v>
      </c>
      <c r="I15" s="198">
        <v>0</v>
      </c>
      <c r="J15" s="336">
        <v>0</v>
      </c>
      <c r="K15" s="190">
        <v>16657</v>
      </c>
    </row>
    <row r="16" spans="1:11" ht="12.75">
      <c r="A16" s="552" t="s">
        <v>809</v>
      </c>
      <c r="B16" s="254" t="s">
        <v>224</v>
      </c>
      <c r="C16" s="199">
        <v>605000</v>
      </c>
      <c r="D16" s="193">
        <v>610000</v>
      </c>
      <c r="E16" s="199"/>
      <c r="F16" s="193"/>
      <c r="G16" s="190">
        <v>0</v>
      </c>
      <c r="H16" s="147">
        <v>0</v>
      </c>
      <c r="I16" s="190">
        <v>0</v>
      </c>
      <c r="J16" s="502">
        <v>0</v>
      </c>
      <c r="K16" s="190"/>
    </row>
    <row r="17" spans="1:11" ht="12.75">
      <c r="A17" s="552" t="s">
        <v>810</v>
      </c>
      <c r="B17" s="254" t="s">
        <v>225</v>
      </c>
      <c r="C17" s="199">
        <v>643948</v>
      </c>
      <c r="D17" s="193">
        <v>603374</v>
      </c>
      <c r="E17" s="199"/>
      <c r="F17" s="193"/>
      <c r="G17" s="198">
        <v>0</v>
      </c>
      <c r="H17" s="33">
        <v>0</v>
      </c>
      <c r="I17" s="198">
        <v>0</v>
      </c>
      <c r="J17" s="336">
        <v>0</v>
      </c>
      <c r="K17" s="190">
        <v>150000</v>
      </c>
    </row>
    <row r="18" spans="1:11" ht="12.75">
      <c r="A18" s="552" t="s">
        <v>811</v>
      </c>
      <c r="B18" s="254" t="s">
        <v>226</v>
      </c>
      <c r="C18" s="199">
        <v>695000</v>
      </c>
      <c r="D18" s="193">
        <v>700000</v>
      </c>
      <c r="E18" s="199">
        <v>34385</v>
      </c>
      <c r="F18" s="193">
        <v>3651</v>
      </c>
      <c r="G18" s="190">
        <v>0</v>
      </c>
      <c r="H18" s="147">
        <v>0</v>
      </c>
      <c r="I18" s="190">
        <v>102497</v>
      </c>
      <c r="J18" s="502">
        <v>100032</v>
      </c>
      <c r="K18" s="190"/>
    </row>
    <row r="19" spans="1:11" ht="12.75">
      <c r="A19" s="552" t="s">
        <v>812</v>
      </c>
      <c r="B19" s="254" t="s">
        <v>227</v>
      </c>
      <c r="C19" s="199">
        <v>695000</v>
      </c>
      <c r="D19" s="193">
        <v>900000</v>
      </c>
      <c r="E19" s="199">
        <v>150000</v>
      </c>
      <c r="F19" s="193"/>
      <c r="G19" s="198">
        <v>0</v>
      </c>
      <c r="H19" s="33">
        <v>0</v>
      </c>
      <c r="I19" s="198">
        <v>0</v>
      </c>
      <c r="J19" s="336">
        <v>0</v>
      </c>
      <c r="K19" s="190">
        <v>200000</v>
      </c>
    </row>
    <row r="20" spans="1:11" ht="12.75">
      <c r="A20" s="552" t="s">
        <v>813</v>
      </c>
      <c r="B20" s="254" t="s">
        <v>228</v>
      </c>
      <c r="C20" s="199">
        <v>680000</v>
      </c>
      <c r="D20" s="193">
        <v>950000</v>
      </c>
      <c r="E20" s="199">
        <v>28696</v>
      </c>
      <c r="F20" s="193"/>
      <c r="G20" s="190">
        <v>0</v>
      </c>
      <c r="H20" s="147">
        <v>0</v>
      </c>
      <c r="I20" s="190">
        <v>0</v>
      </c>
      <c r="J20" s="502">
        <v>0</v>
      </c>
      <c r="K20" s="190">
        <v>156647</v>
      </c>
    </row>
    <row r="21" spans="1:11" ht="12.75">
      <c r="A21" s="552" t="s">
        <v>814</v>
      </c>
      <c r="B21" s="254" t="s">
        <v>229</v>
      </c>
      <c r="C21" s="199">
        <v>650000</v>
      </c>
      <c r="D21" s="193">
        <v>846000</v>
      </c>
      <c r="E21" s="199"/>
      <c r="F21" s="193">
        <v>3651</v>
      </c>
      <c r="G21" s="198">
        <v>0</v>
      </c>
      <c r="H21" s="33">
        <v>0</v>
      </c>
      <c r="I21" s="198">
        <v>0</v>
      </c>
      <c r="J21" s="336">
        <v>0</v>
      </c>
      <c r="K21" s="190">
        <v>95000</v>
      </c>
    </row>
    <row r="22" spans="1:11" ht="12.75">
      <c r="A22" s="552" t="s">
        <v>815</v>
      </c>
      <c r="B22" s="254" t="s">
        <v>230</v>
      </c>
      <c r="C22" s="199">
        <v>593000</v>
      </c>
      <c r="D22" s="193">
        <v>795000</v>
      </c>
      <c r="E22" s="199"/>
      <c r="F22" s="193"/>
      <c r="G22" s="190">
        <v>0</v>
      </c>
      <c r="H22" s="901">
        <v>0</v>
      </c>
      <c r="I22" s="190">
        <v>0</v>
      </c>
      <c r="J22" s="902">
        <v>0</v>
      </c>
      <c r="K22" s="190">
        <v>63504</v>
      </c>
    </row>
    <row r="23" spans="1:11" ht="12.75">
      <c r="A23" s="552" t="s">
        <v>816</v>
      </c>
      <c r="B23" s="254" t="s">
        <v>231</v>
      </c>
      <c r="C23" s="199">
        <v>477000</v>
      </c>
      <c r="D23" s="193">
        <v>495000</v>
      </c>
      <c r="E23" s="199"/>
      <c r="F23" s="193"/>
      <c r="G23" s="190">
        <v>0</v>
      </c>
      <c r="H23" s="147">
        <v>0</v>
      </c>
      <c r="I23" s="190">
        <v>0</v>
      </c>
      <c r="J23" s="502">
        <v>0</v>
      </c>
      <c r="K23" s="190"/>
    </row>
    <row r="24" spans="1:11" ht="13.5" thickBot="1">
      <c r="A24" s="617" t="s">
        <v>817</v>
      </c>
      <c r="B24" s="170" t="s">
        <v>232</v>
      </c>
      <c r="C24" s="199">
        <v>680384</v>
      </c>
      <c r="D24" s="706">
        <v>686051</v>
      </c>
      <c r="E24" s="199"/>
      <c r="F24" s="706">
        <v>3651</v>
      </c>
      <c r="G24" s="198">
        <v>0</v>
      </c>
      <c r="H24" s="33">
        <v>0</v>
      </c>
      <c r="I24" s="198">
        <v>0</v>
      </c>
      <c r="J24" s="336">
        <v>0</v>
      </c>
      <c r="K24" s="195"/>
    </row>
    <row r="25" spans="1:11" ht="13.5" thickBot="1">
      <c r="A25" s="582" t="s">
        <v>818</v>
      </c>
      <c r="B25" s="214" t="s">
        <v>40</v>
      </c>
      <c r="C25" s="353">
        <f>SUM(C13:C24)</f>
        <v>7484763</v>
      </c>
      <c r="D25" s="197">
        <f aca="true" t="shared" si="0" ref="D25:I25">SUM(D13:D24)</f>
        <v>8467513</v>
      </c>
      <c r="E25" s="353">
        <f t="shared" si="0"/>
        <v>313081</v>
      </c>
      <c r="F25" s="197">
        <f t="shared" si="0"/>
        <v>14604</v>
      </c>
      <c r="G25" s="353">
        <f t="shared" si="0"/>
        <v>0</v>
      </c>
      <c r="H25" s="197">
        <f t="shared" si="0"/>
        <v>0</v>
      </c>
      <c r="I25" s="353">
        <f t="shared" si="0"/>
        <v>102497</v>
      </c>
      <c r="J25" s="344">
        <f>SUM(J13:J24)</f>
        <v>100032</v>
      </c>
      <c r="K25" s="197">
        <f>SUM(K13:K24)</f>
        <v>681808</v>
      </c>
    </row>
    <row r="26" spans="3:4" ht="12.75">
      <c r="C26" s="96"/>
      <c r="D26" s="96"/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J32" sqref="J32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546" t="s">
        <v>1373</v>
      </c>
      <c r="B1" s="1570"/>
      <c r="C1" s="1570"/>
      <c r="D1" s="1570"/>
      <c r="E1" s="1570"/>
      <c r="F1" s="1570"/>
      <c r="G1" s="1649"/>
      <c r="H1" s="1649"/>
      <c r="I1" s="1649"/>
      <c r="J1" s="1649"/>
      <c r="K1" s="1649"/>
      <c r="L1" s="1649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649" t="s">
        <v>233</v>
      </c>
      <c r="C3" s="1649"/>
      <c r="D3" s="1649"/>
      <c r="E3" s="1649"/>
      <c r="F3" s="1649"/>
      <c r="G3" s="1649"/>
      <c r="H3" s="1649"/>
      <c r="I3" s="1649"/>
      <c r="J3" s="1649"/>
      <c r="K3" s="1649"/>
      <c r="L3" s="1649"/>
    </row>
    <row r="4" spans="2:12" ht="12.75">
      <c r="B4" s="1649" t="s">
        <v>234</v>
      </c>
      <c r="C4" s="1649"/>
      <c r="D4" s="1649"/>
      <c r="E4" s="1649"/>
      <c r="F4" s="1649"/>
      <c r="G4" s="1649"/>
      <c r="H4" s="1649"/>
      <c r="I4" s="1649"/>
      <c r="J4" s="1649"/>
      <c r="K4" s="1649"/>
      <c r="L4" s="1649"/>
    </row>
    <row r="5" spans="2:12" ht="13.5" thickBot="1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 t="s">
        <v>235</v>
      </c>
    </row>
    <row r="6" spans="1:12" ht="13.5" thickBot="1">
      <c r="A6" s="1578" t="s">
        <v>801</v>
      </c>
      <c r="B6" s="1650" t="s">
        <v>236</v>
      </c>
      <c r="C6" s="1651" t="s">
        <v>237</v>
      </c>
      <c r="D6" s="1651"/>
      <c r="E6" s="1652" t="s">
        <v>238</v>
      </c>
      <c r="F6" s="1652"/>
      <c r="G6" s="1652"/>
      <c r="H6" s="1652"/>
      <c r="I6" s="1652"/>
      <c r="J6" s="1652"/>
      <c r="K6" s="1652"/>
      <c r="L6" s="1653" t="s">
        <v>239</v>
      </c>
    </row>
    <row r="7" spans="1:12" ht="33.75" customHeight="1" thickBot="1">
      <c r="A7" s="1644"/>
      <c r="B7" s="1650"/>
      <c r="C7" s="455" t="s">
        <v>240</v>
      </c>
      <c r="D7" s="455" t="s">
        <v>241</v>
      </c>
      <c r="E7" s="455" t="s">
        <v>242</v>
      </c>
      <c r="F7" s="456" t="s">
        <v>243</v>
      </c>
      <c r="G7" s="456" t="s">
        <v>244</v>
      </c>
      <c r="H7" s="456" t="s">
        <v>245</v>
      </c>
      <c r="I7" s="456" t="s">
        <v>246</v>
      </c>
      <c r="J7" s="456" t="s">
        <v>1258</v>
      </c>
      <c r="K7" s="456" t="s">
        <v>247</v>
      </c>
      <c r="L7" s="1653"/>
    </row>
    <row r="8" spans="1:12" ht="14.25" customHeight="1" thickBot="1">
      <c r="A8" s="708" t="s">
        <v>907</v>
      </c>
      <c r="B8" s="708" t="s">
        <v>908</v>
      </c>
      <c r="C8" s="708" t="s">
        <v>804</v>
      </c>
      <c r="D8" s="708" t="s">
        <v>805</v>
      </c>
      <c r="E8" s="708" t="s">
        <v>825</v>
      </c>
      <c r="F8" s="708" t="s">
        <v>850</v>
      </c>
      <c r="G8" s="708" t="s">
        <v>851</v>
      </c>
      <c r="H8" s="708" t="s">
        <v>904</v>
      </c>
      <c r="I8" s="708" t="s">
        <v>905</v>
      </c>
      <c r="J8" s="708" t="s">
        <v>906</v>
      </c>
      <c r="K8" s="708" t="s">
        <v>909</v>
      </c>
      <c r="L8" s="708" t="s">
        <v>910</v>
      </c>
    </row>
    <row r="9" spans="1:12" ht="43.5" customHeight="1">
      <c r="A9" s="723" t="s">
        <v>806</v>
      </c>
      <c r="B9" s="827" t="s">
        <v>1226</v>
      </c>
      <c r="C9" s="80">
        <v>0</v>
      </c>
      <c r="D9" s="81">
        <v>0</v>
      </c>
      <c r="E9" s="81">
        <v>24949</v>
      </c>
      <c r="F9" s="81">
        <v>41180</v>
      </c>
      <c r="G9" s="1309">
        <v>33125</v>
      </c>
      <c r="H9" s="1310">
        <v>500</v>
      </c>
      <c r="I9" s="1310">
        <v>3005480</v>
      </c>
      <c r="J9" s="1310"/>
      <c r="K9" s="1310">
        <v>112605</v>
      </c>
      <c r="L9" s="1310">
        <f>SUM(C9:K9)</f>
        <v>3217839</v>
      </c>
    </row>
    <row r="10" spans="1:12" ht="28.5" customHeight="1">
      <c r="A10" s="553" t="s">
        <v>807</v>
      </c>
      <c r="B10" s="828" t="s">
        <v>1227</v>
      </c>
      <c r="C10" s="83">
        <f>'1_sz_ melléklet'!E49</f>
        <v>195881.70033333357</v>
      </c>
      <c r="D10" s="83">
        <v>0</v>
      </c>
      <c r="E10" s="83"/>
      <c r="F10" s="83"/>
      <c r="G10" s="84">
        <v>0</v>
      </c>
      <c r="H10" s="85"/>
      <c r="I10" s="85"/>
      <c r="J10" s="85">
        <v>117199</v>
      </c>
      <c r="K10" s="85"/>
      <c r="L10" s="86">
        <f>SUM(C10:K10)</f>
        <v>313080.7003333336</v>
      </c>
    </row>
    <row r="11" spans="1:12" ht="24.75" customHeight="1">
      <c r="A11" s="552" t="s">
        <v>808</v>
      </c>
      <c r="B11" s="828" t="s">
        <v>248</v>
      </c>
      <c r="C11" s="87"/>
      <c r="D11" s="83"/>
      <c r="E11" s="83"/>
      <c r="F11" s="83"/>
      <c r="G11" s="84"/>
      <c r="H11" s="85"/>
      <c r="I11" s="85"/>
      <c r="J11" s="85"/>
      <c r="K11" s="85"/>
      <c r="L11" s="86"/>
    </row>
    <row r="12" spans="1:12" ht="12.75">
      <c r="A12" s="553" t="s">
        <v>809</v>
      </c>
      <c r="B12" s="830">
        <v>2012</v>
      </c>
      <c r="C12" s="91">
        <v>0</v>
      </c>
      <c r="D12" s="91"/>
      <c r="E12" s="91"/>
      <c r="F12" s="83">
        <v>2940</v>
      </c>
      <c r="G12" s="89">
        <v>2500</v>
      </c>
      <c r="H12" s="90">
        <v>468</v>
      </c>
      <c r="I12" s="90">
        <v>0</v>
      </c>
      <c r="J12" s="90"/>
      <c r="K12" s="90">
        <v>8696</v>
      </c>
      <c r="L12" s="92">
        <f aca="true" t="shared" si="0" ref="L12:L25">SUM(C12:K12)</f>
        <v>14604</v>
      </c>
    </row>
    <row r="13" spans="1:12" ht="12.75">
      <c r="A13" s="552" t="s">
        <v>810</v>
      </c>
      <c r="B13" s="829">
        <v>2013</v>
      </c>
      <c r="C13" s="88">
        <f>C10</f>
        <v>195881.70033333357</v>
      </c>
      <c r="D13" s="91">
        <v>0</v>
      </c>
      <c r="E13" s="36">
        <v>1074</v>
      </c>
      <c r="F13" s="83">
        <v>2940</v>
      </c>
      <c r="G13" s="89">
        <v>2500</v>
      </c>
      <c r="H13" s="29">
        <v>32</v>
      </c>
      <c r="I13" s="29">
        <v>69113</v>
      </c>
      <c r="J13" s="29"/>
      <c r="K13" s="90">
        <v>8696</v>
      </c>
      <c r="L13" s="29">
        <f t="shared" si="0"/>
        <v>280236.7003333336</v>
      </c>
    </row>
    <row r="14" spans="1:12" ht="12.75">
      <c r="A14" s="553" t="s">
        <v>811</v>
      </c>
      <c r="B14" s="829">
        <v>2014</v>
      </c>
      <c r="C14" s="88">
        <v>0</v>
      </c>
      <c r="D14" s="91">
        <v>0</v>
      </c>
      <c r="E14" s="36">
        <v>1432</v>
      </c>
      <c r="F14" s="83">
        <v>2940</v>
      </c>
      <c r="G14" s="89">
        <v>2500</v>
      </c>
      <c r="H14" s="29">
        <v>0</v>
      </c>
      <c r="I14" s="29">
        <v>76792</v>
      </c>
      <c r="J14" s="29"/>
      <c r="K14" s="90">
        <v>8696</v>
      </c>
      <c r="L14" s="29">
        <f t="shared" si="0"/>
        <v>92360</v>
      </c>
    </row>
    <row r="15" spans="1:12" ht="12.75">
      <c r="A15" s="552" t="s">
        <v>812</v>
      </c>
      <c r="B15" s="829">
        <v>2015</v>
      </c>
      <c r="C15" s="88">
        <v>0</v>
      </c>
      <c r="D15" s="91">
        <v>0</v>
      </c>
      <c r="E15" s="36">
        <v>1432</v>
      </c>
      <c r="F15" s="83">
        <v>2940</v>
      </c>
      <c r="G15" s="89">
        <v>2500</v>
      </c>
      <c r="H15" s="29">
        <v>0</v>
      </c>
      <c r="I15" s="29">
        <v>85796</v>
      </c>
      <c r="J15" s="29"/>
      <c r="K15" s="90">
        <v>8696</v>
      </c>
      <c r="L15" s="29">
        <f t="shared" si="0"/>
        <v>101364</v>
      </c>
    </row>
    <row r="16" spans="1:12" ht="12.75">
      <c r="A16" s="553" t="s">
        <v>813</v>
      </c>
      <c r="B16" s="829">
        <v>2016</v>
      </c>
      <c r="C16" s="88">
        <v>0</v>
      </c>
      <c r="D16" s="91">
        <v>0</v>
      </c>
      <c r="E16" s="36">
        <v>1432</v>
      </c>
      <c r="F16" s="83">
        <v>2940</v>
      </c>
      <c r="G16" s="89">
        <v>2500</v>
      </c>
      <c r="H16" s="29">
        <v>0</v>
      </c>
      <c r="I16" s="29">
        <v>85796</v>
      </c>
      <c r="J16" s="29">
        <v>7648</v>
      </c>
      <c r="K16" s="90">
        <v>8696</v>
      </c>
      <c r="L16" s="29">
        <f t="shared" si="0"/>
        <v>109012</v>
      </c>
    </row>
    <row r="17" spans="1:12" ht="12.75">
      <c r="A17" s="552" t="s">
        <v>814</v>
      </c>
      <c r="B17" s="829">
        <v>2017</v>
      </c>
      <c r="C17" s="88">
        <v>0</v>
      </c>
      <c r="D17" s="91">
        <v>0</v>
      </c>
      <c r="E17" s="36">
        <v>1432</v>
      </c>
      <c r="F17" s="83">
        <v>2940</v>
      </c>
      <c r="G17" s="89">
        <v>2500</v>
      </c>
      <c r="H17" s="29">
        <v>0</v>
      </c>
      <c r="I17" s="29">
        <v>88443</v>
      </c>
      <c r="J17" s="29">
        <v>7648</v>
      </c>
      <c r="K17" s="90">
        <v>8696</v>
      </c>
      <c r="L17" s="29">
        <f t="shared" si="0"/>
        <v>111659</v>
      </c>
    </row>
    <row r="18" spans="1:12" ht="12.75">
      <c r="A18" s="553" t="s">
        <v>815</v>
      </c>
      <c r="B18" s="829">
        <v>2018</v>
      </c>
      <c r="C18" s="88">
        <v>0</v>
      </c>
      <c r="D18" s="91">
        <v>0</v>
      </c>
      <c r="E18" s="36">
        <v>1432</v>
      </c>
      <c r="F18" s="83">
        <v>2940</v>
      </c>
      <c r="G18" s="89">
        <v>2500</v>
      </c>
      <c r="H18" s="29">
        <v>0</v>
      </c>
      <c r="I18" s="29">
        <v>94798</v>
      </c>
      <c r="J18" s="29">
        <v>7648</v>
      </c>
      <c r="K18" s="90">
        <v>8696</v>
      </c>
      <c r="L18" s="29">
        <f t="shared" si="0"/>
        <v>118014</v>
      </c>
    </row>
    <row r="19" spans="1:12" ht="12.75">
      <c r="A19" s="552" t="s">
        <v>816</v>
      </c>
      <c r="B19" s="829">
        <v>2019</v>
      </c>
      <c r="C19" s="88">
        <v>0</v>
      </c>
      <c r="D19" s="91">
        <v>0</v>
      </c>
      <c r="E19" s="36">
        <v>1432</v>
      </c>
      <c r="F19" s="83">
        <v>2940</v>
      </c>
      <c r="G19" s="89">
        <v>2500</v>
      </c>
      <c r="H19" s="29">
        <v>0</v>
      </c>
      <c r="I19" s="29">
        <v>96387</v>
      </c>
      <c r="J19" s="29">
        <v>7648</v>
      </c>
      <c r="K19" s="90">
        <v>8696</v>
      </c>
      <c r="L19" s="29">
        <f t="shared" si="0"/>
        <v>119603</v>
      </c>
    </row>
    <row r="20" spans="1:12" ht="12.75">
      <c r="A20" s="553" t="s">
        <v>817</v>
      </c>
      <c r="B20" s="829">
        <v>2020</v>
      </c>
      <c r="C20" s="88">
        <v>0</v>
      </c>
      <c r="D20" s="91">
        <v>0</v>
      </c>
      <c r="E20" s="36">
        <v>1432</v>
      </c>
      <c r="F20" s="83">
        <v>2940</v>
      </c>
      <c r="G20" s="89">
        <v>2500</v>
      </c>
      <c r="H20" s="29">
        <v>0</v>
      </c>
      <c r="I20" s="29">
        <v>97446</v>
      </c>
      <c r="J20" s="29">
        <v>7648</v>
      </c>
      <c r="K20" s="90">
        <v>8696</v>
      </c>
      <c r="L20" s="29">
        <f t="shared" si="0"/>
        <v>120662</v>
      </c>
    </row>
    <row r="21" spans="1:12" ht="12.75">
      <c r="A21" s="552" t="s">
        <v>818</v>
      </c>
      <c r="B21" s="829">
        <v>2021</v>
      </c>
      <c r="C21" s="88">
        <v>0</v>
      </c>
      <c r="D21" s="91">
        <v>0</v>
      </c>
      <c r="E21" s="36">
        <v>1432</v>
      </c>
      <c r="F21" s="83">
        <v>2940</v>
      </c>
      <c r="G21" s="89">
        <v>2500</v>
      </c>
      <c r="H21" s="29">
        <v>0</v>
      </c>
      <c r="I21" s="29">
        <v>102213</v>
      </c>
      <c r="J21" s="29">
        <v>7648</v>
      </c>
      <c r="K21" s="90">
        <v>8696</v>
      </c>
      <c r="L21" s="29">
        <f t="shared" si="0"/>
        <v>125429</v>
      </c>
    </row>
    <row r="22" spans="1:12" ht="12.75">
      <c r="A22" s="553" t="s">
        <v>819</v>
      </c>
      <c r="B22" s="829">
        <v>2022</v>
      </c>
      <c r="C22" s="88">
        <v>0</v>
      </c>
      <c r="D22" s="91">
        <v>0</v>
      </c>
      <c r="E22" s="36">
        <v>1432</v>
      </c>
      <c r="F22" s="83">
        <v>2940</v>
      </c>
      <c r="G22" s="89">
        <v>2500</v>
      </c>
      <c r="H22" s="29">
        <v>0</v>
      </c>
      <c r="I22" s="29">
        <v>105390</v>
      </c>
      <c r="J22" s="29">
        <v>7648</v>
      </c>
      <c r="K22" s="90">
        <v>8696</v>
      </c>
      <c r="L22" s="29">
        <f t="shared" si="0"/>
        <v>128606</v>
      </c>
    </row>
    <row r="23" spans="1:12" ht="12.75">
      <c r="A23" s="552" t="s">
        <v>820</v>
      </c>
      <c r="B23" s="829">
        <v>2023</v>
      </c>
      <c r="C23" s="88">
        <v>0</v>
      </c>
      <c r="D23" s="91">
        <v>0</v>
      </c>
      <c r="E23" s="36">
        <v>1432</v>
      </c>
      <c r="F23" s="83">
        <v>2940</v>
      </c>
      <c r="G23" s="89">
        <v>2500</v>
      </c>
      <c r="H23" s="29">
        <v>0</v>
      </c>
      <c r="I23" s="29">
        <v>108038</v>
      </c>
      <c r="J23" s="29">
        <v>7648</v>
      </c>
      <c r="K23" s="90">
        <v>8696</v>
      </c>
      <c r="L23" s="29">
        <f t="shared" si="0"/>
        <v>131254</v>
      </c>
    </row>
    <row r="24" spans="1:12" ht="12.75">
      <c r="A24" s="553" t="s">
        <v>821</v>
      </c>
      <c r="B24" s="829">
        <v>2024</v>
      </c>
      <c r="C24" s="88">
        <v>0</v>
      </c>
      <c r="D24" s="91">
        <v>0</v>
      </c>
      <c r="E24" s="36">
        <v>1432</v>
      </c>
      <c r="F24" s="83">
        <v>2940</v>
      </c>
      <c r="G24" s="89">
        <v>2500</v>
      </c>
      <c r="H24" s="29">
        <v>0</v>
      </c>
      <c r="I24" s="29">
        <v>112804</v>
      </c>
      <c r="J24" s="29">
        <v>7648</v>
      </c>
      <c r="K24" s="90">
        <v>8253</v>
      </c>
      <c r="L24" s="29">
        <f t="shared" si="0"/>
        <v>135577</v>
      </c>
    </row>
    <row r="25" spans="1:12" ht="12.75">
      <c r="A25" s="552" t="s">
        <v>822</v>
      </c>
      <c r="B25" s="830">
        <v>2025</v>
      </c>
      <c r="C25" s="93">
        <v>0</v>
      </c>
      <c r="D25" s="91">
        <v>0</v>
      </c>
      <c r="E25" s="36">
        <v>1432</v>
      </c>
      <c r="F25" s="91">
        <v>2960</v>
      </c>
      <c r="G25" s="12">
        <v>625</v>
      </c>
      <c r="H25" s="35">
        <v>0</v>
      </c>
      <c r="I25" s="35">
        <v>118630</v>
      </c>
      <c r="J25" s="29">
        <v>7648</v>
      </c>
      <c r="K25" s="35"/>
      <c r="L25" s="35">
        <f t="shared" si="0"/>
        <v>131295</v>
      </c>
    </row>
    <row r="26" spans="1:12" ht="12.75">
      <c r="A26" s="553" t="s">
        <v>823</v>
      </c>
      <c r="B26" s="829">
        <v>2026</v>
      </c>
      <c r="C26" s="88"/>
      <c r="D26" s="82"/>
      <c r="E26" s="36">
        <v>1432</v>
      </c>
      <c r="F26" s="82"/>
      <c r="G26" s="8"/>
      <c r="H26" s="29"/>
      <c r="I26" s="29">
        <v>126045</v>
      </c>
      <c r="J26" s="29">
        <v>7648</v>
      </c>
      <c r="K26" s="29"/>
      <c r="L26" s="35">
        <f aca="true" t="shared" si="1" ref="L26:L33">SUM(C26:K26)</f>
        <v>135125</v>
      </c>
    </row>
    <row r="27" spans="1:12" ht="12.75">
      <c r="A27" s="552" t="s">
        <v>824</v>
      </c>
      <c r="B27" s="829">
        <v>2027</v>
      </c>
      <c r="C27" s="88"/>
      <c r="D27" s="82"/>
      <c r="E27" s="36">
        <v>1432</v>
      </c>
      <c r="F27" s="82"/>
      <c r="G27" s="8"/>
      <c r="H27" s="29"/>
      <c r="I27" s="29">
        <v>67789</v>
      </c>
      <c r="J27" s="29">
        <v>7648</v>
      </c>
      <c r="K27" s="29"/>
      <c r="L27" s="35">
        <f t="shared" si="1"/>
        <v>76869</v>
      </c>
    </row>
    <row r="28" spans="1:12" ht="12.75">
      <c r="A28" s="553" t="s">
        <v>826</v>
      </c>
      <c r="B28" s="829">
        <v>2028</v>
      </c>
      <c r="C28" s="88"/>
      <c r="D28" s="82"/>
      <c r="E28" s="36">
        <v>1432</v>
      </c>
      <c r="F28" s="82"/>
      <c r="G28" s="8"/>
      <c r="H28" s="29"/>
      <c r="I28" s="29">
        <v>1570000</v>
      </c>
      <c r="J28" s="29">
        <v>7648</v>
      </c>
      <c r="K28" s="29"/>
      <c r="L28" s="35">
        <f t="shared" si="1"/>
        <v>1579080</v>
      </c>
    </row>
    <row r="29" spans="1:12" ht="12.75">
      <c r="A29" s="552" t="s">
        <v>827</v>
      </c>
      <c r="B29" s="829">
        <v>2029</v>
      </c>
      <c r="C29" s="88"/>
      <c r="D29" s="82"/>
      <c r="E29" s="36">
        <v>1432</v>
      </c>
      <c r="F29" s="82"/>
      <c r="G29" s="8"/>
      <c r="H29" s="29"/>
      <c r="I29" s="29">
        <v>0</v>
      </c>
      <c r="J29" s="29">
        <v>7648</v>
      </c>
      <c r="K29" s="29"/>
      <c r="L29" s="35">
        <f t="shared" si="1"/>
        <v>9080</v>
      </c>
    </row>
    <row r="30" spans="1:12" ht="12.75">
      <c r="A30" s="553" t="s">
        <v>828</v>
      </c>
      <c r="B30" s="829">
        <v>2030</v>
      </c>
      <c r="C30" s="88"/>
      <c r="D30" s="82"/>
      <c r="E30" s="36">
        <v>963</v>
      </c>
      <c r="F30" s="82"/>
      <c r="G30" s="8"/>
      <c r="H30" s="29"/>
      <c r="I30" s="29">
        <v>0</v>
      </c>
      <c r="J30" s="29">
        <v>7648</v>
      </c>
      <c r="K30" s="29"/>
      <c r="L30" s="35">
        <f t="shared" si="1"/>
        <v>8611</v>
      </c>
    </row>
    <row r="31" spans="1:12" ht="12.75">
      <c r="A31" s="552" t="s">
        <v>829</v>
      </c>
      <c r="B31" s="829">
        <v>2031</v>
      </c>
      <c r="C31" s="88"/>
      <c r="D31" s="82"/>
      <c r="E31" s="36"/>
      <c r="F31" s="82"/>
      <c r="G31" s="8"/>
      <c r="H31" s="29"/>
      <c r="I31" s="29">
        <v>0</v>
      </c>
      <c r="J31" s="29">
        <v>2479</v>
      </c>
      <c r="K31" s="29"/>
      <c r="L31" s="35">
        <f t="shared" si="1"/>
        <v>2479</v>
      </c>
    </row>
    <row r="32" spans="1:12" ht="12.75">
      <c r="A32" s="553" t="s">
        <v>830</v>
      </c>
      <c r="B32" s="829">
        <v>2032</v>
      </c>
      <c r="C32" s="88"/>
      <c r="D32" s="82"/>
      <c r="E32" s="36"/>
      <c r="F32" s="82"/>
      <c r="G32" s="8"/>
      <c r="H32" s="29"/>
      <c r="I32" s="29">
        <v>0</v>
      </c>
      <c r="J32" s="29">
        <v>0</v>
      </c>
      <c r="K32" s="29"/>
      <c r="L32" s="29">
        <f t="shared" si="1"/>
        <v>0</v>
      </c>
    </row>
    <row r="33" spans="1:12" ht="13.5" thickBot="1">
      <c r="A33" s="570" t="s">
        <v>831</v>
      </c>
      <c r="B33" s="831">
        <v>2033</v>
      </c>
      <c r="C33" s="457"/>
      <c r="D33" s="457"/>
      <c r="E33" s="457"/>
      <c r="F33" s="457"/>
      <c r="G33" s="458"/>
      <c r="H33" s="459"/>
      <c r="I33" s="94">
        <v>0</v>
      </c>
      <c r="J33" s="459"/>
      <c r="K33" s="459"/>
      <c r="L33" s="94">
        <f t="shared" si="1"/>
        <v>0</v>
      </c>
    </row>
    <row r="34" spans="2:12" ht="12.75">
      <c r="B34" s="95"/>
      <c r="C34" s="18"/>
      <c r="D34" s="18"/>
      <c r="E34" s="1311"/>
      <c r="F34" s="1311"/>
      <c r="G34" s="1311"/>
      <c r="H34" s="1311"/>
      <c r="I34" s="1311"/>
      <c r="J34" s="1311"/>
      <c r="K34" s="1311"/>
      <c r="L34" s="33"/>
    </row>
    <row r="35" spans="2:12" ht="12.75">
      <c r="B35" s="95"/>
      <c r="C35" s="18"/>
      <c r="D35" s="18"/>
      <c r="E35" s="18"/>
      <c r="F35" s="18"/>
      <c r="G35" s="18"/>
      <c r="H35" s="18"/>
      <c r="I35" s="18"/>
      <c r="J35" s="18"/>
      <c r="K35" s="18"/>
      <c r="L35" s="33"/>
    </row>
    <row r="36" spans="2:12" ht="12.75">
      <c r="B36" s="95"/>
      <c r="C36" s="18"/>
      <c r="D36" s="18"/>
      <c r="E36" s="18"/>
      <c r="F36" s="18"/>
      <c r="G36" s="18"/>
      <c r="H36" s="18"/>
      <c r="I36" s="18"/>
      <c r="J36" s="18"/>
      <c r="K36" s="18"/>
      <c r="L36" s="33"/>
    </row>
    <row r="37" spans="2:12" ht="12.75">
      <c r="B37" s="95"/>
      <c r="C37" s="18"/>
      <c r="D37" s="18"/>
      <c r="E37" s="18"/>
      <c r="F37" s="18"/>
      <c r="G37" s="18"/>
      <c r="H37" s="18"/>
      <c r="I37" s="18"/>
      <c r="J37" s="18"/>
      <c r="K37" s="18"/>
      <c r="L37" s="33"/>
    </row>
    <row r="38" spans="2:12" ht="12.75">
      <c r="B38" s="19" t="s">
        <v>249</v>
      </c>
      <c r="C38" s="96">
        <f aca="true" t="shared" si="2" ref="C38:L38">SUM(C12:C33)</f>
        <v>195881.70033333357</v>
      </c>
      <c r="D38" s="96">
        <f t="shared" si="2"/>
        <v>0</v>
      </c>
      <c r="E38" s="96">
        <f t="shared" si="2"/>
        <v>24949</v>
      </c>
      <c r="F38" s="96">
        <f t="shared" si="2"/>
        <v>41180</v>
      </c>
      <c r="G38" s="96">
        <f t="shared" si="2"/>
        <v>33125</v>
      </c>
      <c r="H38" s="96">
        <f t="shared" si="2"/>
        <v>500</v>
      </c>
      <c r="I38" s="96">
        <f t="shared" si="2"/>
        <v>3005480</v>
      </c>
      <c r="J38" s="96">
        <f t="shared" si="2"/>
        <v>117199</v>
      </c>
      <c r="K38" s="96">
        <f t="shared" si="2"/>
        <v>112605</v>
      </c>
      <c r="L38" s="96">
        <f t="shared" si="2"/>
        <v>3530919.7003333336</v>
      </c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9">
      <selection activeCell="C36" sqref="C36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300"/>
    </row>
    <row r="2" spans="1:6" ht="12.75">
      <c r="A2" s="571" t="s">
        <v>1374</v>
      </c>
      <c r="B2" s="205"/>
      <c r="C2" s="205"/>
      <c r="D2" s="205"/>
      <c r="E2" s="205"/>
      <c r="F2" s="205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596" t="s">
        <v>250</v>
      </c>
      <c r="C5" s="1596"/>
      <c r="D5" s="1596"/>
    </row>
    <row r="6" spans="2:4" ht="15.75">
      <c r="B6" s="1566" t="s">
        <v>1079</v>
      </c>
      <c r="C6" s="1566"/>
      <c r="D6" s="1566"/>
    </row>
    <row r="7" spans="2:4" ht="15.75">
      <c r="B7" s="1566" t="s">
        <v>251</v>
      </c>
      <c r="C7" s="1566"/>
      <c r="D7" s="1566"/>
    </row>
    <row r="8" spans="2:4" ht="15.75">
      <c r="B8" s="45"/>
      <c r="C8" s="45"/>
      <c r="D8" s="45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6" t="s">
        <v>9</v>
      </c>
    </row>
    <row r="13" spans="1:4" ht="26.25" thickBot="1">
      <c r="A13" s="768" t="s">
        <v>801</v>
      </c>
      <c r="B13" s="711" t="s">
        <v>3</v>
      </c>
      <c r="C13" s="840" t="s">
        <v>252</v>
      </c>
      <c r="D13" s="841" t="s">
        <v>253</v>
      </c>
    </row>
    <row r="14" spans="1:4" ht="13.5" thickBot="1">
      <c r="A14" s="708" t="s">
        <v>802</v>
      </c>
      <c r="B14" s="822" t="s">
        <v>803</v>
      </c>
      <c r="C14" s="823" t="s">
        <v>804</v>
      </c>
      <c r="D14" s="825" t="s">
        <v>805</v>
      </c>
    </row>
    <row r="15" spans="1:4" ht="15.75">
      <c r="A15" s="724" t="s">
        <v>806</v>
      </c>
      <c r="B15" s="79" t="s">
        <v>254</v>
      </c>
      <c r="C15" s="301">
        <v>5000</v>
      </c>
      <c r="D15" s="842" t="s">
        <v>255</v>
      </c>
    </row>
    <row r="16" spans="1:4" ht="15.75">
      <c r="A16" s="650" t="s">
        <v>807</v>
      </c>
      <c r="B16" s="53" t="s">
        <v>256</v>
      </c>
      <c r="C16" s="302">
        <v>0</v>
      </c>
      <c r="D16" s="843" t="s">
        <v>255</v>
      </c>
    </row>
    <row r="17" spans="1:4" ht="15.75">
      <c r="A17" s="599" t="s">
        <v>808</v>
      </c>
      <c r="B17" s="53" t="s">
        <v>257</v>
      </c>
      <c r="C17" s="302"/>
      <c r="D17" s="843" t="s">
        <v>255</v>
      </c>
    </row>
    <row r="18" spans="1:4" ht="15.75">
      <c r="A18" s="599" t="s">
        <v>809</v>
      </c>
      <c r="B18" s="246"/>
      <c r="C18" s="303"/>
      <c r="D18" s="844"/>
    </row>
    <row r="19" spans="1:4" ht="13.5" thickBot="1">
      <c r="A19" s="602" t="s">
        <v>810</v>
      </c>
      <c r="B19" s="11"/>
      <c r="C19" s="13"/>
      <c r="D19" s="845"/>
    </row>
    <row r="20" spans="1:4" ht="16.5" thickBot="1">
      <c r="A20" s="582" t="s">
        <v>811</v>
      </c>
      <c r="B20" s="848" t="s">
        <v>96</v>
      </c>
      <c r="C20" s="846">
        <f>SUM(C15:C18)</f>
        <v>5000</v>
      </c>
      <c r="D20" s="847"/>
    </row>
    <row r="26" spans="1:6" ht="12.75">
      <c r="A26" s="571" t="s">
        <v>1375</v>
      </c>
      <c r="B26" s="205"/>
      <c r="C26" s="205"/>
      <c r="D26" s="205"/>
      <c r="E26" s="205"/>
      <c r="F26" s="205"/>
    </row>
    <row r="27" spans="2:3" ht="14.25">
      <c r="B27" s="97"/>
      <c r="C27" s="98"/>
    </row>
    <row r="28" spans="2:3" ht="14.25">
      <c r="B28" s="97"/>
      <c r="C28" s="103"/>
    </row>
    <row r="29" spans="2:3" ht="15.75">
      <c r="B29" s="1656" t="s">
        <v>250</v>
      </c>
      <c r="C29" s="1656"/>
    </row>
    <row r="30" spans="2:3" ht="15.75">
      <c r="B30" s="1654" t="s">
        <v>1080</v>
      </c>
      <c r="C30" s="1654"/>
    </row>
    <row r="31" spans="2:3" ht="12.75">
      <c r="B31" s="1655"/>
      <c r="C31" s="1655"/>
    </row>
    <row r="32" spans="2:3" ht="13.5" thickBot="1">
      <c r="B32" s="97"/>
      <c r="C32" s="100" t="s">
        <v>9</v>
      </c>
    </row>
    <row r="33" spans="1:4" ht="26.25" thickBot="1">
      <c r="A33" s="768" t="s">
        <v>801</v>
      </c>
      <c r="B33" s="832" t="s">
        <v>274</v>
      </c>
      <c r="C33" s="833" t="s">
        <v>275</v>
      </c>
      <c r="D33" s="18"/>
    </row>
    <row r="34" spans="1:4" ht="13.5" thickBot="1">
      <c r="A34" s="708" t="s">
        <v>802</v>
      </c>
      <c r="B34" s="822" t="s">
        <v>803</v>
      </c>
      <c r="C34" s="834" t="s">
        <v>804</v>
      </c>
      <c r="D34" s="40"/>
    </row>
    <row r="35" spans="1:3" ht="12.75">
      <c r="A35" s="724" t="s">
        <v>806</v>
      </c>
      <c r="B35" s="104" t="s">
        <v>1081</v>
      </c>
      <c r="C35" s="835">
        <v>2569083</v>
      </c>
    </row>
    <row r="36" spans="1:3" ht="12.75">
      <c r="A36" s="650" t="s">
        <v>807</v>
      </c>
      <c r="B36" s="104" t="s">
        <v>276</v>
      </c>
      <c r="C36" s="836">
        <f>'1_sz_ melléklet'!E54</f>
        <v>8582149</v>
      </c>
    </row>
    <row r="37" spans="1:3" ht="12.75">
      <c r="A37" s="599" t="s">
        <v>808</v>
      </c>
      <c r="B37" s="104" t="s">
        <v>277</v>
      </c>
      <c r="C37" s="837">
        <f>'1_sz_ melléklet'!I54</f>
        <v>8582149</v>
      </c>
    </row>
    <row r="38" spans="1:3" ht="13.5" thickBot="1">
      <c r="A38" s="618" t="s">
        <v>809</v>
      </c>
      <c r="B38" s="838" t="s">
        <v>1082</v>
      </c>
      <c r="C38" s="839">
        <f>C35+C36-C37</f>
        <v>2569083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82">
      <selection activeCell="C119" sqref="C119"/>
    </sheetView>
  </sheetViews>
  <sheetFormatPr defaultColWidth="9.140625" defaultRowHeight="12.75"/>
  <cols>
    <col min="1" max="1" width="4.00390625" style="0" customWidth="1"/>
    <col min="2" max="2" width="37.7109375" style="0" customWidth="1"/>
    <col min="3" max="3" width="14.28125" style="0" customWidth="1"/>
    <col min="4" max="4" width="15.140625" style="0" customWidth="1"/>
    <col min="5" max="5" width="15.7109375" style="0" customWidth="1"/>
  </cols>
  <sheetData>
    <row r="1" spans="1:5" ht="12.75">
      <c r="A1" s="1546" t="s">
        <v>1333</v>
      </c>
      <c r="B1" s="1546"/>
      <c r="C1" s="1546"/>
      <c r="D1" s="1546"/>
      <c r="E1" s="1546"/>
    </row>
    <row r="2" spans="2:5" ht="15.75">
      <c r="B2" s="1566" t="s">
        <v>990</v>
      </c>
      <c r="C2" s="1566"/>
      <c r="D2" s="1566"/>
      <c r="E2" s="1566"/>
    </row>
    <row r="3" spans="2:5" ht="13.5" thickBot="1">
      <c r="B3" s="1"/>
      <c r="C3" s="1"/>
      <c r="D3" s="1"/>
      <c r="E3" s="25" t="s">
        <v>16</v>
      </c>
    </row>
    <row r="4" spans="1:5" ht="35.25" customHeight="1" thickBot="1">
      <c r="A4" s="587" t="s">
        <v>801</v>
      </c>
      <c r="B4" s="960" t="s">
        <v>22</v>
      </c>
      <c r="C4" s="574" t="s">
        <v>155</v>
      </c>
      <c r="D4" s="575" t="s">
        <v>1025</v>
      </c>
      <c r="E4" s="576" t="s">
        <v>20</v>
      </c>
    </row>
    <row r="5" spans="1:5" ht="11.25" customHeight="1">
      <c r="A5" s="963" t="s">
        <v>802</v>
      </c>
      <c r="B5" s="964" t="s">
        <v>803</v>
      </c>
      <c r="C5" s="992" t="s">
        <v>804</v>
      </c>
      <c r="D5" s="993" t="s">
        <v>805</v>
      </c>
      <c r="E5" s="1022" t="s">
        <v>825</v>
      </c>
    </row>
    <row r="6" spans="1:5" ht="12.75">
      <c r="A6" s="553" t="s">
        <v>806</v>
      </c>
      <c r="B6" s="560" t="s">
        <v>406</v>
      </c>
      <c r="C6" s="502"/>
      <c r="D6" s="190"/>
      <c r="E6" s="190"/>
    </row>
    <row r="7" spans="1:5" ht="12.75">
      <c r="A7" s="552" t="s">
        <v>807</v>
      </c>
      <c r="B7" s="247" t="s">
        <v>11</v>
      </c>
      <c r="C7" s="502">
        <f>83715+1728+496</f>
        <v>85939</v>
      </c>
      <c r="D7" s="190">
        <f>174270+2768</f>
        <v>177038</v>
      </c>
      <c r="E7" s="190">
        <f>350686+3695</f>
        <v>354381</v>
      </c>
    </row>
    <row r="8" spans="1:5" ht="12.75">
      <c r="A8" s="552" t="s">
        <v>808</v>
      </c>
      <c r="B8" s="290" t="s">
        <v>12</v>
      </c>
      <c r="C8" s="502">
        <f>21657+467+134</f>
        <v>22258</v>
      </c>
      <c r="D8" s="190">
        <f>45900+747</f>
        <v>46647</v>
      </c>
      <c r="E8" s="190">
        <f>92426+998</f>
        <v>93424</v>
      </c>
    </row>
    <row r="9" spans="1:5" ht="12.75">
      <c r="A9" s="552" t="s">
        <v>809</v>
      </c>
      <c r="B9" s="290" t="s">
        <v>13</v>
      </c>
      <c r="C9" s="502">
        <f>144006+19442</f>
        <v>163448</v>
      </c>
      <c r="D9" s="190">
        <f>16214+271</f>
        <v>16485</v>
      </c>
      <c r="E9" s="190">
        <f>21785+8519</f>
        <v>30304</v>
      </c>
    </row>
    <row r="10" spans="1:5" ht="12.75">
      <c r="A10" s="552" t="s">
        <v>810</v>
      </c>
      <c r="B10" s="290" t="s">
        <v>973</v>
      </c>
      <c r="C10" s="502"/>
      <c r="D10" s="190"/>
      <c r="E10" s="190"/>
    </row>
    <row r="11" spans="1:5" ht="12.75">
      <c r="A11" s="552" t="s">
        <v>811</v>
      </c>
      <c r="B11" s="290" t="s">
        <v>972</v>
      </c>
      <c r="C11" s="502"/>
      <c r="D11" s="190"/>
      <c r="E11" s="190"/>
    </row>
    <row r="12" spans="1:5" ht="12.75">
      <c r="A12" s="552" t="s">
        <v>812</v>
      </c>
      <c r="B12" s="290" t="s">
        <v>401</v>
      </c>
      <c r="C12" s="502">
        <f>C13+C14+C15+C16</f>
        <v>0</v>
      </c>
      <c r="D12" s="502">
        <f>D13+D14+D15+D16</f>
        <v>0</v>
      </c>
      <c r="E12" s="190">
        <f>E13+E14+E15+E16</f>
        <v>0</v>
      </c>
    </row>
    <row r="13" spans="1:5" ht="12.75">
      <c r="A13" s="552" t="s">
        <v>813</v>
      </c>
      <c r="B13" s="290" t="s">
        <v>395</v>
      </c>
      <c r="C13" s="502"/>
      <c r="D13" s="190"/>
      <c r="E13" s="190"/>
    </row>
    <row r="14" spans="1:5" s="20" customFormat="1" ht="12.75">
      <c r="A14" s="552" t="s">
        <v>814</v>
      </c>
      <c r="B14" s="561" t="s">
        <v>396</v>
      </c>
      <c r="C14" s="502"/>
      <c r="D14" s="190"/>
      <c r="E14" s="190"/>
    </row>
    <row r="15" spans="1:5" ht="12.75">
      <c r="A15" s="552" t="s">
        <v>815</v>
      </c>
      <c r="B15" s="290" t="s">
        <v>397</v>
      </c>
      <c r="C15" s="502"/>
      <c r="D15" s="190"/>
      <c r="E15" s="190"/>
    </row>
    <row r="16" spans="1:5" ht="12.75">
      <c r="A16" s="552" t="s">
        <v>816</v>
      </c>
      <c r="B16" s="290" t="s">
        <v>398</v>
      </c>
      <c r="C16" s="339"/>
      <c r="D16" s="194"/>
      <c r="E16" s="190"/>
    </row>
    <row r="17" spans="1:5" ht="13.5" customHeight="1" thickBot="1">
      <c r="A17" s="617" t="s">
        <v>817</v>
      </c>
      <c r="B17" s="292" t="s">
        <v>399</v>
      </c>
      <c r="C17" s="503"/>
      <c r="D17" s="195"/>
      <c r="E17" s="190">
        <v>1369</v>
      </c>
    </row>
    <row r="18" spans="1:5" ht="13.5" thickBot="1">
      <c r="A18" s="969" t="s">
        <v>818</v>
      </c>
      <c r="B18" s="970" t="s">
        <v>14</v>
      </c>
      <c r="C18" s="1004">
        <f>C7+C8+C9+C10+C12+C17</f>
        <v>271645</v>
      </c>
      <c r="D18" s="1004">
        <f>D7+D8+D9+D10+D12+D17</f>
        <v>240170</v>
      </c>
      <c r="E18" s="1005">
        <f>E7+E8+E9+E10+E12+E17</f>
        <v>479478</v>
      </c>
    </row>
    <row r="19" spans="1:5" ht="13.5" thickTop="1">
      <c r="A19" s="553" t="s">
        <v>819</v>
      </c>
      <c r="B19" s="562" t="s">
        <v>407</v>
      </c>
      <c r="C19" s="504"/>
      <c r="D19" s="193"/>
      <c r="E19" s="193"/>
    </row>
    <row r="20" spans="1:5" s="20" customFormat="1" ht="12.75">
      <c r="A20" s="552" t="s">
        <v>820</v>
      </c>
      <c r="B20" s="290" t="s">
        <v>974</v>
      </c>
      <c r="C20" s="502"/>
      <c r="D20" s="190"/>
      <c r="E20" s="190">
        <f>'33_sz_ melléklet'!C15</f>
        <v>508</v>
      </c>
    </row>
    <row r="21" spans="1:5" ht="12.75">
      <c r="A21" s="552" t="s">
        <v>821</v>
      </c>
      <c r="B21" s="290" t="s">
        <v>975</v>
      </c>
      <c r="C21" s="502"/>
      <c r="D21" s="190"/>
      <c r="E21" s="190"/>
    </row>
    <row r="22" spans="1:5" ht="12.75">
      <c r="A22" s="552" t="s">
        <v>822</v>
      </c>
      <c r="B22" s="290" t="s">
        <v>400</v>
      </c>
      <c r="C22" s="339">
        <f>C23+C24+C25</f>
        <v>0</v>
      </c>
      <c r="D22" s="339">
        <f>D23+D24+D25</f>
        <v>0</v>
      </c>
      <c r="E22" s="194">
        <f>E23+E24+E25</f>
        <v>0</v>
      </c>
    </row>
    <row r="23" spans="1:5" ht="12.75">
      <c r="A23" s="552" t="s">
        <v>823</v>
      </c>
      <c r="B23" s="290" t="s">
        <v>402</v>
      </c>
      <c r="C23" s="502"/>
      <c r="D23" s="190"/>
      <c r="E23" s="190"/>
    </row>
    <row r="24" spans="1:5" ht="12.75">
      <c r="A24" s="552" t="s">
        <v>824</v>
      </c>
      <c r="B24" s="290" t="s">
        <v>452</v>
      </c>
      <c r="C24" s="502"/>
      <c r="D24" s="190"/>
      <c r="E24" s="190"/>
    </row>
    <row r="25" spans="1:5" s="20" customFormat="1" ht="12.75">
      <c r="A25" s="552" t="s">
        <v>826</v>
      </c>
      <c r="B25" s="290" t="s">
        <v>403</v>
      </c>
      <c r="C25" s="502"/>
      <c r="D25" s="190"/>
      <c r="E25" s="190"/>
    </row>
    <row r="26" spans="1:5" ht="12.75">
      <c r="A26" s="552" t="s">
        <v>827</v>
      </c>
      <c r="B26" s="290" t="s">
        <v>404</v>
      </c>
      <c r="C26" s="502"/>
      <c r="D26" s="190"/>
      <c r="E26" s="190"/>
    </row>
    <row r="27" spans="1:5" ht="13.5" customHeight="1" thickBot="1">
      <c r="A27" s="617" t="s">
        <v>828</v>
      </c>
      <c r="B27" s="292" t="s">
        <v>405</v>
      </c>
      <c r="C27" s="505">
        <f>-C10</f>
        <v>0</v>
      </c>
      <c r="D27" s="505">
        <f>-D10</f>
        <v>0</v>
      </c>
      <c r="E27" s="191">
        <f>-E10</f>
        <v>0</v>
      </c>
    </row>
    <row r="28" spans="1:5" ht="13.5" thickBot="1">
      <c r="A28" s="969" t="s">
        <v>829</v>
      </c>
      <c r="B28" s="970" t="s">
        <v>15</v>
      </c>
      <c r="C28" s="995">
        <f>C20+C21+C22+C26+C27</f>
        <v>0</v>
      </c>
      <c r="D28" s="995">
        <f>D20+D21+D22+D26+D27</f>
        <v>0</v>
      </c>
      <c r="E28" s="996">
        <f>E20+E21+E22+E26+E27</f>
        <v>508</v>
      </c>
    </row>
    <row r="29" spans="1:5" ht="26.25" thickTop="1">
      <c r="A29" s="553" t="s">
        <v>830</v>
      </c>
      <c r="B29" s="918" t="s">
        <v>408</v>
      </c>
      <c r="C29" s="504"/>
      <c r="D29" s="193"/>
      <c r="E29" s="193"/>
    </row>
    <row r="30" spans="1:5" ht="12.75">
      <c r="A30" s="552" t="s">
        <v>831</v>
      </c>
      <c r="B30" s="563" t="s">
        <v>409</v>
      </c>
      <c r="C30" s="502"/>
      <c r="D30" s="190"/>
      <c r="E30" s="190"/>
    </row>
    <row r="31" spans="1:5" ht="12" customHeight="1">
      <c r="A31" s="552" t="s">
        <v>832</v>
      </c>
      <c r="B31" s="564" t="s">
        <v>410</v>
      </c>
      <c r="C31" s="339"/>
      <c r="D31" s="194"/>
      <c r="E31" s="190"/>
    </row>
    <row r="32" spans="1:5" ht="14.25" customHeight="1" thickBot="1">
      <c r="A32" s="617" t="s">
        <v>833</v>
      </c>
      <c r="B32" s="565" t="s">
        <v>411</v>
      </c>
      <c r="C32" s="503"/>
      <c r="D32" s="195"/>
      <c r="E32" s="190"/>
    </row>
    <row r="33" spans="1:5" ht="23.25" customHeight="1" thickBot="1">
      <c r="A33" s="969" t="s">
        <v>834</v>
      </c>
      <c r="B33" s="997" t="s">
        <v>412</v>
      </c>
      <c r="C33" s="995">
        <f>C30+C31+C32</f>
        <v>0</v>
      </c>
      <c r="D33" s="995">
        <f>D30+D31+D32</f>
        <v>0</v>
      </c>
      <c r="E33" s="996">
        <f>E30+E31+E32</f>
        <v>0</v>
      </c>
    </row>
    <row r="34" spans="1:5" ht="13.5" thickTop="1">
      <c r="A34" s="553" t="s">
        <v>964</v>
      </c>
      <c r="B34" s="707" t="s">
        <v>413</v>
      </c>
      <c r="C34" s="504"/>
      <c r="D34" s="193"/>
      <c r="E34" s="193"/>
    </row>
    <row r="35" spans="1:5" ht="12.75">
      <c r="A35" s="552" t="s">
        <v>965</v>
      </c>
      <c r="B35" s="291" t="s">
        <v>414</v>
      </c>
      <c r="C35" s="339"/>
      <c r="D35" s="194"/>
      <c r="E35" s="194"/>
    </row>
    <row r="36" spans="1:5" ht="12.75">
      <c r="A36" s="552" t="s">
        <v>966</v>
      </c>
      <c r="B36" s="291" t="s">
        <v>25</v>
      </c>
      <c r="C36" s="502"/>
      <c r="D36" s="190"/>
      <c r="E36" s="194"/>
    </row>
    <row r="37" spans="1:5" ht="12.75">
      <c r="A37" s="552" t="s">
        <v>967</v>
      </c>
      <c r="B37" s="155" t="s">
        <v>914</v>
      </c>
      <c r="C37" s="502"/>
      <c r="D37" s="190"/>
      <c r="E37" s="194"/>
    </row>
    <row r="38" spans="1:5" ht="14.25" customHeight="1" thickBot="1">
      <c r="A38" s="617" t="s">
        <v>968</v>
      </c>
      <c r="B38" s="291" t="s">
        <v>416</v>
      </c>
      <c r="C38" s="503"/>
      <c r="D38" s="195"/>
      <c r="E38" s="194"/>
    </row>
    <row r="39" spans="1:5" ht="15" customHeight="1" thickBot="1">
      <c r="A39" s="969" t="s">
        <v>969</v>
      </c>
      <c r="B39" s="977" t="s">
        <v>419</v>
      </c>
      <c r="C39" s="995">
        <f>C35+C36+C37+C38</f>
        <v>0</v>
      </c>
      <c r="D39" s="995">
        <f>D35+D36+D37+D38</f>
        <v>0</v>
      </c>
      <c r="E39" s="996">
        <f>E35+E36+E37+E38</f>
        <v>0</v>
      </c>
    </row>
    <row r="40" spans="1:5" ht="27.75" customHeight="1" thickBot="1" thickTop="1">
      <c r="A40" s="987" t="s">
        <v>841</v>
      </c>
      <c r="B40" s="991" t="s">
        <v>415</v>
      </c>
      <c r="C40" s="999">
        <f>C18+C28+C33+C39</f>
        <v>271645</v>
      </c>
      <c r="D40" s="999">
        <f>D18+D28+D33+D39</f>
        <v>240170</v>
      </c>
      <c r="E40" s="1000">
        <f>E18+E28+E33+E39</f>
        <v>479986</v>
      </c>
    </row>
    <row r="41" spans="1:5" s="19" customFormat="1" ht="13.5" thickTop="1">
      <c r="A41" s="553" t="s">
        <v>842</v>
      </c>
      <c r="B41" s="958" t="s">
        <v>976</v>
      </c>
      <c r="C41" s="998"/>
      <c r="D41" s="193"/>
      <c r="E41" s="193"/>
    </row>
    <row r="42" spans="1:5" s="19" customFormat="1" ht="12.75">
      <c r="A42" s="552" t="s">
        <v>843</v>
      </c>
      <c r="B42" s="566" t="s">
        <v>417</v>
      </c>
      <c r="C42" s="507"/>
      <c r="D42" s="190"/>
      <c r="E42" s="190"/>
    </row>
    <row r="43" spans="1:5" ht="15.75" customHeight="1" thickBot="1">
      <c r="A43" s="617" t="s">
        <v>844</v>
      </c>
      <c r="B43" s="962" t="s">
        <v>418</v>
      </c>
      <c r="C43" s="503"/>
      <c r="D43" s="195"/>
      <c r="E43" s="195"/>
    </row>
    <row r="44" spans="1:5" ht="13.5" thickBot="1">
      <c r="A44" s="969" t="s">
        <v>845</v>
      </c>
      <c r="B44" s="982" t="s">
        <v>979</v>
      </c>
      <c r="C44" s="995">
        <f>C42+C43</f>
        <v>0</v>
      </c>
      <c r="D44" s="995">
        <f>D42+D43</f>
        <v>0</v>
      </c>
      <c r="E44" s="996">
        <f>E42+E43</f>
        <v>0</v>
      </c>
    </row>
    <row r="45" spans="1:5" ht="13.5" thickTop="1">
      <c r="A45" s="553" t="s">
        <v>846</v>
      </c>
      <c r="B45" s="1001" t="s">
        <v>977</v>
      </c>
      <c r="C45" s="506"/>
      <c r="D45" s="196"/>
      <c r="E45" s="196"/>
    </row>
    <row r="46" spans="1:5" ht="12.75">
      <c r="A46" s="553" t="s">
        <v>847</v>
      </c>
      <c r="B46" s="959" t="s">
        <v>417</v>
      </c>
      <c r="C46" s="506"/>
      <c r="D46" s="196"/>
      <c r="E46" s="196"/>
    </row>
    <row r="47" spans="1:5" ht="13.5" thickBot="1">
      <c r="A47" s="617" t="s">
        <v>848</v>
      </c>
      <c r="B47" s="567" t="s">
        <v>418</v>
      </c>
      <c r="C47" s="503"/>
      <c r="D47" s="195"/>
      <c r="E47" s="195"/>
    </row>
    <row r="48" spans="1:5" ht="14.25" customHeight="1" thickBot="1">
      <c r="A48" s="969" t="s">
        <v>849</v>
      </c>
      <c r="B48" s="1003" t="s">
        <v>942</v>
      </c>
      <c r="C48" s="1004">
        <f>C46+C47</f>
        <v>0</v>
      </c>
      <c r="D48" s="1004">
        <f>D46+D47</f>
        <v>0</v>
      </c>
      <c r="E48" s="1005">
        <f>E46+E47</f>
        <v>0</v>
      </c>
    </row>
    <row r="49" spans="1:5" ht="25.5" customHeight="1" thickBot="1" thickTop="1">
      <c r="A49" s="553" t="s">
        <v>869</v>
      </c>
      <c r="B49" s="985" t="s">
        <v>978</v>
      </c>
      <c r="C49" s="1002"/>
      <c r="D49" s="510"/>
      <c r="E49" s="510"/>
    </row>
    <row r="50" spans="1:5" ht="12.75">
      <c r="A50" s="552" t="s">
        <v>870</v>
      </c>
      <c r="B50" s="568" t="s">
        <v>420</v>
      </c>
      <c r="C50" s="366"/>
      <c r="D50" s="367"/>
      <c r="E50" s="367"/>
    </row>
    <row r="51" spans="1:5" ht="15.75" customHeight="1" thickBot="1">
      <c r="A51" s="617" t="s">
        <v>871</v>
      </c>
      <c r="B51" s="569" t="s">
        <v>421</v>
      </c>
      <c r="C51" s="961"/>
      <c r="D51" s="191"/>
      <c r="E51" s="191"/>
    </row>
    <row r="52" spans="1:5" ht="13.5" customHeight="1" thickBot="1">
      <c r="A52" s="969" t="s">
        <v>872</v>
      </c>
      <c r="B52" s="1006" t="s">
        <v>943</v>
      </c>
      <c r="C52" s="1004">
        <f>C50+C51</f>
        <v>0</v>
      </c>
      <c r="D52" s="1004">
        <f>D50+D51</f>
        <v>0</v>
      </c>
      <c r="E52" s="1005">
        <f>E50+E51</f>
        <v>0</v>
      </c>
    </row>
    <row r="53" spans="1:5" ht="22.5" customHeight="1" thickBot="1" thickTop="1">
      <c r="A53" s="1037" t="s">
        <v>873</v>
      </c>
      <c r="B53" s="1038" t="s">
        <v>982</v>
      </c>
      <c r="C53" s="1039">
        <f>C40+C44+C48+C52</f>
        <v>271645</v>
      </c>
      <c r="D53" s="1039">
        <f>D40+D44+D48+D52</f>
        <v>240170</v>
      </c>
      <c r="E53" s="1028">
        <f>E40+E44+E48+E52</f>
        <v>479986</v>
      </c>
    </row>
    <row r="54" spans="1:5" ht="22.5" customHeight="1">
      <c r="A54" s="580"/>
      <c r="B54" s="1027"/>
      <c r="C54" s="49"/>
      <c r="D54" s="49"/>
      <c r="E54" s="49"/>
    </row>
    <row r="55" spans="1:6" ht="12.75">
      <c r="A55" s="1567">
        <v>2</v>
      </c>
      <c r="B55" s="1568"/>
      <c r="C55" s="1568"/>
      <c r="D55" s="1568"/>
      <c r="E55" s="1568"/>
      <c r="F55" s="18"/>
    </row>
    <row r="56" spans="1:5" ht="12.75">
      <c r="A56" s="1546" t="s">
        <v>1333</v>
      </c>
      <c r="B56" s="1546"/>
      <c r="C56" s="1546"/>
      <c r="D56" s="1546"/>
      <c r="E56" s="1546"/>
    </row>
    <row r="57" spans="2:5" ht="15.75">
      <c r="B57" s="1566" t="s">
        <v>990</v>
      </c>
      <c r="C57" s="1566"/>
      <c r="D57" s="1566"/>
      <c r="E57" s="1566"/>
    </row>
    <row r="58" spans="2:5" ht="13.5" thickBot="1">
      <c r="B58" s="1"/>
      <c r="C58" s="1"/>
      <c r="D58" s="1"/>
      <c r="E58" s="25" t="s">
        <v>16</v>
      </c>
    </row>
    <row r="59" spans="1:5" ht="36.75" thickBot="1">
      <c r="A59" s="587" t="s">
        <v>801</v>
      </c>
      <c r="B59" s="960" t="s">
        <v>22</v>
      </c>
      <c r="C59" s="574" t="s">
        <v>1026</v>
      </c>
      <c r="D59" s="575" t="s">
        <v>1027</v>
      </c>
      <c r="E59" s="578" t="s">
        <v>1028</v>
      </c>
    </row>
    <row r="60" spans="1:5" ht="12.75">
      <c r="A60" s="963" t="s">
        <v>802</v>
      </c>
      <c r="B60" s="964" t="s">
        <v>803</v>
      </c>
      <c r="C60" s="992" t="s">
        <v>804</v>
      </c>
      <c r="D60" s="993" t="s">
        <v>805</v>
      </c>
      <c r="E60" s="993" t="s">
        <v>825</v>
      </c>
    </row>
    <row r="61" spans="1:5" ht="12.75">
      <c r="A61" s="553" t="s">
        <v>806</v>
      </c>
      <c r="B61" s="560" t="s">
        <v>406</v>
      </c>
      <c r="C61" s="502"/>
      <c r="D61" s="190"/>
      <c r="E61" s="190"/>
    </row>
    <row r="62" spans="1:5" s="20" customFormat="1" ht="12.75">
      <c r="A62" s="552" t="s">
        <v>807</v>
      </c>
      <c r="B62" s="247" t="s">
        <v>11</v>
      </c>
      <c r="C62" s="502">
        <f>157283+1513+84+118+361+140+74+1961</f>
        <v>161534</v>
      </c>
      <c r="D62" s="190">
        <v>150493</v>
      </c>
      <c r="E62" s="190">
        <f>84389+360+260+184+2312+284+196+518+2015</f>
        <v>90518</v>
      </c>
    </row>
    <row r="63" spans="1:5" ht="12.75">
      <c r="A63" s="552" t="s">
        <v>808</v>
      </c>
      <c r="B63" s="290" t="s">
        <v>12</v>
      </c>
      <c r="C63" s="502">
        <f>40931+409+33+97+10+530</f>
        <v>42010</v>
      </c>
      <c r="D63" s="190">
        <v>39021</v>
      </c>
      <c r="E63" s="190">
        <f>21608+96+39+50+625+38+53+140+543</f>
        <v>23192</v>
      </c>
    </row>
    <row r="64" spans="1:5" ht="12.75">
      <c r="A64" s="552" t="s">
        <v>809</v>
      </c>
      <c r="B64" s="290" t="s">
        <v>13</v>
      </c>
      <c r="C64" s="502">
        <f>14172+400+4646</f>
        <v>19218</v>
      </c>
      <c r="D64" s="190">
        <v>31076</v>
      </c>
      <c r="E64" s="190">
        <f>220821+5170+38</f>
        <v>226029</v>
      </c>
    </row>
    <row r="65" spans="1:5" ht="12.75">
      <c r="A65" s="552" t="s">
        <v>810</v>
      </c>
      <c r="B65" s="290" t="s">
        <v>973</v>
      </c>
      <c r="C65" s="502"/>
      <c r="D65" s="190"/>
      <c r="E65" s="190"/>
    </row>
    <row r="66" spans="1:5" ht="12.75">
      <c r="A66" s="552" t="s">
        <v>811</v>
      </c>
      <c r="B66" s="290" t="s">
        <v>972</v>
      </c>
      <c r="C66" s="502"/>
      <c r="D66" s="190"/>
      <c r="E66" s="190"/>
    </row>
    <row r="67" spans="1:5" ht="12.75">
      <c r="A67" s="552" t="s">
        <v>812</v>
      </c>
      <c r="B67" s="290" t="s">
        <v>401</v>
      </c>
      <c r="C67" s="502">
        <f>C68+C69+C70+C71</f>
        <v>0</v>
      </c>
      <c r="D67" s="502">
        <f>D68+D69+D70+D71</f>
        <v>7527</v>
      </c>
      <c r="E67" s="190">
        <f>E68+E69+E70+E71</f>
        <v>0</v>
      </c>
    </row>
    <row r="68" spans="1:5" ht="12.75">
      <c r="A68" s="552" t="s">
        <v>813</v>
      </c>
      <c r="B68" s="290" t="s">
        <v>395</v>
      </c>
      <c r="C68" s="502"/>
      <c r="D68" s="190">
        <f>'6 7_sz_melléklet'!F10</f>
        <v>7527</v>
      </c>
      <c r="E68" s="190"/>
    </row>
    <row r="69" spans="1:5" s="20" customFormat="1" ht="12.75">
      <c r="A69" s="552" t="s">
        <v>814</v>
      </c>
      <c r="B69" s="561" t="s">
        <v>396</v>
      </c>
      <c r="C69" s="502"/>
      <c r="D69" s="190"/>
      <c r="E69" s="190"/>
    </row>
    <row r="70" spans="1:5" ht="12.75">
      <c r="A70" s="552" t="s">
        <v>815</v>
      </c>
      <c r="B70" s="290" t="s">
        <v>397</v>
      </c>
      <c r="C70" s="502"/>
      <c r="D70" s="190"/>
      <c r="E70" s="190"/>
    </row>
    <row r="71" spans="1:5" ht="12.75">
      <c r="A71" s="552" t="s">
        <v>816</v>
      </c>
      <c r="B71" s="290" t="s">
        <v>398</v>
      </c>
      <c r="C71" s="339"/>
      <c r="D71" s="194"/>
      <c r="E71" s="190"/>
    </row>
    <row r="72" spans="1:5" ht="13.5" thickBot="1">
      <c r="A72" s="617" t="s">
        <v>817</v>
      </c>
      <c r="B72" s="292" t="s">
        <v>399</v>
      </c>
      <c r="C72" s="503">
        <f>54+90</f>
        <v>144</v>
      </c>
      <c r="D72" s="195">
        <v>12799</v>
      </c>
      <c r="E72" s="190"/>
    </row>
    <row r="73" spans="1:5" ht="13.5" thickBot="1">
      <c r="A73" s="969" t="s">
        <v>818</v>
      </c>
      <c r="B73" s="970" t="s">
        <v>14</v>
      </c>
      <c r="C73" s="1004">
        <f>C62+C63+C64+C65+C67+C72</f>
        <v>222906</v>
      </c>
      <c r="D73" s="1004">
        <f>D62+D63+D64+D65+D67+D72</f>
        <v>240916</v>
      </c>
      <c r="E73" s="1005">
        <f>E62+E63+E64+E65+E67+E72</f>
        <v>339739</v>
      </c>
    </row>
    <row r="74" spans="1:5" s="20" customFormat="1" ht="13.5" thickTop="1">
      <c r="A74" s="553" t="s">
        <v>819</v>
      </c>
      <c r="B74" s="562" t="s">
        <v>407</v>
      </c>
      <c r="C74" s="504"/>
      <c r="D74" s="193"/>
      <c r="E74" s="193"/>
    </row>
    <row r="75" spans="1:5" ht="12.75">
      <c r="A75" s="552" t="s">
        <v>820</v>
      </c>
      <c r="B75" s="290" t="s">
        <v>974</v>
      </c>
      <c r="C75" s="502"/>
      <c r="D75" s="190">
        <f>'33_sz_ melléklet'!C19</f>
        <v>10254</v>
      </c>
      <c r="E75" s="190">
        <f>'33_sz_ melléklet'!C23</f>
        <v>5700</v>
      </c>
    </row>
    <row r="76" spans="1:5" ht="12.75">
      <c r="A76" s="552" t="s">
        <v>821</v>
      </c>
      <c r="B76" s="290" t="s">
        <v>975</v>
      </c>
      <c r="C76" s="502"/>
      <c r="D76" s="190"/>
      <c r="E76" s="190"/>
    </row>
    <row r="77" spans="1:5" ht="12.75">
      <c r="A77" s="552" t="s">
        <v>822</v>
      </c>
      <c r="B77" s="290" t="s">
        <v>400</v>
      </c>
      <c r="C77" s="339">
        <f>C78+C79+C80</f>
        <v>0</v>
      </c>
      <c r="D77" s="339">
        <f>D78+D79+D80</f>
        <v>0</v>
      </c>
      <c r="E77" s="194">
        <f>E78+E79+E80</f>
        <v>0</v>
      </c>
    </row>
    <row r="78" spans="1:5" ht="12.75">
      <c r="A78" s="552" t="s">
        <v>823</v>
      </c>
      <c r="B78" s="290" t="s">
        <v>402</v>
      </c>
      <c r="C78" s="502"/>
      <c r="D78" s="190"/>
      <c r="E78" s="190"/>
    </row>
    <row r="79" spans="1:5" s="20" customFormat="1" ht="12.75">
      <c r="A79" s="552" t="s">
        <v>824</v>
      </c>
      <c r="B79" s="290" t="s">
        <v>452</v>
      </c>
      <c r="C79" s="502"/>
      <c r="D79" s="190"/>
      <c r="E79" s="190"/>
    </row>
    <row r="80" spans="1:5" ht="12.75">
      <c r="A80" s="552" t="s">
        <v>826</v>
      </c>
      <c r="B80" s="290" t="s">
        <v>403</v>
      </c>
      <c r="C80" s="502"/>
      <c r="D80" s="190"/>
      <c r="E80" s="190"/>
    </row>
    <row r="81" spans="1:5" ht="12.75">
      <c r="A81" s="552" t="s">
        <v>827</v>
      </c>
      <c r="B81" s="290" t="s">
        <v>404</v>
      </c>
      <c r="C81" s="502"/>
      <c r="D81" s="190"/>
      <c r="E81" s="190"/>
    </row>
    <row r="82" spans="1:5" ht="13.5" thickBot="1">
      <c r="A82" s="617" t="s">
        <v>828</v>
      </c>
      <c r="B82" s="292" t="s">
        <v>405</v>
      </c>
      <c r="C82" s="505">
        <f>-C65</f>
        <v>0</v>
      </c>
      <c r="D82" s="505">
        <f>-D65</f>
        <v>0</v>
      </c>
      <c r="E82" s="191">
        <f>-E65</f>
        <v>0</v>
      </c>
    </row>
    <row r="83" spans="1:5" ht="13.5" thickBot="1">
      <c r="A83" s="969" t="s">
        <v>829</v>
      </c>
      <c r="B83" s="970" t="s">
        <v>15</v>
      </c>
      <c r="C83" s="995">
        <f>C75+C76+C77+C81+C82</f>
        <v>0</v>
      </c>
      <c r="D83" s="1004">
        <f>D75+D76+D77+D81+D82</f>
        <v>10254</v>
      </c>
      <c r="E83" s="1005">
        <f>E75+E76+E77+E81+E82</f>
        <v>5700</v>
      </c>
    </row>
    <row r="84" spans="1:5" s="20" customFormat="1" ht="26.25" thickTop="1">
      <c r="A84" s="553" t="s">
        <v>830</v>
      </c>
      <c r="B84" s="918" t="s">
        <v>408</v>
      </c>
      <c r="C84" s="504"/>
      <c r="D84" s="193"/>
      <c r="E84" s="193"/>
    </row>
    <row r="85" spans="1:5" ht="12.75">
      <c r="A85" s="552" t="s">
        <v>831</v>
      </c>
      <c r="B85" s="563" t="s">
        <v>409</v>
      </c>
      <c r="C85" s="502"/>
      <c r="D85" s="190"/>
      <c r="E85" s="190"/>
    </row>
    <row r="86" spans="1:5" ht="12.75">
      <c r="A86" s="552" t="s">
        <v>832</v>
      </c>
      <c r="B86" s="564" t="s">
        <v>410</v>
      </c>
      <c r="C86" s="339"/>
      <c r="D86" s="194"/>
      <c r="E86" s="190"/>
    </row>
    <row r="87" spans="1:5" ht="13.5" thickBot="1">
      <c r="A87" s="617" t="s">
        <v>833</v>
      </c>
      <c r="B87" s="565" t="s">
        <v>411</v>
      </c>
      <c r="C87" s="503"/>
      <c r="D87" s="195"/>
      <c r="E87" s="190"/>
    </row>
    <row r="88" spans="1:5" ht="26.25" thickBot="1">
      <c r="A88" s="969" t="s">
        <v>834</v>
      </c>
      <c r="B88" s="997" t="s">
        <v>412</v>
      </c>
      <c r="C88" s="995">
        <f>C85+C86+C87</f>
        <v>0</v>
      </c>
      <c r="D88" s="995">
        <f>D85+D86+D87</f>
        <v>0</v>
      </c>
      <c r="E88" s="996">
        <f>E85+E86+E87</f>
        <v>0</v>
      </c>
    </row>
    <row r="89" spans="1:5" s="20" customFormat="1" ht="13.5" thickTop="1">
      <c r="A89" s="553" t="s">
        <v>964</v>
      </c>
      <c r="B89" s="707" t="s">
        <v>413</v>
      </c>
      <c r="C89" s="504"/>
      <c r="D89" s="193"/>
      <c r="E89" s="193"/>
    </row>
    <row r="90" spans="1:5" ht="12" customHeight="1">
      <c r="A90" s="552" t="s">
        <v>965</v>
      </c>
      <c r="B90" s="291" t="s">
        <v>414</v>
      </c>
      <c r="C90" s="339"/>
      <c r="D90" s="194"/>
      <c r="E90" s="194"/>
    </row>
    <row r="91" spans="1:5" s="20" customFormat="1" ht="12.75">
      <c r="A91" s="552" t="s">
        <v>966</v>
      </c>
      <c r="B91" s="291" t="s">
        <v>25</v>
      </c>
      <c r="C91" s="502"/>
      <c r="D91" s="190"/>
      <c r="E91" s="194"/>
    </row>
    <row r="92" spans="1:5" ht="11.25" customHeight="1">
      <c r="A92" s="552" t="s">
        <v>967</v>
      </c>
      <c r="B92" s="155" t="s">
        <v>914</v>
      </c>
      <c r="C92" s="502"/>
      <c r="D92" s="190"/>
      <c r="E92" s="194"/>
    </row>
    <row r="93" spans="1:5" ht="13.5" thickBot="1">
      <c r="A93" s="617" t="s">
        <v>968</v>
      </c>
      <c r="B93" s="291" t="s">
        <v>416</v>
      </c>
      <c r="C93" s="503"/>
      <c r="D93" s="195"/>
      <c r="E93" s="194"/>
    </row>
    <row r="94" spans="1:5" ht="13.5" thickBot="1">
      <c r="A94" s="969" t="s">
        <v>969</v>
      </c>
      <c r="B94" s="977" t="s">
        <v>419</v>
      </c>
      <c r="C94" s="995">
        <f>C90+C91+C92+C93</f>
        <v>0</v>
      </c>
      <c r="D94" s="995">
        <f>D90+D91+D92+D93</f>
        <v>0</v>
      </c>
      <c r="E94" s="996">
        <f>E90+E91+E92+E93</f>
        <v>0</v>
      </c>
    </row>
    <row r="95" spans="1:5" ht="27" thickBot="1" thickTop="1">
      <c r="A95" s="987" t="s">
        <v>841</v>
      </c>
      <c r="B95" s="991" t="s">
        <v>415</v>
      </c>
      <c r="C95" s="999">
        <f>C94+C88+C83+C73</f>
        <v>222906</v>
      </c>
      <c r="D95" s="999">
        <f>D94+D88+D83+D73</f>
        <v>251170</v>
      </c>
      <c r="E95" s="1000">
        <f>E94+E88+E83+E73</f>
        <v>345439</v>
      </c>
    </row>
    <row r="96" spans="1:5" s="20" customFormat="1" ht="13.5" thickTop="1">
      <c r="A96" s="553" t="s">
        <v>842</v>
      </c>
      <c r="B96" s="958" t="s">
        <v>976</v>
      </c>
      <c r="C96" s="998"/>
      <c r="D96" s="193"/>
      <c r="E96" s="193"/>
    </row>
    <row r="97" spans="1:5" ht="12.75" customHeight="1">
      <c r="A97" s="552" t="s">
        <v>843</v>
      </c>
      <c r="B97" s="566" t="s">
        <v>417</v>
      </c>
      <c r="C97" s="507"/>
      <c r="D97" s="190"/>
      <c r="E97" s="190"/>
    </row>
    <row r="98" spans="1:5" s="20" customFormat="1" ht="15" customHeight="1" thickBot="1">
      <c r="A98" s="617" t="s">
        <v>844</v>
      </c>
      <c r="B98" s="962" t="s">
        <v>418</v>
      </c>
      <c r="C98" s="503"/>
      <c r="D98" s="195"/>
      <c r="E98" s="195"/>
    </row>
    <row r="99" spans="1:5" ht="13.5" thickBot="1">
      <c r="A99" s="969" t="s">
        <v>845</v>
      </c>
      <c r="B99" s="982" t="s">
        <v>979</v>
      </c>
      <c r="C99" s="995">
        <f>C97+C98</f>
        <v>0</v>
      </c>
      <c r="D99" s="995">
        <f>D97+D98</f>
        <v>0</v>
      </c>
      <c r="E99" s="996">
        <f>E97+E98</f>
        <v>0</v>
      </c>
    </row>
    <row r="100" spans="1:5" ht="13.5" thickTop="1">
      <c r="A100" s="553" t="s">
        <v>846</v>
      </c>
      <c r="B100" s="1001" t="s">
        <v>977</v>
      </c>
      <c r="C100" s="506"/>
      <c r="D100" s="196"/>
      <c r="E100" s="196"/>
    </row>
    <row r="101" spans="1:5" ht="12.75">
      <c r="A101" s="553" t="s">
        <v>847</v>
      </c>
      <c r="B101" s="959" t="s">
        <v>417</v>
      </c>
      <c r="C101" s="506"/>
      <c r="D101" s="196"/>
      <c r="E101" s="196"/>
    </row>
    <row r="102" spans="1:5" ht="13.5" thickBot="1">
      <c r="A102" s="617" t="s">
        <v>848</v>
      </c>
      <c r="B102" s="567" t="s">
        <v>418</v>
      </c>
      <c r="C102" s="503"/>
      <c r="D102" s="195"/>
      <c r="E102" s="195"/>
    </row>
    <row r="103" spans="1:5" ht="13.5" thickBot="1">
      <c r="A103" s="969" t="s">
        <v>849</v>
      </c>
      <c r="B103" s="1003" t="s">
        <v>942</v>
      </c>
      <c r="C103" s="1004">
        <f>C101+C102</f>
        <v>0</v>
      </c>
      <c r="D103" s="1004">
        <f>D101+D102</f>
        <v>0</v>
      </c>
      <c r="E103" s="1005">
        <f>E101+E102</f>
        <v>0</v>
      </c>
    </row>
    <row r="104" spans="1:5" ht="23.25" thickBot="1" thickTop="1">
      <c r="A104" s="553" t="s">
        <v>869</v>
      </c>
      <c r="B104" s="985" t="s">
        <v>978</v>
      </c>
      <c r="C104" s="1002"/>
      <c r="D104" s="510"/>
      <c r="E104" s="510"/>
    </row>
    <row r="105" spans="1:5" ht="12.75">
      <c r="A105" s="552" t="s">
        <v>870</v>
      </c>
      <c r="B105" s="568" t="s">
        <v>420</v>
      </c>
      <c r="C105" s="366"/>
      <c r="D105" s="367"/>
      <c r="E105" s="367"/>
    </row>
    <row r="106" spans="1:5" ht="13.5" thickBot="1">
      <c r="A106" s="617" t="s">
        <v>871</v>
      </c>
      <c r="B106" s="569" t="s">
        <v>421</v>
      </c>
      <c r="C106" s="961"/>
      <c r="D106" s="191"/>
      <c r="E106" s="1026"/>
    </row>
    <row r="107" spans="1:5" ht="13.5" thickBot="1">
      <c r="A107" s="969" t="s">
        <v>872</v>
      </c>
      <c r="B107" s="1006" t="s">
        <v>943</v>
      </c>
      <c r="C107" s="1004">
        <f>C105+C106</f>
        <v>0</v>
      </c>
      <c r="D107" s="1004">
        <f>D105+D106</f>
        <v>0</v>
      </c>
      <c r="E107" s="1275">
        <f>E105+E106</f>
        <v>0</v>
      </c>
    </row>
    <row r="108" spans="1:5" ht="21.75" customHeight="1" thickBot="1" thickTop="1">
      <c r="A108" s="987" t="s">
        <v>873</v>
      </c>
      <c r="B108" s="988" t="s">
        <v>982</v>
      </c>
      <c r="C108" s="999">
        <f>C95+C99+C103+C107</f>
        <v>222906</v>
      </c>
      <c r="D108" s="999">
        <f>D95+D99+D103+D107</f>
        <v>251170</v>
      </c>
      <c r="E108" s="1275">
        <f>E95+E99+E103+E107</f>
        <v>345439</v>
      </c>
    </row>
    <row r="109" spans="1:5" ht="13.5" thickTop="1">
      <c r="A109" s="580"/>
      <c r="B109" s="1027"/>
      <c r="C109" s="49"/>
      <c r="D109" s="49"/>
      <c r="E109" s="49"/>
    </row>
    <row r="110" spans="1:5" ht="12.75">
      <c r="A110" s="1567">
        <v>3</v>
      </c>
      <c r="B110" s="1567"/>
      <c r="C110" s="1567"/>
      <c r="D110" s="1567"/>
      <c r="E110" s="1567"/>
    </row>
    <row r="111" spans="1:5" ht="12.75">
      <c r="A111" s="1546" t="s">
        <v>1333</v>
      </c>
      <c r="B111" s="1546"/>
      <c r="C111" s="1546"/>
      <c r="D111" s="1546"/>
      <c r="E111" s="1546"/>
    </row>
    <row r="112" spans="2:5" ht="15.75">
      <c r="B112" s="1566" t="s">
        <v>990</v>
      </c>
      <c r="C112" s="1566"/>
      <c r="D112" s="1566"/>
      <c r="E112" s="1566"/>
    </row>
    <row r="113" spans="2:5" ht="13.5" thickBot="1">
      <c r="B113" s="1"/>
      <c r="C113" s="1"/>
      <c r="D113" s="1"/>
      <c r="E113" s="25" t="s">
        <v>16</v>
      </c>
    </row>
    <row r="114" spans="1:5" ht="35.25" thickBot="1">
      <c r="A114" s="587" t="s">
        <v>801</v>
      </c>
      <c r="B114" s="960" t="s">
        <v>22</v>
      </c>
      <c r="C114" s="574" t="s">
        <v>17</v>
      </c>
      <c r="D114" s="575" t="s">
        <v>1029</v>
      </c>
      <c r="E114" s="576"/>
    </row>
    <row r="115" spans="1:5" ht="12.75">
      <c r="A115" s="963" t="s">
        <v>802</v>
      </c>
      <c r="B115" s="964" t="s">
        <v>803</v>
      </c>
      <c r="C115" s="992" t="s">
        <v>804</v>
      </c>
      <c r="D115" s="993" t="s">
        <v>805</v>
      </c>
      <c r="E115" s="1022" t="s">
        <v>825</v>
      </c>
    </row>
    <row r="116" spans="1:5" ht="12.75">
      <c r="A116" s="553" t="s">
        <v>806</v>
      </c>
      <c r="B116" s="560" t="s">
        <v>406</v>
      </c>
      <c r="C116" s="502"/>
      <c r="D116" s="190"/>
      <c r="E116" s="190"/>
    </row>
    <row r="117" spans="1:5" ht="12.75">
      <c r="A117" s="552" t="s">
        <v>807</v>
      </c>
      <c r="B117" s="247" t="s">
        <v>11</v>
      </c>
      <c r="C117" s="502">
        <f>154365+6105+3076+642+1941+9614</f>
        <v>175743</v>
      </c>
      <c r="D117" s="190">
        <f>C117+E62+D62+C62+E7+D7+C7</f>
        <v>1195646</v>
      </c>
      <c r="E117" s="190"/>
    </row>
    <row r="118" spans="1:5" ht="12.75">
      <c r="A118" s="552" t="s">
        <v>808</v>
      </c>
      <c r="B118" s="290" t="s">
        <v>12</v>
      </c>
      <c r="C118" s="502">
        <f>43033+1736+830+173+524+2596</f>
        <v>48892</v>
      </c>
      <c r="D118" s="190">
        <f>C118+E63+D63+C63+E8+D8+C8</f>
        <v>315444</v>
      </c>
      <c r="E118" s="190"/>
    </row>
    <row r="119" spans="1:5" ht="12.75">
      <c r="A119" s="552" t="s">
        <v>809</v>
      </c>
      <c r="B119" s="290" t="s">
        <v>13</v>
      </c>
      <c r="C119" s="502">
        <f>121665+7495+1440+90</f>
        <v>130690</v>
      </c>
      <c r="D119" s="190">
        <f>C119+E64+D64+C64+E9+D9+C9</f>
        <v>617250</v>
      </c>
      <c r="E119" s="190"/>
    </row>
    <row r="120" spans="1:5" ht="12.75">
      <c r="A120" s="552" t="s">
        <v>810</v>
      </c>
      <c r="B120" s="290" t="s">
        <v>973</v>
      </c>
      <c r="C120" s="502"/>
      <c r="D120" s="190">
        <f>C120+E65+D65+C65+E10+D10+C10</f>
        <v>0</v>
      </c>
      <c r="E120" s="190"/>
    </row>
    <row r="121" spans="1:5" ht="12.75">
      <c r="A121" s="552" t="s">
        <v>811</v>
      </c>
      <c r="B121" s="290" t="s">
        <v>972</v>
      </c>
      <c r="C121" s="502"/>
      <c r="D121" s="190">
        <f>C121+E66+D66+C66+E11+D11+C11</f>
        <v>0</v>
      </c>
      <c r="E121" s="190"/>
    </row>
    <row r="122" spans="1:5" ht="12.75">
      <c r="A122" s="552" t="s">
        <v>812</v>
      </c>
      <c r="B122" s="290" t="s">
        <v>401</v>
      </c>
      <c r="C122" s="502">
        <f>C123+C124+C125+C126</f>
        <v>0</v>
      </c>
      <c r="D122" s="502">
        <f>D123+D124+D125+D126</f>
        <v>7527</v>
      </c>
      <c r="E122" s="190">
        <f>E123+E124+E125+E126</f>
        <v>0</v>
      </c>
    </row>
    <row r="123" spans="1:5" ht="12.75">
      <c r="A123" s="552" t="s">
        <v>813</v>
      </c>
      <c r="B123" s="290" t="s">
        <v>395</v>
      </c>
      <c r="C123" s="502"/>
      <c r="D123" s="190">
        <f>C123+E68+D68+C68+E13+D13+C13</f>
        <v>7527</v>
      </c>
      <c r="E123" s="190"/>
    </row>
    <row r="124" spans="1:5" ht="12.75">
      <c r="A124" s="552" t="s">
        <v>814</v>
      </c>
      <c r="B124" s="561" t="s">
        <v>396</v>
      </c>
      <c r="C124" s="502"/>
      <c r="D124" s="190">
        <f>C124+E69+D69+C69+E14+D14+C14</f>
        <v>0</v>
      </c>
      <c r="E124" s="190"/>
    </row>
    <row r="125" spans="1:5" ht="12.75">
      <c r="A125" s="552" t="s">
        <v>815</v>
      </c>
      <c r="B125" s="290" t="s">
        <v>397</v>
      </c>
      <c r="C125" s="502"/>
      <c r="D125" s="190">
        <f>C125+E70+D70+C70+E15+D15+C15</f>
        <v>0</v>
      </c>
      <c r="E125" s="190"/>
    </row>
    <row r="126" spans="1:5" ht="12.75">
      <c r="A126" s="552" t="s">
        <v>816</v>
      </c>
      <c r="B126" s="290" t="s">
        <v>398</v>
      </c>
      <c r="C126" s="339"/>
      <c r="D126" s="190">
        <f>C126+E71+D71+C71+E16+D16+C16</f>
        <v>0</v>
      </c>
      <c r="E126" s="190"/>
    </row>
    <row r="127" spans="1:5" ht="13.5" thickBot="1">
      <c r="A127" s="617" t="s">
        <v>817</v>
      </c>
      <c r="B127" s="292" t="s">
        <v>399</v>
      </c>
      <c r="C127" s="503"/>
      <c r="D127" s="190">
        <f>C127+E72+D72+C72+E17+D17+C17</f>
        <v>14312</v>
      </c>
      <c r="E127" s="190"/>
    </row>
    <row r="128" spans="1:5" ht="13.5" thickBot="1">
      <c r="A128" s="969" t="s">
        <v>818</v>
      </c>
      <c r="B128" s="970" t="s">
        <v>14</v>
      </c>
      <c r="C128" s="1004">
        <f>C117+C118+C119+C120+C122+C127</f>
        <v>355325</v>
      </c>
      <c r="D128" s="1004">
        <f>D117+D118+D119+D120+D122+D127</f>
        <v>2150179</v>
      </c>
      <c r="E128" s="996">
        <f>E117+E118+E119+E120+E122+E127</f>
        <v>0</v>
      </c>
    </row>
    <row r="129" spans="1:5" ht="13.5" thickTop="1">
      <c r="A129" s="553" t="s">
        <v>819</v>
      </c>
      <c r="B129" s="562" t="s">
        <v>407</v>
      </c>
      <c r="C129" s="504"/>
      <c r="D129" s="193"/>
      <c r="E129" s="193"/>
    </row>
    <row r="130" spans="1:5" ht="12.75">
      <c r="A130" s="552" t="s">
        <v>820</v>
      </c>
      <c r="B130" s="290" t="s">
        <v>974</v>
      </c>
      <c r="C130" s="502">
        <f>'33_sz_ melléklet'!C10</f>
        <v>5954</v>
      </c>
      <c r="D130" s="190">
        <f>C130+E75+D75+C75+E20+D20+C20</f>
        <v>22416</v>
      </c>
      <c r="E130" s="190"/>
    </row>
    <row r="131" spans="1:5" ht="12.75">
      <c r="A131" s="552" t="s">
        <v>821</v>
      </c>
      <c r="B131" s="290" t="s">
        <v>975</v>
      </c>
      <c r="C131" s="502">
        <f>'32_sz_ melléklet'!C18</f>
        <v>6564</v>
      </c>
      <c r="D131" s="190">
        <f>C131+E76+D76+C76+E21+D21+C21</f>
        <v>6564</v>
      </c>
      <c r="E131" s="190"/>
    </row>
    <row r="132" spans="1:5" ht="12.75">
      <c r="A132" s="552" t="s">
        <v>822</v>
      </c>
      <c r="B132" s="290" t="s">
        <v>400</v>
      </c>
      <c r="C132" s="339">
        <f>C133+C134+C135</f>
        <v>0</v>
      </c>
      <c r="D132" s="339">
        <f>D133+D134+D135</f>
        <v>0</v>
      </c>
      <c r="E132" s="194">
        <f>E133+E134+E135</f>
        <v>0</v>
      </c>
    </row>
    <row r="133" spans="1:5" ht="12.75">
      <c r="A133" s="552" t="s">
        <v>823</v>
      </c>
      <c r="B133" s="290" t="s">
        <v>402</v>
      </c>
      <c r="C133" s="502"/>
      <c r="D133" s="190">
        <f>C133+E78+D78+C78+E23+D23+C23</f>
        <v>0</v>
      </c>
      <c r="E133" s="190"/>
    </row>
    <row r="134" spans="1:5" ht="12.75">
      <c r="A134" s="552" t="s">
        <v>824</v>
      </c>
      <c r="B134" s="290" t="s">
        <v>452</v>
      </c>
      <c r="C134" s="502"/>
      <c r="D134" s="190">
        <f>C134+E79+D79+C79+E24+D24+C24</f>
        <v>0</v>
      </c>
      <c r="E134" s="190"/>
    </row>
    <row r="135" spans="1:5" ht="12.75">
      <c r="A135" s="552" t="s">
        <v>826</v>
      </c>
      <c r="B135" s="290" t="s">
        <v>403</v>
      </c>
      <c r="C135" s="502"/>
      <c r="D135" s="190">
        <f>C135+E80+D80+C80+E25+D25+C25</f>
        <v>0</v>
      </c>
      <c r="E135" s="190"/>
    </row>
    <row r="136" spans="1:5" ht="12.75">
      <c r="A136" s="552" t="s">
        <v>827</v>
      </c>
      <c r="B136" s="290" t="s">
        <v>404</v>
      </c>
      <c r="C136" s="502"/>
      <c r="D136" s="190">
        <f>C136+E81+D81+C81+E26+D26+C26</f>
        <v>0</v>
      </c>
      <c r="E136" s="190"/>
    </row>
    <row r="137" spans="1:5" ht="13.5" thickBot="1">
      <c r="A137" s="617" t="s">
        <v>828</v>
      </c>
      <c r="B137" s="292" t="s">
        <v>405</v>
      </c>
      <c r="C137" s="505">
        <f>-C120</f>
        <v>0</v>
      </c>
      <c r="D137" s="505">
        <f>-D120</f>
        <v>0</v>
      </c>
      <c r="E137" s="191">
        <f>-E120</f>
        <v>0</v>
      </c>
    </row>
    <row r="138" spans="1:5" ht="13.5" thickBot="1">
      <c r="A138" s="969" t="s">
        <v>829</v>
      </c>
      <c r="B138" s="970" t="s">
        <v>15</v>
      </c>
      <c r="C138" s="1004">
        <f>C130+C131+C132+C136+C137</f>
        <v>12518</v>
      </c>
      <c r="D138" s="1004">
        <f>D130+D131+D132+D136+D137</f>
        <v>28980</v>
      </c>
      <c r="E138" s="996">
        <f>E130+E131+E132+E136+E137</f>
        <v>0</v>
      </c>
    </row>
    <row r="139" spans="1:5" ht="26.25" thickTop="1">
      <c r="A139" s="553" t="s">
        <v>830</v>
      </c>
      <c r="B139" s="918" t="s">
        <v>408</v>
      </c>
      <c r="C139" s="504"/>
      <c r="D139" s="193"/>
      <c r="E139" s="193"/>
    </row>
    <row r="140" spans="1:5" ht="12.75">
      <c r="A140" s="552" t="s">
        <v>831</v>
      </c>
      <c r="B140" s="563" t="s">
        <v>409</v>
      </c>
      <c r="C140" s="502"/>
      <c r="D140" s="190">
        <f>C140+E85+D85+C85+E30+D30+C30</f>
        <v>0</v>
      </c>
      <c r="E140" s="190"/>
    </row>
    <row r="141" spans="1:5" ht="12.75">
      <c r="A141" s="552" t="s">
        <v>832</v>
      </c>
      <c r="B141" s="564" t="s">
        <v>410</v>
      </c>
      <c r="C141" s="339"/>
      <c r="D141" s="190">
        <f>C141+E86+D86+C86+E31+D31+C31</f>
        <v>0</v>
      </c>
      <c r="E141" s="190"/>
    </row>
    <row r="142" spans="1:5" ht="13.5" thickBot="1">
      <c r="A142" s="617" t="s">
        <v>833</v>
      </c>
      <c r="B142" s="565" t="s">
        <v>411</v>
      </c>
      <c r="C142" s="503"/>
      <c r="D142" s="190">
        <f>C142+E87+D87+C87+E32+D32+C32</f>
        <v>0</v>
      </c>
      <c r="E142" s="190"/>
    </row>
    <row r="143" spans="1:5" ht="26.25" thickBot="1">
      <c r="A143" s="969" t="s">
        <v>834</v>
      </c>
      <c r="B143" s="997" t="s">
        <v>412</v>
      </c>
      <c r="C143" s="995">
        <f>C140+C141+C142</f>
        <v>0</v>
      </c>
      <c r="D143" s="995">
        <f>D140+D141+D142</f>
        <v>0</v>
      </c>
      <c r="E143" s="996">
        <f>E140+E141+E142</f>
        <v>0</v>
      </c>
    </row>
    <row r="144" spans="1:5" ht="13.5" thickTop="1">
      <c r="A144" s="553" t="s">
        <v>964</v>
      </c>
      <c r="B144" s="707" t="s">
        <v>413</v>
      </c>
      <c r="C144" s="504"/>
      <c r="D144" s="193"/>
      <c r="E144" s="193"/>
    </row>
    <row r="145" spans="1:5" ht="12.75">
      <c r="A145" s="552" t="s">
        <v>965</v>
      </c>
      <c r="B145" s="291" t="s">
        <v>414</v>
      </c>
      <c r="C145" s="339"/>
      <c r="D145" s="190">
        <f>C145+E90+D90+C90+E35+D35+C35</f>
        <v>0</v>
      </c>
      <c r="E145" s="194"/>
    </row>
    <row r="146" spans="1:5" ht="12.75">
      <c r="A146" s="552" t="s">
        <v>966</v>
      </c>
      <c r="B146" s="291" t="s">
        <v>25</v>
      </c>
      <c r="C146" s="502"/>
      <c r="D146" s="190">
        <f>C146+E91+D91+C91+E36+D36+C36</f>
        <v>0</v>
      </c>
      <c r="E146" s="194"/>
    </row>
    <row r="147" spans="1:5" ht="12.75">
      <c r="A147" s="552" t="s">
        <v>967</v>
      </c>
      <c r="B147" s="155" t="s">
        <v>914</v>
      </c>
      <c r="C147" s="502"/>
      <c r="D147" s="190">
        <f>C147+E92+D92+C92+E37+D37+C37</f>
        <v>0</v>
      </c>
      <c r="E147" s="194"/>
    </row>
    <row r="148" spans="1:5" ht="13.5" thickBot="1">
      <c r="A148" s="617" t="s">
        <v>968</v>
      </c>
      <c r="B148" s="291" t="s">
        <v>416</v>
      </c>
      <c r="C148" s="503"/>
      <c r="D148" s="190">
        <f>C148+E93+D93+C93+E38+D38+C38</f>
        <v>0</v>
      </c>
      <c r="E148" s="194"/>
    </row>
    <row r="149" spans="1:5" ht="13.5" thickBot="1">
      <c r="A149" s="969" t="s">
        <v>969</v>
      </c>
      <c r="B149" s="977" t="s">
        <v>419</v>
      </c>
      <c r="C149" s="995">
        <f>C145+C146+C147+C148</f>
        <v>0</v>
      </c>
      <c r="D149" s="995">
        <f>D145+D146+D147+D148</f>
        <v>0</v>
      </c>
      <c r="E149" s="996">
        <f>E145+E146+E147+E148</f>
        <v>0</v>
      </c>
    </row>
    <row r="150" spans="1:5" ht="27" thickBot="1" thickTop="1">
      <c r="A150" s="987" t="s">
        <v>841</v>
      </c>
      <c r="B150" s="991" t="s">
        <v>415</v>
      </c>
      <c r="C150" s="999">
        <f>C149+C143+C138+C128</f>
        <v>367843</v>
      </c>
      <c r="D150" s="999">
        <f>D149+D143+D138+D128</f>
        <v>2179159</v>
      </c>
      <c r="E150" s="1000">
        <f>E149+E143+E138+E128</f>
        <v>0</v>
      </c>
    </row>
    <row r="151" spans="1:5" ht="13.5" thickTop="1">
      <c r="A151" s="553" t="s">
        <v>842</v>
      </c>
      <c r="B151" s="958" t="s">
        <v>976</v>
      </c>
      <c r="C151" s="998"/>
      <c r="D151" s="193"/>
      <c r="E151" s="193"/>
    </row>
    <row r="152" spans="1:5" ht="12.75">
      <c r="A152" s="552" t="s">
        <v>843</v>
      </c>
      <c r="B152" s="566" t="s">
        <v>417</v>
      </c>
      <c r="C152" s="507"/>
      <c r="D152" s="190">
        <f>C152+E97+D97+C97+E42+D42+C42</f>
        <v>0</v>
      </c>
      <c r="E152" s="190"/>
    </row>
    <row r="153" spans="1:5" ht="13.5" thickBot="1">
      <c r="A153" s="617" t="s">
        <v>844</v>
      </c>
      <c r="B153" s="962" t="s">
        <v>418</v>
      </c>
      <c r="C153" s="503"/>
      <c r="D153" s="190">
        <f>C153+E98+D98+C98+E43+D43+C43</f>
        <v>0</v>
      </c>
      <c r="E153" s="195"/>
    </row>
    <row r="154" spans="1:5" ht="13.5" thickBot="1">
      <c r="A154" s="969" t="s">
        <v>845</v>
      </c>
      <c r="B154" s="982" t="s">
        <v>979</v>
      </c>
      <c r="C154" s="995">
        <f>C152+C153</f>
        <v>0</v>
      </c>
      <c r="D154" s="995">
        <f>D152+D153</f>
        <v>0</v>
      </c>
      <c r="E154" s="996">
        <f>E152+E153</f>
        <v>0</v>
      </c>
    </row>
    <row r="155" spans="1:5" ht="13.5" thickTop="1">
      <c r="A155" s="553" t="s">
        <v>846</v>
      </c>
      <c r="B155" s="1001" t="s">
        <v>977</v>
      </c>
      <c r="C155" s="506"/>
      <c r="D155" s="196"/>
      <c r="E155" s="196"/>
    </row>
    <row r="156" spans="1:5" ht="12.75">
      <c r="A156" s="553" t="s">
        <v>847</v>
      </c>
      <c r="B156" s="959" t="s">
        <v>417</v>
      </c>
      <c r="C156" s="506"/>
      <c r="D156" s="190">
        <f>C156+E101+D101+C101+E46+D46+C46</f>
        <v>0</v>
      </c>
      <c r="E156" s="196"/>
    </row>
    <row r="157" spans="1:5" ht="13.5" thickBot="1">
      <c r="A157" s="617" t="s">
        <v>848</v>
      </c>
      <c r="B157" s="567" t="s">
        <v>418</v>
      </c>
      <c r="C157" s="503"/>
      <c r="D157" s="190">
        <f>C157+E102+D102+C102+E47+D47+C47</f>
        <v>0</v>
      </c>
      <c r="E157" s="195"/>
    </row>
    <row r="158" spans="1:5" ht="17.25" customHeight="1" thickBot="1">
      <c r="A158" s="969" t="s">
        <v>849</v>
      </c>
      <c r="B158" s="1003" t="s">
        <v>942</v>
      </c>
      <c r="C158" s="1004">
        <f>C156+C157</f>
        <v>0</v>
      </c>
      <c r="D158" s="1004">
        <f>D156+D157</f>
        <v>0</v>
      </c>
      <c r="E158" s="1005">
        <f>E156+E157</f>
        <v>0</v>
      </c>
    </row>
    <row r="159" spans="1:5" ht="23.25" thickBot="1" thickTop="1">
      <c r="A159" s="553" t="s">
        <v>869</v>
      </c>
      <c r="B159" s="985" t="s">
        <v>978</v>
      </c>
      <c r="C159" s="1002"/>
      <c r="D159" s="510"/>
      <c r="E159" s="510"/>
    </row>
    <row r="160" spans="1:5" ht="12.75">
      <c r="A160" s="552" t="s">
        <v>870</v>
      </c>
      <c r="B160" s="568" t="s">
        <v>420</v>
      </c>
      <c r="C160" s="366"/>
      <c r="D160" s="190">
        <f>C160+E105+D105+C105+E50+D50+C50</f>
        <v>0</v>
      </c>
      <c r="E160" s="367"/>
    </row>
    <row r="161" spans="1:5" ht="13.5" thickBot="1">
      <c r="A161" s="617" t="s">
        <v>871</v>
      </c>
      <c r="B161" s="569" t="s">
        <v>421</v>
      </c>
      <c r="C161" s="961"/>
      <c r="D161" s="190">
        <f>C161+E106+D106+C106+E51+D51+C51</f>
        <v>0</v>
      </c>
      <c r="E161" s="191"/>
    </row>
    <row r="162" spans="1:5" ht="16.5" customHeight="1" thickBot="1">
      <c r="A162" s="969" t="s">
        <v>872</v>
      </c>
      <c r="B162" s="1006" t="s">
        <v>943</v>
      </c>
      <c r="C162" s="1004">
        <f>C160+C161</f>
        <v>0</v>
      </c>
      <c r="D162" s="1004">
        <f>D160+D161</f>
        <v>0</v>
      </c>
      <c r="E162" s="1005">
        <f>E160+E161</f>
        <v>0</v>
      </c>
    </row>
    <row r="163" spans="1:5" ht="23.25" customHeight="1" thickBot="1" thickTop="1">
      <c r="A163" s="1037" t="s">
        <v>873</v>
      </c>
      <c r="B163" s="1038" t="s">
        <v>982</v>
      </c>
      <c r="C163" s="1039">
        <f>C150+C154+C158+C162</f>
        <v>367843</v>
      </c>
      <c r="D163" s="1039">
        <f>D150+D154+D158+D162</f>
        <v>2179159</v>
      </c>
      <c r="E163" s="1028">
        <f>E150+E154+E158+E162</f>
        <v>0</v>
      </c>
    </row>
  </sheetData>
  <sheetProtection/>
  <mergeCells count="8">
    <mergeCell ref="B2:E2"/>
    <mergeCell ref="A1:E1"/>
    <mergeCell ref="A56:E56"/>
    <mergeCell ref="B57:E57"/>
    <mergeCell ref="A111:E111"/>
    <mergeCell ref="B112:E112"/>
    <mergeCell ref="A55:E55"/>
    <mergeCell ref="A110:E110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4" sqref="A1:C34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571" t="s">
        <v>1376</v>
      </c>
      <c r="B1" s="205"/>
      <c r="C1" s="205"/>
      <c r="D1" s="205"/>
      <c r="E1" s="205"/>
      <c r="F1" s="205"/>
    </row>
    <row r="2" spans="2:3" ht="12" customHeight="1">
      <c r="B2" s="97"/>
      <c r="C2" s="98"/>
    </row>
    <row r="3" spans="2:6" ht="15.75">
      <c r="B3" s="1656" t="s">
        <v>250</v>
      </c>
      <c r="C3" s="1656"/>
      <c r="D3" s="52"/>
      <c r="E3" s="52"/>
      <c r="F3" s="52"/>
    </row>
    <row r="4" spans="2:6" ht="15.75">
      <c r="B4" s="1654" t="s">
        <v>1234</v>
      </c>
      <c r="C4" s="1654"/>
      <c r="D4" s="15"/>
      <c r="E4" s="15"/>
      <c r="F4" s="15"/>
    </row>
    <row r="5" spans="2:3" ht="12.75">
      <c r="B5" s="99"/>
      <c r="C5" s="100"/>
    </row>
    <row r="6" spans="2:3" ht="13.5" thickBot="1">
      <c r="B6" s="99"/>
      <c r="C6" s="101" t="s">
        <v>9</v>
      </c>
    </row>
    <row r="7" spans="1:3" ht="12.75">
      <c r="A7" s="1578" t="s">
        <v>801</v>
      </c>
      <c r="B7" s="1658" t="s">
        <v>258</v>
      </c>
      <c r="C7" s="1660" t="s">
        <v>259</v>
      </c>
    </row>
    <row r="8" spans="1:3" ht="13.5" thickBot="1">
      <c r="A8" s="1644"/>
      <c r="B8" s="1659"/>
      <c r="C8" s="1661"/>
    </row>
    <row r="9" spans="1:3" ht="13.5" thickBot="1">
      <c r="A9" s="708" t="s">
        <v>907</v>
      </c>
      <c r="B9" s="822" t="s">
        <v>803</v>
      </c>
      <c r="C9" s="834" t="s">
        <v>804</v>
      </c>
    </row>
    <row r="10" spans="1:3" ht="15.75">
      <c r="A10" s="723" t="s">
        <v>806</v>
      </c>
      <c r="B10" s="882" t="s">
        <v>260</v>
      </c>
      <c r="C10" s="304"/>
    </row>
    <row r="11" spans="1:3" ht="15.75">
      <c r="A11" s="553" t="s">
        <v>807</v>
      </c>
      <c r="B11" s="882" t="s">
        <v>504</v>
      </c>
      <c r="C11" s="304"/>
    </row>
    <row r="12" spans="1:3" ht="15.75">
      <c r="A12" s="552" t="s">
        <v>808</v>
      </c>
      <c r="B12" s="882" t="s">
        <v>505</v>
      </c>
      <c r="C12" s="304"/>
    </row>
    <row r="13" spans="1:3" ht="15.75">
      <c r="A13" s="552" t="s">
        <v>809</v>
      </c>
      <c r="B13" s="882" t="s">
        <v>506</v>
      </c>
      <c r="C13" s="304"/>
    </row>
    <row r="14" spans="1:3" ht="15.75">
      <c r="A14" s="552" t="s">
        <v>810</v>
      </c>
      <c r="B14" s="883" t="s">
        <v>261</v>
      </c>
      <c r="C14" s="305"/>
    </row>
    <row r="15" spans="1:3" ht="15.75">
      <c r="A15" s="552" t="s">
        <v>811</v>
      </c>
      <c r="B15" s="884" t="s">
        <v>262</v>
      </c>
      <c r="C15" s="306">
        <v>1000</v>
      </c>
    </row>
    <row r="16" spans="1:3" ht="15.75">
      <c r="A16" s="552" t="s">
        <v>812</v>
      </c>
      <c r="B16" s="883" t="s">
        <v>507</v>
      </c>
      <c r="C16" s="306"/>
    </row>
    <row r="17" spans="1:3" ht="15.75">
      <c r="A17" s="552" t="s">
        <v>813</v>
      </c>
      <c r="B17" s="885" t="s">
        <v>508</v>
      </c>
      <c r="C17" s="306">
        <v>6000</v>
      </c>
    </row>
    <row r="18" spans="1:3" ht="15.75">
      <c r="A18" s="552" t="s">
        <v>814</v>
      </c>
      <c r="B18" s="885" t="s">
        <v>509</v>
      </c>
      <c r="C18" s="306">
        <v>5000</v>
      </c>
    </row>
    <row r="19" spans="1:3" ht="15.75">
      <c r="A19" s="552" t="s">
        <v>815</v>
      </c>
      <c r="B19" s="885" t="s">
        <v>510</v>
      </c>
      <c r="C19" s="306">
        <v>2000</v>
      </c>
    </row>
    <row r="20" spans="1:3" ht="15.75">
      <c r="A20" s="552" t="s">
        <v>816</v>
      </c>
      <c r="B20" s="885" t="s">
        <v>263</v>
      </c>
      <c r="C20" s="306"/>
    </row>
    <row r="21" spans="1:3" ht="17.25" customHeight="1">
      <c r="A21" s="552" t="s">
        <v>817</v>
      </c>
      <c r="B21" s="886" t="s">
        <v>264</v>
      </c>
      <c r="C21" s="306"/>
    </row>
    <row r="22" spans="1:3" ht="16.5" customHeight="1">
      <c r="A22" s="552" t="s">
        <v>818</v>
      </c>
      <c r="B22" s="886" t="s">
        <v>265</v>
      </c>
      <c r="C22" s="306"/>
    </row>
    <row r="23" spans="1:3" ht="26.25">
      <c r="A23" s="552" t="s">
        <v>819</v>
      </c>
      <c r="B23" s="886" t="s">
        <v>266</v>
      </c>
      <c r="C23" s="306"/>
    </row>
    <row r="24" spans="1:3" ht="15.75">
      <c r="A24" s="552" t="s">
        <v>820</v>
      </c>
      <c r="B24" s="886" t="s">
        <v>267</v>
      </c>
      <c r="C24" s="306"/>
    </row>
    <row r="25" spans="1:3" ht="16.5" thickBot="1">
      <c r="A25" s="570" t="s">
        <v>821</v>
      </c>
      <c r="B25" s="887" t="s">
        <v>268</v>
      </c>
      <c r="C25" s="307">
        <f>SUM(C10:C24)</f>
        <v>14000</v>
      </c>
    </row>
    <row r="26" spans="2:3" ht="12.75">
      <c r="B26" s="97"/>
      <c r="C26" s="97"/>
    </row>
    <row r="27" spans="2:3" ht="12.75">
      <c r="B27" s="1657" t="s">
        <v>269</v>
      </c>
      <c r="C27" s="1657"/>
    </row>
    <row r="28" spans="2:3" ht="12.75">
      <c r="B28" s="1657" t="s">
        <v>270</v>
      </c>
      <c r="C28" s="1657"/>
    </row>
    <row r="29" spans="2:3" ht="13.5" customHeight="1">
      <c r="B29" s="1657" t="s">
        <v>271</v>
      </c>
      <c r="C29" s="1657"/>
    </row>
    <row r="30" spans="2:3" ht="13.5" customHeight="1">
      <c r="B30" s="102"/>
      <c r="C30" s="102"/>
    </row>
    <row r="31" spans="2:3" ht="12.75">
      <c r="B31" s="97"/>
      <c r="C31" s="97"/>
    </row>
    <row r="32" spans="2:3" ht="12.75">
      <c r="B32" s="97" t="s">
        <v>272</v>
      </c>
      <c r="C32" s="97"/>
    </row>
    <row r="33" spans="2:3" ht="12.75">
      <c r="B33" s="97" t="s">
        <v>273</v>
      </c>
      <c r="C33" s="97"/>
    </row>
    <row r="34" spans="2:3" ht="12.75">
      <c r="B34" s="97"/>
      <c r="C34" s="97"/>
    </row>
    <row r="35" spans="2:3" ht="12.75">
      <c r="B35" s="97"/>
      <c r="C35" s="97"/>
    </row>
    <row r="36" spans="2:3" ht="12.75">
      <c r="B36" s="97"/>
      <c r="C36" s="97"/>
    </row>
  </sheetData>
  <sheetProtection/>
  <mergeCells count="8">
    <mergeCell ref="A7:A8"/>
    <mergeCell ref="B29:C29"/>
    <mergeCell ref="B3:C3"/>
    <mergeCell ref="B4:C4"/>
    <mergeCell ref="B7:B8"/>
    <mergeCell ref="C7:C8"/>
    <mergeCell ref="B27:C27"/>
    <mergeCell ref="B28:C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39" sqref="A1:G39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546" t="s">
        <v>1377</v>
      </c>
      <c r="C1" s="1570"/>
      <c r="D1" s="1570"/>
      <c r="E1" s="1570"/>
      <c r="F1" s="1570"/>
      <c r="G1" s="1570"/>
    </row>
    <row r="2" spans="1:7" ht="15.75">
      <c r="A2" s="1577" t="s">
        <v>278</v>
      </c>
      <c r="B2" s="1545"/>
      <c r="C2" s="1545"/>
      <c r="D2" s="1545"/>
      <c r="E2" s="1545"/>
      <c r="F2" s="1545"/>
      <c r="G2" s="1545"/>
    </row>
    <row r="3" spans="1:7" ht="12.75">
      <c r="A3" s="1569" t="s">
        <v>279</v>
      </c>
      <c r="B3" s="1570"/>
      <c r="C3" s="1570"/>
      <c r="D3" s="1570"/>
      <c r="E3" s="1570"/>
      <c r="F3" s="1570"/>
      <c r="G3" s="1570"/>
    </row>
    <row r="4" spans="1:7" ht="12.75">
      <c r="A4" s="1629" t="s">
        <v>1083</v>
      </c>
      <c r="B4" s="1545"/>
      <c r="C4" s="1545"/>
      <c r="D4" s="1545"/>
      <c r="E4" s="1545"/>
      <c r="F4" s="1545"/>
      <c r="G4" s="1545"/>
    </row>
    <row r="5" spans="2:7" ht="13.5" thickBot="1">
      <c r="B5" s="1"/>
      <c r="C5" s="1"/>
      <c r="D5" s="1"/>
      <c r="E5" s="1"/>
      <c r="F5" s="1"/>
      <c r="G5" s="25" t="s">
        <v>9</v>
      </c>
    </row>
    <row r="6" spans="1:7" ht="13.5" thickBot="1">
      <c r="A6" s="1597" t="s">
        <v>801</v>
      </c>
      <c r="B6" s="1664" t="s">
        <v>280</v>
      </c>
      <c r="C6" s="1666" t="s">
        <v>281</v>
      </c>
      <c r="D6" s="850" t="s">
        <v>282</v>
      </c>
      <c r="E6" s="851" t="s">
        <v>182</v>
      </c>
      <c r="F6" s="850" t="s">
        <v>283</v>
      </c>
      <c r="G6" s="852" t="s">
        <v>284</v>
      </c>
    </row>
    <row r="7" spans="1:7" ht="13.5" thickBot="1">
      <c r="A7" s="1598"/>
      <c r="B7" s="1665"/>
      <c r="C7" s="1665"/>
      <c r="D7" s="283" t="s">
        <v>285</v>
      </c>
      <c r="E7" s="204" t="s">
        <v>286</v>
      </c>
      <c r="F7" s="283" t="s">
        <v>287</v>
      </c>
      <c r="G7" s="853" t="s">
        <v>288</v>
      </c>
    </row>
    <row r="8" spans="1:7" ht="13.5" thickBot="1">
      <c r="A8" s="1598"/>
      <c r="B8" s="1665"/>
      <c r="C8" s="1665"/>
      <c r="D8" s="283" t="s">
        <v>289</v>
      </c>
      <c r="E8" s="204" t="s">
        <v>290</v>
      </c>
      <c r="F8" s="283" t="s">
        <v>290</v>
      </c>
      <c r="G8" s="853" t="s">
        <v>291</v>
      </c>
    </row>
    <row r="9" spans="1:7" ht="13.5" thickBot="1">
      <c r="A9" s="647" t="s">
        <v>907</v>
      </c>
      <c r="B9" s="822" t="s">
        <v>803</v>
      </c>
      <c r="C9" s="834" t="s">
        <v>804</v>
      </c>
      <c r="D9" s="849" t="s">
        <v>805</v>
      </c>
      <c r="E9" s="588" t="s">
        <v>825</v>
      </c>
      <c r="F9" s="849" t="s">
        <v>850</v>
      </c>
      <c r="G9" s="589" t="s">
        <v>851</v>
      </c>
    </row>
    <row r="10" spans="1:7" ht="12.75">
      <c r="A10" s="615" t="s">
        <v>806</v>
      </c>
      <c r="B10" s="37" t="s">
        <v>292</v>
      </c>
      <c r="C10" s="26" t="s">
        <v>1092</v>
      </c>
      <c r="D10" s="27">
        <v>24949</v>
      </c>
      <c r="E10" s="32"/>
      <c r="F10" s="27"/>
      <c r="G10" s="333"/>
    </row>
    <row r="11" spans="1:7" ht="12.75">
      <c r="A11" s="650" t="s">
        <v>807</v>
      </c>
      <c r="B11" s="5" t="s">
        <v>292</v>
      </c>
      <c r="C11" s="286" t="s">
        <v>293</v>
      </c>
      <c r="D11" s="8">
        <v>112605</v>
      </c>
      <c r="E11" s="34"/>
      <c r="F11" s="8"/>
      <c r="G11" s="335"/>
    </row>
    <row r="12" spans="1:7" ht="12.75">
      <c r="A12" s="599" t="s">
        <v>808</v>
      </c>
      <c r="B12" s="5" t="s">
        <v>292</v>
      </c>
      <c r="C12" s="26" t="s">
        <v>294</v>
      </c>
      <c r="D12" s="27">
        <v>33125</v>
      </c>
      <c r="E12" s="32"/>
      <c r="F12" s="27"/>
      <c r="G12" s="333"/>
    </row>
    <row r="13" spans="1:7" ht="12.75">
      <c r="A13" s="599" t="s">
        <v>809</v>
      </c>
      <c r="B13" s="5" t="s">
        <v>292</v>
      </c>
      <c r="C13" s="286" t="s">
        <v>295</v>
      </c>
      <c r="D13" s="8">
        <v>41180</v>
      </c>
      <c r="E13" s="34"/>
      <c r="F13" s="12"/>
      <c r="G13" s="347"/>
    </row>
    <row r="14" spans="1:7" ht="12.75">
      <c r="A14" s="599" t="s">
        <v>810</v>
      </c>
      <c r="B14" s="5" t="s">
        <v>292</v>
      </c>
      <c r="C14" s="286" t="s">
        <v>1084</v>
      </c>
      <c r="D14" s="8">
        <v>500</v>
      </c>
      <c r="E14" s="34"/>
      <c r="F14" s="8"/>
      <c r="G14" s="335"/>
    </row>
    <row r="15" spans="1:7" ht="12.75">
      <c r="A15" s="599" t="s">
        <v>811</v>
      </c>
      <c r="B15" s="5" t="s">
        <v>292</v>
      </c>
      <c r="C15" s="28"/>
      <c r="D15" s="28"/>
      <c r="E15" s="4"/>
      <c r="F15" s="28"/>
      <c r="G15" s="826"/>
    </row>
    <row r="16" spans="1:7" ht="12.75">
      <c r="A16" s="599" t="s">
        <v>812</v>
      </c>
      <c r="B16" s="5" t="s">
        <v>292</v>
      </c>
      <c r="C16" s="286"/>
      <c r="D16" s="8"/>
      <c r="E16" s="34"/>
      <c r="F16" s="8"/>
      <c r="G16" s="335"/>
    </row>
    <row r="17" spans="1:7" ht="12.75">
      <c r="A17" s="599" t="s">
        <v>813</v>
      </c>
      <c r="B17" s="5" t="s">
        <v>292</v>
      </c>
      <c r="C17" s="286"/>
      <c r="D17" s="8"/>
      <c r="E17" s="34"/>
      <c r="F17" s="8"/>
      <c r="G17" s="335"/>
    </row>
    <row r="18" spans="1:7" ht="12.75">
      <c r="A18" s="599" t="s">
        <v>814</v>
      </c>
      <c r="B18" s="5" t="s">
        <v>292</v>
      </c>
      <c r="C18" s="286"/>
      <c r="D18" s="8"/>
      <c r="E18" s="34"/>
      <c r="F18" s="8"/>
      <c r="G18" s="335"/>
    </row>
    <row r="19" spans="1:7" ht="12.75">
      <c r="A19" s="599" t="s">
        <v>815</v>
      </c>
      <c r="B19" s="5" t="s">
        <v>292</v>
      </c>
      <c r="C19" s="28"/>
      <c r="D19" s="28"/>
      <c r="E19" s="4"/>
      <c r="F19" s="28"/>
      <c r="G19" s="826"/>
    </row>
    <row r="20" spans="1:7" ht="12.75">
      <c r="A20" s="599" t="s">
        <v>816</v>
      </c>
      <c r="B20" s="11" t="s">
        <v>1328</v>
      </c>
      <c r="C20" s="286" t="s">
        <v>1329</v>
      </c>
      <c r="D20" s="8">
        <f>'42_sz_ melléklet'!I9</f>
        <v>3005480</v>
      </c>
      <c r="E20" s="34"/>
      <c r="F20" s="8"/>
      <c r="G20" s="335"/>
    </row>
    <row r="21" spans="1:7" ht="13.5" thickBot="1">
      <c r="A21" s="602" t="s">
        <v>817</v>
      </c>
      <c r="B21" s="11"/>
      <c r="C21" s="854"/>
      <c r="D21" s="12"/>
      <c r="E21" s="141"/>
      <c r="F21" s="12"/>
      <c r="G21" s="347"/>
    </row>
    <row r="22" spans="1:7" ht="13.5" thickBot="1">
      <c r="A22" s="726" t="s">
        <v>818</v>
      </c>
      <c r="B22" s="855" t="s">
        <v>40</v>
      </c>
      <c r="C22" s="849" t="s">
        <v>296</v>
      </c>
      <c r="D22" s="144">
        <f>SUM(D10:D21)</f>
        <v>3217839</v>
      </c>
      <c r="E22" s="353">
        <f>SUM(E10:E21)</f>
        <v>0</v>
      </c>
      <c r="F22" s="144">
        <f>SUM(F10:F21)</f>
        <v>0</v>
      </c>
      <c r="G22" s="328">
        <f>SUM(G10:G21)</f>
        <v>0</v>
      </c>
    </row>
    <row r="23" spans="2:7" ht="12.75">
      <c r="B23" s="39"/>
      <c r="C23" s="204"/>
      <c r="D23" s="33"/>
      <c r="E23" s="33"/>
      <c r="F23" s="33"/>
      <c r="G23" s="33"/>
    </row>
    <row r="24" spans="2:7" ht="12.75">
      <c r="B24" s="1546" t="s">
        <v>1378</v>
      </c>
      <c r="C24" s="1570"/>
      <c r="D24" s="1570"/>
      <c r="E24" s="1570"/>
      <c r="F24" s="1570"/>
      <c r="G24" s="1570"/>
    </row>
    <row r="25" spans="1:7" ht="15.75">
      <c r="A25" s="1566" t="s">
        <v>297</v>
      </c>
      <c r="B25" s="1545"/>
      <c r="C25" s="1545"/>
      <c r="D25" s="1545"/>
      <c r="E25" s="1545"/>
      <c r="F25" s="1545"/>
      <c r="G25" s="1545"/>
    </row>
    <row r="26" spans="1:7" ht="12.75">
      <c r="A26" s="1569" t="s">
        <v>298</v>
      </c>
      <c r="B26" s="1545"/>
      <c r="C26" s="1545"/>
      <c r="D26" s="1545"/>
      <c r="E26" s="1545"/>
      <c r="F26" s="1545"/>
      <c r="G26" s="1545"/>
    </row>
    <row r="27" spans="1:7" ht="12.75">
      <c r="A27" s="1569" t="s">
        <v>1085</v>
      </c>
      <c r="B27" s="1570"/>
      <c r="C27" s="1570"/>
      <c r="D27" s="1570"/>
      <c r="E27" s="1570"/>
      <c r="F27" s="1570"/>
      <c r="G27" s="1570"/>
    </row>
    <row r="28" spans="2:7" ht="13.5" thickBot="1">
      <c r="B28" s="1"/>
      <c r="C28" s="44"/>
      <c r="D28" s="44"/>
      <c r="E28" s="44"/>
      <c r="F28" s="1"/>
      <c r="G28" s="25" t="s">
        <v>9</v>
      </c>
    </row>
    <row r="29" spans="1:7" ht="13.5" thickBot="1">
      <c r="A29" s="1597" t="s">
        <v>801</v>
      </c>
      <c r="B29" s="1662" t="s">
        <v>299</v>
      </c>
      <c r="C29" s="1662"/>
      <c r="D29" s="850" t="s">
        <v>300</v>
      </c>
      <c r="E29" s="851" t="s">
        <v>301</v>
      </c>
      <c r="F29" s="850" t="s">
        <v>302</v>
      </c>
      <c r="G29" s="852" t="s">
        <v>303</v>
      </c>
    </row>
    <row r="30" spans="1:7" ht="13.5" thickBot="1">
      <c r="A30" s="1598"/>
      <c r="B30" s="1663"/>
      <c r="C30" s="1663"/>
      <c r="D30" s="283" t="s">
        <v>285</v>
      </c>
      <c r="E30" s="204" t="s">
        <v>304</v>
      </c>
      <c r="F30" s="283" t="s">
        <v>305</v>
      </c>
      <c r="G30" s="853" t="s">
        <v>306</v>
      </c>
    </row>
    <row r="31" spans="1:7" ht="13.5" thickBot="1">
      <c r="A31" s="1598"/>
      <c r="B31" s="1663"/>
      <c r="C31" s="1663"/>
      <c r="D31" s="284" t="s">
        <v>307</v>
      </c>
      <c r="E31" s="285" t="s">
        <v>308</v>
      </c>
      <c r="F31" s="284" t="s">
        <v>290</v>
      </c>
      <c r="G31" s="856" t="s">
        <v>309</v>
      </c>
    </row>
    <row r="32" spans="1:7" ht="13.5" thickBot="1">
      <c r="A32" s="647" t="s">
        <v>907</v>
      </c>
      <c r="B32" s="1667" t="s">
        <v>803</v>
      </c>
      <c r="C32" s="1668"/>
      <c r="D32" s="849" t="s">
        <v>804</v>
      </c>
      <c r="E32" s="588" t="s">
        <v>805</v>
      </c>
      <c r="F32" s="849" t="s">
        <v>825</v>
      </c>
      <c r="G32" s="589" t="s">
        <v>850</v>
      </c>
    </row>
    <row r="33" spans="1:7" ht="12.75">
      <c r="A33" s="615" t="s">
        <v>806</v>
      </c>
      <c r="B33" s="37" t="s">
        <v>1086</v>
      </c>
      <c r="C33" s="290"/>
      <c r="D33" s="27">
        <v>733</v>
      </c>
      <c r="E33" s="32"/>
      <c r="F33" s="27"/>
      <c r="G33" s="333"/>
    </row>
    <row r="34" spans="1:7" ht="12.75">
      <c r="A34" s="650" t="s">
        <v>807</v>
      </c>
      <c r="B34" s="37" t="s">
        <v>1087</v>
      </c>
      <c r="C34" s="290"/>
      <c r="D34" s="27">
        <v>334</v>
      </c>
      <c r="E34" s="32"/>
      <c r="F34" s="27"/>
      <c r="G34" s="333"/>
    </row>
    <row r="35" spans="1:7" ht="12.75">
      <c r="A35" s="599" t="s">
        <v>808</v>
      </c>
      <c r="B35" s="37" t="s">
        <v>1088</v>
      </c>
      <c r="C35" s="290"/>
      <c r="D35" s="27">
        <v>20906</v>
      </c>
      <c r="E35" s="32"/>
      <c r="F35" s="27"/>
      <c r="G35" s="333"/>
    </row>
    <row r="36" spans="1:7" ht="12.75">
      <c r="A36" s="599" t="s">
        <v>809</v>
      </c>
      <c r="B36" s="1222" t="s">
        <v>1089</v>
      </c>
      <c r="C36" s="1223"/>
      <c r="D36" s="145">
        <v>2063</v>
      </c>
      <c r="E36" s="1083"/>
      <c r="F36" s="145"/>
      <c r="G36" s="622"/>
    </row>
    <row r="37" spans="1:7" ht="13.5" thickBot="1">
      <c r="A37" s="602" t="s">
        <v>810</v>
      </c>
      <c r="B37" s="160" t="s">
        <v>1090</v>
      </c>
      <c r="C37" s="292"/>
      <c r="D37" s="31">
        <v>3200</v>
      </c>
      <c r="E37" s="33"/>
      <c r="F37" s="31"/>
      <c r="G37" s="189"/>
    </row>
    <row r="38" spans="1:7" ht="13.5" thickBot="1">
      <c r="A38" s="582" t="s">
        <v>811</v>
      </c>
      <c r="B38" s="603" t="s">
        <v>40</v>
      </c>
      <c r="C38" s="857"/>
      <c r="D38" s="1224">
        <f>SUM(D33:D37)</f>
        <v>27236</v>
      </c>
      <c r="E38" s="1225"/>
      <c r="F38" s="1224"/>
      <c r="G38" s="1226"/>
    </row>
  </sheetData>
  <sheetProtection/>
  <mergeCells count="14">
    <mergeCell ref="B32:C32"/>
    <mergeCell ref="B1:G1"/>
    <mergeCell ref="B24:G24"/>
    <mergeCell ref="A25:G25"/>
    <mergeCell ref="A26:G26"/>
    <mergeCell ref="A27:G27"/>
    <mergeCell ref="A3:G3"/>
    <mergeCell ref="B29:C31"/>
    <mergeCell ref="B6:B8"/>
    <mergeCell ref="C6:C8"/>
    <mergeCell ref="A2:G2"/>
    <mergeCell ref="A4:G4"/>
    <mergeCell ref="A6:A8"/>
    <mergeCell ref="A29:A3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selection activeCell="A47" sqref="A1:N47"/>
    </sheetView>
  </sheetViews>
  <sheetFormatPr defaultColWidth="9.140625" defaultRowHeight="12.75"/>
  <cols>
    <col min="1" max="1" width="6.57421875" style="0" customWidth="1"/>
    <col min="2" max="2" width="13.57421875" style="0" customWidth="1"/>
    <col min="3" max="3" width="16.57421875" style="0" customWidth="1"/>
    <col min="4" max="4" width="9.57421875" style="0" customWidth="1"/>
    <col min="11" max="11" width="9.57421875" style="0" customWidth="1"/>
  </cols>
  <sheetData>
    <row r="2" spans="1:13" ht="12.75">
      <c r="A2" s="1546" t="s">
        <v>1379</v>
      </c>
      <c r="B2" s="1570"/>
      <c r="C2" s="1570"/>
      <c r="D2" s="1570"/>
      <c r="E2" s="1570"/>
      <c r="F2" s="1570"/>
      <c r="G2" s="1"/>
      <c r="H2" s="1"/>
      <c r="I2" s="1"/>
      <c r="J2" s="1"/>
      <c r="K2" s="105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671" t="s">
        <v>250</v>
      </c>
      <c r="C4" s="1671"/>
      <c r="D4" s="1671"/>
      <c r="E4" s="1671"/>
      <c r="F4" s="1671"/>
      <c r="G4" s="1671"/>
      <c r="H4" s="1671"/>
      <c r="I4" s="1671"/>
      <c r="J4" s="1671"/>
      <c r="K4" s="1671"/>
      <c r="L4" s="1671"/>
      <c r="M4" s="1671"/>
    </row>
    <row r="5" spans="2:13" ht="18.75">
      <c r="B5" s="1672" t="s">
        <v>310</v>
      </c>
      <c r="C5" s="1672"/>
      <c r="D5" s="1672"/>
      <c r="E5" s="1672"/>
      <c r="F5" s="1672"/>
      <c r="G5" s="1672"/>
      <c r="H5" s="1672"/>
      <c r="I5" s="1672"/>
      <c r="J5" s="1672"/>
      <c r="K5" s="1672"/>
      <c r="L5" s="1672"/>
      <c r="M5" s="1672"/>
    </row>
    <row r="6" spans="2:6" ht="18">
      <c r="B6" s="106"/>
      <c r="C6" s="106"/>
      <c r="D6" s="106"/>
      <c r="E6" s="106"/>
      <c r="F6" s="106"/>
    </row>
    <row r="7" spans="2:6" ht="18">
      <c r="B7" s="106"/>
      <c r="C7" s="106"/>
      <c r="D7" s="106"/>
      <c r="E7" s="106"/>
      <c r="F7" s="106"/>
    </row>
    <row r="8" spans="8:12" ht="13.5" thickBot="1">
      <c r="H8" s="1673"/>
      <c r="I8" s="1673"/>
      <c r="J8" s="1673"/>
      <c r="K8" s="1673"/>
      <c r="L8" s="51" t="s">
        <v>115</v>
      </c>
    </row>
    <row r="9" spans="1:14" ht="15" thickBot="1">
      <c r="A9" s="1578" t="s">
        <v>801</v>
      </c>
      <c r="B9" s="1681" t="s">
        <v>311</v>
      </c>
      <c r="C9" s="1683" t="s">
        <v>281</v>
      </c>
      <c r="D9" s="1678" t="s">
        <v>1091</v>
      </c>
      <c r="E9" s="1669" t="s">
        <v>312</v>
      </c>
      <c r="F9" s="1669"/>
      <c r="G9" s="1669"/>
      <c r="H9" s="1669"/>
      <c r="I9" s="1669"/>
      <c r="J9" s="1669"/>
      <c r="K9" s="1669"/>
      <c r="L9" s="1669"/>
      <c r="M9" s="1669"/>
      <c r="N9" s="1670"/>
    </row>
    <row r="10" spans="1:14" ht="32.25" customHeight="1" thickBot="1">
      <c r="A10" s="1644"/>
      <c r="B10" s="1682"/>
      <c r="C10" s="1684"/>
      <c r="D10" s="1685"/>
      <c r="E10" s="858" t="s">
        <v>338</v>
      </c>
      <c r="F10" s="858" t="s">
        <v>339</v>
      </c>
      <c r="G10" s="858" t="s">
        <v>340</v>
      </c>
      <c r="H10" s="858" t="s">
        <v>341</v>
      </c>
      <c r="I10" s="858" t="s">
        <v>342</v>
      </c>
      <c r="J10" s="858" t="s">
        <v>343</v>
      </c>
      <c r="K10" s="858" t="s">
        <v>344</v>
      </c>
      <c r="L10" s="858" t="s">
        <v>345</v>
      </c>
      <c r="M10" s="858" t="s">
        <v>346</v>
      </c>
      <c r="N10" s="1228" t="s">
        <v>347</v>
      </c>
    </row>
    <row r="11" spans="1:14" ht="18" customHeight="1" thickBot="1">
      <c r="A11" s="708" t="s">
        <v>802</v>
      </c>
      <c r="B11" s="647" t="s">
        <v>908</v>
      </c>
      <c r="C11" s="647" t="s">
        <v>804</v>
      </c>
      <c r="D11" s="647" t="s">
        <v>805</v>
      </c>
      <c r="E11" s="647" t="s">
        <v>850</v>
      </c>
      <c r="F11" s="647" t="s">
        <v>850</v>
      </c>
      <c r="G11" s="647" t="s">
        <v>851</v>
      </c>
      <c r="H11" s="647" t="s">
        <v>904</v>
      </c>
      <c r="I11" s="647" t="s">
        <v>905</v>
      </c>
      <c r="J11" s="647" t="s">
        <v>906</v>
      </c>
      <c r="K11" s="647" t="s">
        <v>909</v>
      </c>
      <c r="L11" s="647" t="s">
        <v>910</v>
      </c>
      <c r="M11" s="865" t="s">
        <v>911</v>
      </c>
      <c r="N11" s="824" t="s">
        <v>912</v>
      </c>
    </row>
    <row r="12" spans="1:14" ht="31.5" customHeight="1">
      <c r="A12" s="724" t="s">
        <v>806</v>
      </c>
      <c r="B12" s="215" t="s">
        <v>313</v>
      </c>
      <c r="C12" s="859" t="s">
        <v>314</v>
      </c>
      <c r="D12" s="109">
        <f>'  46 47_sz_ melléklet'!D10</f>
        <v>24949</v>
      </c>
      <c r="E12" s="860">
        <v>0</v>
      </c>
      <c r="F12" s="860">
        <v>1074</v>
      </c>
      <c r="G12" s="860">
        <v>1432</v>
      </c>
      <c r="H12" s="861">
        <v>1432</v>
      </c>
      <c r="I12" s="860">
        <v>1432</v>
      </c>
      <c r="J12" s="862">
        <v>1432</v>
      </c>
      <c r="K12" s="863">
        <v>1432</v>
      </c>
      <c r="L12" s="864">
        <v>1432</v>
      </c>
      <c r="M12" s="866">
        <v>1432</v>
      </c>
      <c r="N12" s="877">
        <v>1432</v>
      </c>
    </row>
    <row r="13" spans="1:14" ht="31.5" customHeight="1">
      <c r="A13" s="599" t="s">
        <v>807</v>
      </c>
      <c r="B13" s="107" t="s">
        <v>313</v>
      </c>
      <c r="C13" s="108" t="s">
        <v>315</v>
      </c>
      <c r="D13" s="113">
        <f>'  46 47_sz_ melléklet'!D12</f>
        <v>33125</v>
      </c>
      <c r="E13" s="110">
        <v>2500</v>
      </c>
      <c r="F13" s="110">
        <v>2500</v>
      </c>
      <c r="G13" s="110">
        <v>2500</v>
      </c>
      <c r="H13" s="111">
        <v>2500</v>
      </c>
      <c r="I13" s="110">
        <v>2500</v>
      </c>
      <c r="J13" s="112">
        <v>2500</v>
      </c>
      <c r="K13" s="118">
        <v>2500</v>
      </c>
      <c r="L13" s="280">
        <v>2500</v>
      </c>
      <c r="M13" s="867">
        <v>2500</v>
      </c>
      <c r="N13" s="877">
        <v>2500</v>
      </c>
    </row>
    <row r="14" spans="1:14" ht="26.25" customHeight="1">
      <c r="A14" s="599" t="s">
        <v>808</v>
      </c>
      <c r="B14" s="107" t="s">
        <v>313</v>
      </c>
      <c r="C14" s="108" t="s">
        <v>316</v>
      </c>
      <c r="D14" s="113">
        <f>'  46 47_sz_ melléklet'!D11</f>
        <v>112605</v>
      </c>
      <c r="E14" s="110">
        <v>8696</v>
      </c>
      <c r="F14" s="110">
        <v>8696</v>
      </c>
      <c r="G14" s="110">
        <v>8696</v>
      </c>
      <c r="H14" s="111">
        <v>8696</v>
      </c>
      <c r="I14" s="110">
        <v>8696</v>
      </c>
      <c r="J14" s="112">
        <v>8696</v>
      </c>
      <c r="K14" s="118">
        <v>8696</v>
      </c>
      <c r="L14" s="281">
        <v>8696</v>
      </c>
      <c r="M14" s="868">
        <v>8696</v>
      </c>
      <c r="N14" s="878">
        <v>8696</v>
      </c>
    </row>
    <row r="15" spans="1:14" ht="24.75" customHeight="1">
      <c r="A15" s="599" t="s">
        <v>809</v>
      </c>
      <c r="B15" s="114" t="s">
        <v>317</v>
      </c>
      <c r="C15" s="108" t="s">
        <v>318</v>
      </c>
      <c r="D15" s="113">
        <f>'  46 47_sz_ melléklet'!D14</f>
        <v>500</v>
      </c>
      <c r="E15" s="110">
        <v>468</v>
      </c>
      <c r="F15" s="110">
        <v>32</v>
      </c>
      <c r="G15" s="110">
        <v>0</v>
      </c>
      <c r="H15" s="111">
        <v>0</v>
      </c>
      <c r="I15" s="110">
        <v>0</v>
      </c>
      <c r="J15" s="112">
        <v>0</v>
      </c>
      <c r="K15" s="118">
        <v>0</v>
      </c>
      <c r="L15" s="281">
        <v>0</v>
      </c>
      <c r="M15" s="868">
        <v>0</v>
      </c>
      <c r="N15" s="877">
        <v>0</v>
      </c>
    </row>
    <row r="16" spans="1:14" ht="18.75" customHeight="1">
      <c r="A16" s="599" t="s">
        <v>810</v>
      </c>
      <c r="B16" s="107" t="s">
        <v>313</v>
      </c>
      <c r="C16" s="108" t="s">
        <v>319</v>
      </c>
      <c r="D16" s="113">
        <f>'  46 47_sz_ melléklet'!D13</f>
        <v>41180</v>
      </c>
      <c r="E16" s="110">
        <v>2940</v>
      </c>
      <c r="F16" s="110">
        <v>2940</v>
      </c>
      <c r="G16" s="110">
        <v>2940</v>
      </c>
      <c r="H16" s="110">
        <v>2940</v>
      </c>
      <c r="I16" s="110">
        <v>2940</v>
      </c>
      <c r="J16" s="110">
        <v>2940</v>
      </c>
      <c r="K16" s="111">
        <v>2940</v>
      </c>
      <c r="L16" s="281">
        <v>2940</v>
      </c>
      <c r="M16" s="868">
        <v>2940</v>
      </c>
      <c r="N16" s="878">
        <v>2940</v>
      </c>
    </row>
    <row r="17" spans="1:14" ht="19.5" customHeight="1" thickBot="1">
      <c r="A17" s="602" t="s">
        <v>811</v>
      </c>
      <c r="B17" s="107" t="s">
        <v>320</v>
      </c>
      <c r="C17" s="108" t="s">
        <v>321</v>
      </c>
      <c r="D17" s="113">
        <v>3005480</v>
      </c>
      <c r="E17" s="110">
        <v>0</v>
      </c>
      <c r="F17" s="34">
        <v>69113</v>
      </c>
      <c r="G17" s="47">
        <v>76792</v>
      </c>
      <c r="H17" s="34">
        <v>85796</v>
      </c>
      <c r="I17" s="47">
        <v>85796</v>
      </c>
      <c r="J17" s="47">
        <v>88443</v>
      </c>
      <c r="K17" s="34">
        <v>94798</v>
      </c>
      <c r="L17" s="282">
        <v>96387</v>
      </c>
      <c r="M17" s="335">
        <v>97446</v>
      </c>
      <c r="N17" s="335">
        <v>102213</v>
      </c>
    </row>
    <row r="18" spans="1:14" ht="24.75" customHeight="1" thickBot="1">
      <c r="A18" s="582" t="s">
        <v>812</v>
      </c>
      <c r="B18" s="875" t="s">
        <v>96</v>
      </c>
      <c r="C18" s="869" t="s">
        <v>322</v>
      </c>
      <c r="D18" s="870">
        <f>SUM(D12:D17)</f>
        <v>3217839</v>
      </c>
      <c r="E18" s="871">
        <f>SUM(E12:E17)</f>
        <v>14604</v>
      </c>
      <c r="F18" s="871">
        <f>SUM(F12:F17)</f>
        <v>84355</v>
      </c>
      <c r="G18" s="871">
        <f aca="true" t="shared" si="0" ref="G18:L18">SUM(G12:G17)</f>
        <v>92360</v>
      </c>
      <c r="H18" s="871">
        <f t="shared" si="0"/>
        <v>101364</v>
      </c>
      <c r="I18" s="871">
        <f t="shared" si="0"/>
        <v>101364</v>
      </c>
      <c r="J18" s="871">
        <f t="shared" si="0"/>
        <v>104011</v>
      </c>
      <c r="K18" s="871">
        <f t="shared" si="0"/>
        <v>110366</v>
      </c>
      <c r="L18" s="872">
        <f t="shared" si="0"/>
        <v>111955</v>
      </c>
      <c r="M18" s="873">
        <f>SUM(M12:M17)</f>
        <v>113014</v>
      </c>
      <c r="N18" s="874">
        <f>SUM(N12:N17)</f>
        <v>117781</v>
      </c>
    </row>
    <row r="19" spans="2:13" ht="14.25">
      <c r="B19" s="48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2:13" ht="14.25">
      <c r="B20" s="48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2:13" ht="14.25">
      <c r="B21" s="48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2:13" ht="14.25">
      <c r="B22" s="48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2:13" ht="14.25">
      <c r="B23" s="48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2:13" ht="14.25">
      <c r="B24" s="48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2:13" ht="14.25">
      <c r="B25" s="48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2:13" ht="14.25">
      <c r="B26" s="48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7" spans="2:13" ht="14.25">
      <c r="B27" s="48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2:13" ht="14.25">
      <c r="B28" s="48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 ht="14.25">
      <c r="A29" s="1546" t="s">
        <v>1379</v>
      </c>
      <c r="B29" s="1570"/>
      <c r="C29" s="1570"/>
      <c r="D29" s="1570"/>
      <c r="E29" s="1570"/>
      <c r="F29" s="1570"/>
      <c r="G29" s="116"/>
      <c r="H29" s="116"/>
      <c r="I29" s="116"/>
      <c r="J29" s="116"/>
      <c r="K29" s="116"/>
      <c r="L29" s="116"/>
      <c r="M29" s="116"/>
    </row>
    <row r="30" spans="2:14" ht="12.75">
      <c r="B30" s="1568">
        <v>2</v>
      </c>
      <c r="C30" s="1568"/>
      <c r="D30" s="1568"/>
      <c r="E30" s="1568"/>
      <c r="F30" s="1568"/>
      <c r="G30" s="1568"/>
      <c r="H30" s="1568"/>
      <c r="I30" s="1568"/>
      <c r="J30" s="1568"/>
      <c r="K30" s="1568"/>
      <c r="L30" s="1568"/>
      <c r="M30" s="1568"/>
      <c r="N30" s="1568"/>
    </row>
    <row r="31" spans="2:13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671" t="s">
        <v>250</v>
      </c>
      <c r="C34" s="1671"/>
      <c r="D34" s="1671"/>
      <c r="E34" s="1671"/>
      <c r="F34" s="1671"/>
      <c r="G34" s="1671"/>
      <c r="H34" s="1671"/>
      <c r="I34" s="1671"/>
      <c r="J34" s="1671"/>
      <c r="K34" s="1671"/>
      <c r="L34" s="1671"/>
      <c r="M34" s="1671"/>
    </row>
    <row r="35" spans="2:13" ht="18.75">
      <c r="B35" s="1672" t="s">
        <v>310</v>
      </c>
      <c r="C35" s="1672"/>
      <c r="D35" s="1672"/>
      <c r="E35" s="1672"/>
      <c r="F35" s="1672"/>
      <c r="G35" s="1672"/>
      <c r="H35" s="1672"/>
      <c r="I35" s="1672"/>
      <c r="J35" s="1672"/>
      <c r="K35" s="1672"/>
      <c r="L35" s="1672"/>
      <c r="M35" s="1672"/>
    </row>
    <row r="36" spans="2:6" ht="18">
      <c r="B36" s="106"/>
      <c r="C36" s="106"/>
      <c r="D36" s="106"/>
      <c r="E36" s="106"/>
      <c r="F36" s="106"/>
    </row>
    <row r="37" spans="8:14" ht="13.5" thickBot="1">
      <c r="H37" s="1673"/>
      <c r="I37" s="1673"/>
      <c r="J37" s="1673"/>
      <c r="K37" s="1673"/>
      <c r="L37" s="51" t="s">
        <v>115</v>
      </c>
      <c r="N37" s="18"/>
    </row>
    <row r="38" spans="1:14" ht="15" thickBot="1">
      <c r="A38" s="1578" t="s">
        <v>801</v>
      </c>
      <c r="B38" s="1674" t="s">
        <v>311</v>
      </c>
      <c r="C38" s="1676" t="s">
        <v>281</v>
      </c>
      <c r="D38" s="1678" t="s">
        <v>1091</v>
      </c>
      <c r="E38" s="1679" t="s">
        <v>312</v>
      </c>
      <c r="F38" s="1679"/>
      <c r="G38" s="1679"/>
      <c r="H38" s="1679"/>
      <c r="I38" s="1679"/>
      <c r="J38" s="1679"/>
      <c r="K38" s="1679"/>
      <c r="L38" s="1679"/>
      <c r="M38" s="1679"/>
      <c r="N38" s="1680"/>
    </row>
    <row r="39" spans="1:14" ht="35.25" customHeight="1" thickBot="1">
      <c r="A39" s="1644"/>
      <c r="B39" s="1675"/>
      <c r="C39" s="1677"/>
      <c r="D39" s="1677"/>
      <c r="E39" s="117" t="s">
        <v>352</v>
      </c>
      <c r="F39" s="117" t="s">
        <v>353</v>
      </c>
      <c r="G39" s="117" t="s">
        <v>354</v>
      </c>
      <c r="H39" s="117" t="s">
        <v>355</v>
      </c>
      <c r="I39" s="117" t="s">
        <v>356</v>
      </c>
      <c r="J39" s="117" t="s">
        <v>357</v>
      </c>
      <c r="K39" s="117" t="s">
        <v>358</v>
      </c>
      <c r="L39" s="117" t="s">
        <v>323</v>
      </c>
      <c r="M39" s="117" t="s">
        <v>324</v>
      </c>
      <c r="N39" s="876" t="s">
        <v>325</v>
      </c>
    </row>
    <row r="40" spans="1:14" ht="18" customHeight="1" thickBot="1">
      <c r="A40" s="708" t="s">
        <v>802</v>
      </c>
      <c r="B40" s="647" t="s">
        <v>908</v>
      </c>
      <c r="C40" s="647" t="s">
        <v>804</v>
      </c>
      <c r="D40" s="647" t="s">
        <v>805</v>
      </c>
      <c r="E40" s="647" t="s">
        <v>825</v>
      </c>
      <c r="F40" s="647" t="s">
        <v>850</v>
      </c>
      <c r="G40" s="647" t="s">
        <v>851</v>
      </c>
      <c r="H40" s="647" t="s">
        <v>904</v>
      </c>
      <c r="I40" s="647" t="s">
        <v>905</v>
      </c>
      <c r="J40" s="647" t="s">
        <v>906</v>
      </c>
      <c r="K40" s="647" t="s">
        <v>909</v>
      </c>
      <c r="L40" s="647" t="s">
        <v>910</v>
      </c>
      <c r="M40" s="865" t="s">
        <v>911</v>
      </c>
      <c r="N40" s="824" t="s">
        <v>912</v>
      </c>
    </row>
    <row r="41" spans="1:14" ht="39" customHeight="1">
      <c r="A41" s="724" t="s">
        <v>806</v>
      </c>
      <c r="B41" s="271" t="s">
        <v>313</v>
      </c>
      <c r="C41" s="108" t="s">
        <v>314</v>
      </c>
      <c r="D41" s="113">
        <f aca="true" t="shared" si="1" ref="D41:D46">D12</f>
        <v>24949</v>
      </c>
      <c r="E41" s="110">
        <v>1432</v>
      </c>
      <c r="F41" s="110">
        <v>1432</v>
      </c>
      <c r="G41" s="110">
        <v>1432</v>
      </c>
      <c r="H41" s="110">
        <v>1432</v>
      </c>
      <c r="I41" s="110">
        <v>1432</v>
      </c>
      <c r="J41" s="110">
        <v>1432</v>
      </c>
      <c r="K41" s="111">
        <v>1432</v>
      </c>
      <c r="L41" s="269">
        <v>1432</v>
      </c>
      <c r="M41" s="877">
        <v>963</v>
      </c>
      <c r="N41" s="877"/>
    </row>
    <row r="42" spans="1:14" ht="33" customHeight="1">
      <c r="A42" s="599" t="s">
        <v>807</v>
      </c>
      <c r="B42" s="271" t="s">
        <v>313</v>
      </c>
      <c r="C42" s="108" t="s">
        <v>315</v>
      </c>
      <c r="D42" s="113">
        <f t="shared" si="1"/>
        <v>33125</v>
      </c>
      <c r="E42" s="110">
        <v>2500</v>
      </c>
      <c r="F42" s="110">
        <v>2500</v>
      </c>
      <c r="G42" s="110">
        <v>2500</v>
      </c>
      <c r="H42" s="111">
        <v>625</v>
      </c>
      <c r="I42" s="110">
        <v>0</v>
      </c>
      <c r="J42" s="110">
        <v>0</v>
      </c>
      <c r="K42" s="111">
        <v>0</v>
      </c>
      <c r="L42" s="270">
        <v>0</v>
      </c>
      <c r="M42" s="878">
        <v>0</v>
      </c>
      <c r="N42" s="878"/>
    </row>
    <row r="43" spans="1:14" ht="27" customHeight="1">
      <c r="A43" s="599" t="s">
        <v>808</v>
      </c>
      <c r="B43" s="271" t="s">
        <v>313</v>
      </c>
      <c r="C43" s="108" t="s">
        <v>316</v>
      </c>
      <c r="D43" s="113">
        <f t="shared" si="1"/>
        <v>112605</v>
      </c>
      <c r="E43" s="113">
        <v>8696</v>
      </c>
      <c r="F43" s="113">
        <v>8696</v>
      </c>
      <c r="G43" s="113">
        <v>8253</v>
      </c>
      <c r="H43" s="118">
        <v>0</v>
      </c>
      <c r="I43" s="113">
        <v>0</v>
      </c>
      <c r="J43" s="113">
        <v>0</v>
      </c>
      <c r="K43" s="118">
        <v>0</v>
      </c>
      <c r="L43" s="270">
        <v>0</v>
      </c>
      <c r="M43" s="878">
        <v>0</v>
      </c>
      <c r="N43" s="878"/>
    </row>
    <row r="44" spans="1:14" ht="30.75" customHeight="1">
      <c r="A44" s="599" t="s">
        <v>809</v>
      </c>
      <c r="B44" s="272" t="s">
        <v>317</v>
      </c>
      <c r="C44" s="108" t="s">
        <v>318</v>
      </c>
      <c r="D44" s="113">
        <f t="shared" si="1"/>
        <v>500</v>
      </c>
      <c r="E44" s="110">
        <v>0</v>
      </c>
      <c r="F44" s="110">
        <v>0</v>
      </c>
      <c r="G44" s="110">
        <v>0</v>
      </c>
      <c r="H44" s="111">
        <v>0</v>
      </c>
      <c r="I44" s="110">
        <v>0</v>
      </c>
      <c r="J44" s="110">
        <v>0</v>
      </c>
      <c r="K44" s="111">
        <v>0</v>
      </c>
      <c r="L44" s="270">
        <v>0</v>
      </c>
      <c r="M44" s="878">
        <v>0</v>
      </c>
      <c r="N44" s="878"/>
    </row>
    <row r="45" spans="1:14" ht="21" customHeight="1">
      <c r="A45" s="599" t="s">
        <v>810</v>
      </c>
      <c r="B45" s="271" t="s">
        <v>313</v>
      </c>
      <c r="C45" s="108" t="s">
        <v>319</v>
      </c>
      <c r="D45" s="113">
        <f t="shared" si="1"/>
        <v>41180</v>
      </c>
      <c r="E45" s="113">
        <v>2940</v>
      </c>
      <c r="F45" s="113">
        <v>2940</v>
      </c>
      <c r="G45" s="113">
        <v>2940</v>
      </c>
      <c r="H45" s="118">
        <v>2960</v>
      </c>
      <c r="I45" s="113">
        <v>0</v>
      </c>
      <c r="J45" s="113">
        <v>0</v>
      </c>
      <c r="K45" s="118">
        <v>0</v>
      </c>
      <c r="L45" s="270">
        <v>0</v>
      </c>
      <c r="M45" s="878">
        <v>0</v>
      </c>
      <c r="N45" s="878"/>
    </row>
    <row r="46" spans="1:14" ht="21.75" customHeight="1" thickBot="1">
      <c r="A46" s="602" t="s">
        <v>811</v>
      </c>
      <c r="B46" s="271" t="s">
        <v>320</v>
      </c>
      <c r="C46" s="108" t="s">
        <v>321</v>
      </c>
      <c r="D46" s="113">
        <f t="shared" si="1"/>
        <v>3005480</v>
      </c>
      <c r="E46" s="47">
        <v>105390</v>
      </c>
      <c r="F46" s="47">
        <v>108038</v>
      </c>
      <c r="G46" s="34">
        <v>112804</v>
      </c>
      <c r="H46" s="47">
        <v>118630</v>
      </c>
      <c r="I46" s="47">
        <v>126045</v>
      </c>
      <c r="J46" s="47">
        <v>67789</v>
      </c>
      <c r="K46" s="34">
        <v>1570000</v>
      </c>
      <c r="L46" s="270">
        <v>0</v>
      </c>
      <c r="M46" s="878">
        <v>0</v>
      </c>
      <c r="N46" s="878"/>
    </row>
    <row r="47" spans="1:14" ht="23.25" customHeight="1" thickBot="1">
      <c r="A47" s="582" t="s">
        <v>812</v>
      </c>
      <c r="B47" s="273" t="s">
        <v>96</v>
      </c>
      <c r="C47" s="274" t="s">
        <v>322</v>
      </c>
      <c r="D47" s="275">
        <f>SUM(D41:D46)</f>
        <v>3217839</v>
      </c>
      <c r="E47" s="276">
        <f aca="true" t="shared" si="2" ref="E47:M47">SUM(E41:E46)</f>
        <v>120958</v>
      </c>
      <c r="F47" s="276">
        <f t="shared" si="2"/>
        <v>123606</v>
      </c>
      <c r="G47" s="276">
        <f t="shared" si="2"/>
        <v>127929</v>
      </c>
      <c r="H47" s="276">
        <f t="shared" si="2"/>
        <v>123647</v>
      </c>
      <c r="I47" s="276">
        <f t="shared" si="2"/>
        <v>127477</v>
      </c>
      <c r="J47" s="276">
        <f t="shared" si="2"/>
        <v>69221</v>
      </c>
      <c r="K47" s="1227">
        <f t="shared" si="2"/>
        <v>1571432</v>
      </c>
      <c r="L47" s="277">
        <f t="shared" si="2"/>
        <v>1432</v>
      </c>
      <c r="M47" s="278">
        <f t="shared" si="2"/>
        <v>963</v>
      </c>
      <c r="N47" s="879">
        <f>SUM(N41:N46)</f>
        <v>0</v>
      </c>
    </row>
    <row r="48" ht="12.75">
      <c r="N48" s="18"/>
    </row>
    <row r="49" ht="12.75">
      <c r="N49" s="18"/>
    </row>
    <row r="50" ht="12.75">
      <c r="N50" s="18"/>
    </row>
    <row r="51" ht="12.75">
      <c r="N51" s="18"/>
    </row>
    <row r="52" ht="12.75">
      <c r="N52" s="18"/>
    </row>
    <row r="53" ht="12.75">
      <c r="N53" s="18"/>
    </row>
    <row r="65" ht="15" customHeight="1"/>
    <row r="66" ht="39" customHeight="1"/>
    <row r="67" ht="19.5" customHeight="1"/>
    <row r="68" ht="38.25" customHeight="1"/>
    <row r="69" ht="34.5" customHeight="1"/>
    <row r="70" ht="29.25" customHeight="1"/>
    <row r="71" ht="29.25" customHeight="1"/>
    <row r="72" ht="21.75" customHeight="1"/>
    <row r="73" ht="24" customHeight="1"/>
    <row r="74" ht="24" customHeight="1"/>
  </sheetData>
  <sheetProtection/>
  <mergeCells count="19">
    <mergeCell ref="A2:F2"/>
    <mergeCell ref="A29:F29"/>
    <mergeCell ref="A38:A39"/>
    <mergeCell ref="A9:A10"/>
    <mergeCell ref="B4:M4"/>
    <mergeCell ref="B5:M5"/>
    <mergeCell ref="H8:K8"/>
    <mergeCell ref="B9:B10"/>
    <mergeCell ref="C9:C10"/>
    <mergeCell ref="D9:D10"/>
    <mergeCell ref="E9:N9"/>
    <mergeCell ref="B30:N30"/>
    <mergeCell ref="B34:M34"/>
    <mergeCell ref="B35:M35"/>
    <mergeCell ref="H37:K37"/>
    <mergeCell ref="B38:B39"/>
    <mergeCell ref="C38:C39"/>
    <mergeCell ref="D38:D39"/>
    <mergeCell ref="E38:N38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6">
      <selection activeCell="D32" sqref="D32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5.28125" style="0" customWidth="1"/>
    <col min="4" max="4" width="15.7109375" style="0" customWidth="1"/>
    <col min="5" max="5" width="15.421875" style="0" customWidth="1"/>
  </cols>
  <sheetData>
    <row r="1" spans="1:6" ht="12.75">
      <c r="A1" s="571" t="s">
        <v>1380</v>
      </c>
      <c r="B1" s="205"/>
      <c r="C1" s="205"/>
      <c r="D1" s="205"/>
      <c r="E1" s="205"/>
      <c r="F1" s="205"/>
    </row>
    <row r="2" spans="2:4" ht="15">
      <c r="B2" s="1"/>
      <c r="C2" s="1"/>
      <c r="D2" s="248"/>
    </row>
    <row r="3" spans="2:4" ht="15.75">
      <c r="B3" s="1596" t="s">
        <v>250</v>
      </c>
      <c r="C3" s="1596"/>
      <c r="D3" s="1596"/>
    </row>
    <row r="4" spans="2:4" ht="15.75">
      <c r="B4" s="1566" t="s">
        <v>329</v>
      </c>
      <c r="C4" s="1566"/>
      <c r="D4" s="1566"/>
    </row>
    <row r="5" spans="2:4" ht="15.75">
      <c r="B5" s="1566" t="s">
        <v>917</v>
      </c>
      <c r="C5" s="1566"/>
      <c r="D5" s="1566"/>
    </row>
    <row r="6" spans="2:4" ht="15.75">
      <c r="B6" s="45"/>
      <c r="C6" s="45"/>
      <c r="D6" s="45"/>
    </row>
    <row r="7" spans="2:4" ht="13.5" thickBot="1">
      <c r="B7" s="1"/>
      <c r="C7" s="1"/>
      <c r="D7" s="77" t="s">
        <v>16</v>
      </c>
    </row>
    <row r="8" spans="1:5" ht="16.5" thickBot="1">
      <c r="A8" s="1578" t="s">
        <v>801</v>
      </c>
      <c r="B8" s="1688" t="s">
        <v>330</v>
      </c>
      <c r="C8" s="1686" t="s">
        <v>331</v>
      </c>
      <c r="D8" s="1687"/>
      <c r="E8" s="1590"/>
    </row>
    <row r="9" spans="1:5" ht="16.5" thickBot="1">
      <c r="A9" s="1644"/>
      <c r="B9" s="1690"/>
      <c r="C9" s="915" t="s">
        <v>1095</v>
      </c>
      <c r="D9" s="1229" t="s">
        <v>1096</v>
      </c>
      <c r="E9" s="1231" t="s">
        <v>379</v>
      </c>
    </row>
    <row r="10" spans="1:5" ht="16.5" thickBot="1">
      <c r="A10" s="647" t="s">
        <v>907</v>
      </c>
      <c r="B10" s="914" t="s">
        <v>803</v>
      </c>
      <c r="C10" s="916" t="s">
        <v>804</v>
      </c>
      <c r="D10" s="588" t="s">
        <v>805</v>
      </c>
      <c r="E10" s="1230" t="s">
        <v>825</v>
      </c>
    </row>
    <row r="11" spans="1:5" ht="15.75">
      <c r="A11" s="724" t="s">
        <v>806</v>
      </c>
      <c r="B11" s="79" t="s">
        <v>260</v>
      </c>
      <c r="C11" s="1393"/>
      <c r="D11" s="1394"/>
      <c r="E11" s="1395"/>
    </row>
    <row r="12" spans="1:5" ht="15.75">
      <c r="A12" s="599" t="s">
        <v>807</v>
      </c>
      <c r="B12" s="79" t="s">
        <v>332</v>
      </c>
      <c r="C12" s="1393">
        <v>1000</v>
      </c>
      <c r="D12" s="1393">
        <v>1000</v>
      </c>
      <c r="E12" s="1396"/>
    </row>
    <row r="13" spans="1:5" ht="15.75">
      <c r="A13" s="599" t="s">
        <v>808</v>
      </c>
      <c r="B13" s="79" t="s">
        <v>1389</v>
      </c>
      <c r="C13" s="1393">
        <v>13000</v>
      </c>
      <c r="D13" s="1393">
        <v>13000</v>
      </c>
      <c r="E13" s="1396"/>
    </row>
    <row r="14" spans="1:5" ht="15.75">
      <c r="A14" s="599" t="s">
        <v>809</v>
      </c>
      <c r="B14" s="79"/>
      <c r="C14" s="1393"/>
      <c r="D14" s="1394"/>
      <c r="E14" s="1396"/>
    </row>
    <row r="15" spans="1:5" ht="15.75">
      <c r="A15" s="599" t="s">
        <v>810</v>
      </c>
      <c r="B15" s="79"/>
      <c r="C15" s="1393"/>
      <c r="D15" s="1394"/>
      <c r="E15" s="1396"/>
    </row>
    <row r="16" spans="1:5" ht="16.5" thickBot="1">
      <c r="A16" s="602" t="s">
        <v>811</v>
      </c>
      <c r="B16" s="55"/>
      <c r="C16" s="1397"/>
      <c r="D16" s="1398"/>
      <c r="E16" s="1399"/>
    </row>
    <row r="17" spans="1:5" ht="16.5" thickBot="1">
      <c r="A17" s="582" t="s">
        <v>812</v>
      </c>
      <c r="B17" s="848" t="s">
        <v>40</v>
      </c>
      <c r="C17" s="1400">
        <f>SUM(C11:C16)</f>
        <v>14000</v>
      </c>
      <c r="D17" s="1400">
        <f>SUM(D11:D16)</f>
        <v>14000</v>
      </c>
      <c r="E17" s="1400">
        <f>SUM(E11:E16)</f>
        <v>0</v>
      </c>
    </row>
    <row r="18" spans="2:4" ht="12.75">
      <c r="B18" s="48"/>
      <c r="C18" s="39"/>
      <c r="D18" s="1"/>
    </row>
    <row r="19" spans="2:4" ht="12.75">
      <c r="B19" s="48"/>
      <c r="C19" s="39"/>
      <c r="D19" s="1"/>
    </row>
    <row r="20" spans="1:6" ht="12.75">
      <c r="A20" s="571" t="s">
        <v>1381</v>
      </c>
      <c r="B20" s="205"/>
      <c r="C20" s="205"/>
      <c r="D20" s="205"/>
      <c r="E20" s="205"/>
      <c r="F20" s="205"/>
    </row>
    <row r="21" spans="2:4" ht="12.75">
      <c r="B21" s="1"/>
      <c r="C21" s="1"/>
      <c r="D21" s="1"/>
    </row>
    <row r="22" spans="2:4" ht="15.75">
      <c r="B22" s="1596" t="s">
        <v>250</v>
      </c>
      <c r="C22" s="1596"/>
      <c r="D22" s="1596"/>
    </row>
    <row r="23" spans="2:4" ht="15.75">
      <c r="B23" s="1566" t="s">
        <v>333</v>
      </c>
      <c r="C23" s="1566"/>
      <c r="D23" s="1566"/>
    </row>
    <row r="24" spans="2:4" ht="15.75">
      <c r="B24" s="1566" t="s">
        <v>917</v>
      </c>
      <c r="C24" s="1566"/>
      <c r="D24" s="1566"/>
    </row>
    <row r="25" spans="2:4" ht="12.75">
      <c r="B25" s="1"/>
      <c r="C25" s="1"/>
      <c r="D25" s="1"/>
    </row>
    <row r="26" spans="2:4" ht="13.5" thickBot="1">
      <c r="B26" s="1"/>
      <c r="C26" s="1"/>
      <c r="D26" s="77" t="s">
        <v>334</v>
      </c>
    </row>
    <row r="27" spans="1:5" ht="16.5" thickBot="1">
      <c r="A27" s="1578" t="s">
        <v>801</v>
      </c>
      <c r="B27" s="1688" t="s">
        <v>3</v>
      </c>
      <c r="C27" s="1686" t="s">
        <v>331</v>
      </c>
      <c r="D27" s="1687"/>
      <c r="E27" s="1590"/>
    </row>
    <row r="28" spans="1:5" ht="16.5" thickBot="1">
      <c r="A28" s="1644"/>
      <c r="B28" s="1689"/>
      <c r="C28" s="1234" t="s">
        <v>1095</v>
      </c>
      <c r="D28" s="1229" t="s">
        <v>1096</v>
      </c>
      <c r="E28" s="1231" t="s">
        <v>379</v>
      </c>
    </row>
    <row r="29" spans="1:5" ht="16.5" thickBot="1">
      <c r="A29" s="647" t="s">
        <v>907</v>
      </c>
      <c r="B29" s="914" t="s">
        <v>803</v>
      </c>
      <c r="C29" s="916" t="s">
        <v>804</v>
      </c>
      <c r="D29" s="588" t="s">
        <v>805</v>
      </c>
      <c r="E29" s="1230" t="s">
        <v>825</v>
      </c>
    </row>
    <row r="30" spans="1:5" ht="15.75">
      <c r="A30" s="724" t="s">
        <v>806</v>
      </c>
      <c r="B30" s="1232" t="s">
        <v>1093</v>
      </c>
      <c r="C30" s="1401">
        <v>2569083</v>
      </c>
      <c r="D30" s="1394">
        <v>2569083</v>
      </c>
      <c r="E30" s="1395"/>
    </row>
    <row r="31" spans="1:5" ht="15.75">
      <c r="A31" s="599" t="s">
        <v>807</v>
      </c>
      <c r="B31" s="79" t="s">
        <v>335</v>
      </c>
      <c r="C31" s="1401">
        <v>8181072</v>
      </c>
      <c r="D31" s="1394">
        <f>'1_sz_ melléklet'!E54</f>
        <v>8582149</v>
      </c>
      <c r="E31" s="1396"/>
    </row>
    <row r="32" spans="1:5" ht="15.75">
      <c r="A32" s="599" t="s">
        <v>808</v>
      </c>
      <c r="B32" s="79" t="s">
        <v>336</v>
      </c>
      <c r="C32" s="1401">
        <v>8181072</v>
      </c>
      <c r="D32" s="1394">
        <f>'1_sz_ melléklet'!I54</f>
        <v>8582149</v>
      </c>
      <c r="E32" s="1396"/>
    </row>
    <row r="33" spans="1:5" ht="16.5" thickBot="1">
      <c r="A33" s="618" t="s">
        <v>809</v>
      </c>
      <c r="B33" s="1233" t="s">
        <v>1094</v>
      </c>
      <c r="C33" s="1402">
        <f>C30+C31-C32</f>
        <v>2569083</v>
      </c>
      <c r="D33" s="1402">
        <f>D30+D31-D32</f>
        <v>2569083</v>
      </c>
      <c r="E33" s="1403"/>
    </row>
    <row r="34" ht="12.75">
      <c r="B34" s="1"/>
    </row>
    <row r="35" ht="12.75">
      <c r="B35" s="1"/>
    </row>
    <row r="36" ht="12.75">
      <c r="B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</sheetData>
  <sheetProtection/>
  <mergeCells count="12">
    <mergeCell ref="B3:D3"/>
    <mergeCell ref="B4:D4"/>
    <mergeCell ref="B5:D5"/>
    <mergeCell ref="B8:B9"/>
    <mergeCell ref="B22:D22"/>
    <mergeCell ref="B23:D23"/>
    <mergeCell ref="A27:A28"/>
    <mergeCell ref="C8:E8"/>
    <mergeCell ref="C27:E27"/>
    <mergeCell ref="A8:A9"/>
    <mergeCell ref="B24:D24"/>
    <mergeCell ref="B27:B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4">
      <selection activeCell="C9" sqref="C9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546" t="s">
        <v>1382</v>
      </c>
      <c r="C1" s="1570"/>
      <c r="D1" s="1570"/>
      <c r="E1" s="1570"/>
      <c r="F1" s="1570"/>
      <c r="G1" s="1570"/>
      <c r="H1" s="1546"/>
      <c r="I1" s="1570"/>
      <c r="J1" s="1570"/>
      <c r="K1" s="1570"/>
      <c r="L1" s="1570"/>
      <c r="M1" s="1570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2:14" ht="15.75">
      <c r="B2" s="1596" t="s">
        <v>337</v>
      </c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</row>
    <row r="3" spans="2:14" ht="12" customHeight="1" thickBot="1">
      <c r="B3" s="1"/>
      <c r="C3" s="1639" t="s">
        <v>115</v>
      </c>
      <c r="D3" s="1639"/>
      <c r="E3" s="1639"/>
      <c r="F3" s="1639"/>
      <c r="G3" s="1639"/>
      <c r="H3" s="1639"/>
      <c r="I3" s="1639"/>
      <c r="J3" s="1639"/>
      <c r="K3" s="1639"/>
      <c r="L3" s="1639"/>
      <c r="M3" s="1639"/>
      <c r="N3" s="1639"/>
    </row>
    <row r="4" spans="1:14" ht="26.25" customHeight="1" thickBot="1">
      <c r="A4" s="768" t="s">
        <v>801</v>
      </c>
      <c r="B4" s="909" t="s">
        <v>3</v>
      </c>
      <c r="C4" s="903" t="s">
        <v>338</v>
      </c>
      <c r="D4" s="903" t="s">
        <v>339</v>
      </c>
      <c r="E4" s="903" t="s">
        <v>340</v>
      </c>
      <c r="F4" s="903" t="s">
        <v>341</v>
      </c>
      <c r="G4" s="903" t="s">
        <v>342</v>
      </c>
      <c r="H4" s="903" t="s">
        <v>343</v>
      </c>
      <c r="I4" s="903" t="s">
        <v>344</v>
      </c>
      <c r="J4" s="903" t="s">
        <v>345</v>
      </c>
      <c r="K4" s="903" t="s">
        <v>346</v>
      </c>
      <c r="L4" s="903" t="s">
        <v>347</v>
      </c>
      <c r="M4" s="903" t="s">
        <v>352</v>
      </c>
      <c r="N4" s="903" t="s">
        <v>353</v>
      </c>
    </row>
    <row r="5" spans="1:14" ht="12.75" customHeight="1" thickBot="1">
      <c r="A5" s="708" t="s">
        <v>802</v>
      </c>
      <c r="B5" s="647" t="s">
        <v>908</v>
      </c>
      <c r="C5" s="647" t="s">
        <v>804</v>
      </c>
      <c r="D5" s="647" t="s">
        <v>805</v>
      </c>
      <c r="E5" s="647" t="s">
        <v>825</v>
      </c>
      <c r="F5" s="647" t="s">
        <v>850</v>
      </c>
      <c r="G5" s="647" t="s">
        <v>851</v>
      </c>
      <c r="H5" s="647" t="s">
        <v>904</v>
      </c>
      <c r="I5" s="647" t="s">
        <v>905</v>
      </c>
      <c r="J5" s="695" t="s">
        <v>906</v>
      </c>
      <c r="K5" s="695" t="s">
        <v>909</v>
      </c>
      <c r="L5" s="695" t="s">
        <v>910</v>
      </c>
      <c r="M5" s="695" t="s">
        <v>911</v>
      </c>
      <c r="N5" s="825" t="s">
        <v>912</v>
      </c>
    </row>
    <row r="6" spans="1:14" ht="26.25" customHeight="1">
      <c r="A6" s="723" t="s">
        <v>806</v>
      </c>
      <c r="B6" s="910" t="s">
        <v>348</v>
      </c>
      <c r="C6" s="121">
        <v>2000</v>
      </c>
      <c r="D6" s="121">
        <v>2000</v>
      </c>
      <c r="E6" s="121">
        <v>2000</v>
      </c>
      <c r="F6" s="121">
        <v>490000</v>
      </c>
      <c r="G6" s="121"/>
      <c r="H6" s="121"/>
      <c r="I6" s="121"/>
      <c r="J6" s="905"/>
      <c r="K6" s="905"/>
      <c r="L6" s="905"/>
      <c r="M6" s="906"/>
      <c r="N6" s="907"/>
    </row>
    <row r="7" spans="1:14" ht="27.75" customHeight="1">
      <c r="A7" s="552" t="s">
        <v>807</v>
      </c>
      <c r="B7" s="910" t="s">
        <v>349</v>
      </c>
      <c r="C7" s="121">
        <v>11500</v>
      </c>
      <c r="D7" s="121">
        <v>11500</v>
      </c>
      <c r="E7" s="121">
        <v>11500</v>
      </c>
      <c r="F7" s="121">
        <v>11500</v>
      </c>
      <c r="G7" s="121">
        <v>11500</v>
      </c>
      <c r="H7" s="121">
        <v>11500</v>
      </c>
      <c r="I7" s="121">
        <v>11500</v>
      </c>
      <c r="J7" s="121">
        <v>11500</v>
      </c>
      <c r="K7" s="121">
        <v>11500</v>
      </c>
      <c r="L7" s="121">
        <v>11500</v>
      </c>
      <c r="M7" s="296">
        <v>11500</v>
      </c>
      <c r="N7" s="299">
        <v>11500</v>
      </c>
    </row>
    <row r="8" spans="1:14" ht="37.5" customHeight="1">
      <c r="A8" s="552" t="s">
        <v>808</v>
      </c>
      <c r="B8" s="1383" t="s">
        <v>350</v>
      </c>
      <c r="C8" s="526">
        <f>1438-1438</f>
        <v>0</v>
      </c>
      <c r="D8" s="526">
        <v>1437</v>
      </c>
      <c r="E8" s="526">
        <v>1437</v>
      </c>
      <c r="F8" s="526">
        <v>1437</v>
      </c>
      <c r="G8" s="526">
        <v>1437</v>
      </c>
      <c r="H8" s="122"/>
      <c r="I8" s="122"/>
      <c r="J8" s="122"/>
      <c r="K8" s="122"/>
      <c r="L8" s="122"/>
      <c r="M8" s="297"/>
      <c r="N8" s="163"/>
    </row>
    <row r="9" spans="1:14" ht="24.75" customHeight="1">
      <c r="A9" s="552" t="s">
        <v>809</v>
      </c>
      <c r="B9" s="912" t="s">
        <v>790</v>
      </c>
      <c r="C9" s="523">
        <v>763</v>
      </c>
      <c r="D9" s="523">
        <v>763</v>
      </c>
      <c r="E9" s="523">
        <v>763</v>
      </c>
      <c r="F9" s="523">
        <v>763</v>
      </c>
      <c r="G9" s="523">
        <v>763</v>
      </c>
      <c r="H9" s="122"/>
      <c r="I9" s="122"/>
      <c r="J9" s="122"/>
      <c r="K9" s="122"/>
      <c r="L9" s="122"/>
      <c r="M9" s="297"/>
      <c r="N9" s="163"/>
    </row>
    <row r="10" spans="1:14" ht="30.75" customHeight="1">
      <c r="A10" s="552" t="s">
        <v>810</v>
      </c>
      <c r="B10" s="911"/>
      <c r="C10" s="1335"/>
      <c r="D10" s="526"/>
      <c r="E10" s="526"/>
      <c r="F10" s="526"/>
      <c r="G10" s="526"/>
      <c r="H10" s="526"/>
      <c r="I10" s="526"/>
      <c r="J10" s="526"/>
      <c r="K10" s="526"/>
      <c r="L10" s="526"/>
      <c r="M10" s="527"/>
      <c r="N10" s="163"/>
    </row>
    <row r="11" spans="1:14" ht="30.75" customHeight="1" thickBot="1">
      <c r="A11" s="570" t="s">
        <v>811</v>
      </c>
      <c r="B11" s="912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4"/>
      <c r="N11" s="279"/>
    </row>
    <row r="12" spans="1:14" ht="13.5" thickBot="1">
      <c r="A12" s="582" t="s">
        <v>812</v>
      </c>
      <c r="B12" s="913" t="s">
        <v>351</v>
      </c>
      <c r="C12" s="298">
        <f>SUM(C6:C11)</f>
        <v>14263</v>
      </c>
      <c r="D12" s="298">
        <f aca="true" t="shared" si="0" ref="D12:N12">SUM(D6:D11)</f>
        <v>15700</v>
      </c>
      <c r="E12" s="298">
        <f t="shared" si="0"/>
        <v>15700</v>
      </c>
      <c r="F12" s="298">
        <f t="shared" si="0"/>
        <v>503700</v>
      </c>
      <c r="G12" s="298">
        <f t="shared" si="0"/>
        <v>13700</v>
      </c>
      <c r="H12" s="298">
        <f t="shared" si="0"/>
        <v>11500</v>
      </c>
      <c r="I12" s="298">
        <f t="shared" si="0"/>
        <v>11500</v>
      </c>
      <c r="J12" s="298">
        <f t="shared" si="0"/>
        <v>11500</v>
      </c>
      <c r="K12" s="298">
        <f t="shared" si="0"/>
        <v>11500</v>
      </c>
      <c r="L12" s="298">
        <f t="shared" si="0"/>
        <v>11500</v>
      </c>
      <c r="M12" s="298">
        <f t="shared" si="0"/>
        <v>11500</v>
      </c>
      <c r="N12" s="298">
        <f t="shared" si="0"/>
        <v>11500</v>
      </c>
    </row>
    <row r="13" spans="2:21" ht="6" customHeight="1" thickBot="1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"/>
      <c r="Q13" s="1"/>
      <c r="R13" s="1"/>
      <c r="S13" s="1"/>
      <c r="U13" s="1"/>
    </row>
    <row r="14" spans="1:21" ht="24" customHeight="1" thickBot="1">
      <c r="A14" s="768" t="s">
        <v>801</v>
      </c>
      <c r="B14" s="908" t="s">
        <v>3</v>
      </c>
      <c r="C14" s="904" t="s">
        <v>354</v>
      </c>
      <c r="D14" s="904" t="s">
        <v>355</v>
      </c>
      <c r="E14" s="904" t="s">
        <v>356</v>
      </c>
      <c r="F14" s="904" t="s">
        <v>357</v>
      </c>
      <c r="G14" s="904" t="s">
        <v>358</v>
      </c>
      <c r="H14" s="904" t="s">
        <v>323</v>
      </c>
      <c r="I14" s="904" t="s">
        <v>324</v>
      </c>
      <c r="J14" s="904" t="s">
        <v>325</v>
      </c>
      <c r="K14" s="904" t="s">
        <v>326</v>
      </c>
      <c r="L14" s="904" t="s">
        <v>327</v>
      </c>
      <c r="M14" s="904" t="s">
        <v>328</v>
      </c>
      <c r="N14" s="120" t="s">
        <v>40</v>
      </c>
      <c r="P14" s="124"/>
      <c r="Q14" s="124"/>
      <c r="R14" s="124"/>
      <c r="S14" s="124"/>
      <c r="U14" s="1"/>
    </row>
    <row r="15" spans="1:21" ht="13.5" thickBot="1">
      <c r="A15" s="708" t="s">
        <v>802</v>
      </c>
      <c r="B15" s="647" t="s">
        <v>908</v>
      </c>
      <c r="C15" s="647" t="s">
        <v>804</v>
      </c>
      <c r="D15" s="647" t="s">
        <v>805</v>
      </c>
      <c r="E15" s="647" t="s">
        <v>825</v>
      </c>
      <c r="F15" s="647" t="s">
        <v>850</v>
      </c>
      <c r="G15" s="647" t="s">
        <v>851</v>
      </c>
      <c r="H15" s="647" t="s">
        <v>904</v>
      </c>
      <c r="I15" s="647" t="s">
        <v>905</v>
      </c>
      <c r="J15" s="695" t="s">
        <v>906</v>
      </c>
      <c r="K15" s="695" t="s">
        <v>909</v>
      </c>
      <c r="L15" s="695" t="s">
        <v>910</v>
      </c>
      <c r="M15" s="695" t="s">
        <v>911</v>
      </c>
      <c r="N15" s="825" t="s">
        <v>912</v>
      </c>
      <c r="P15" s="124"/>
      <c r="Q15" s="124"/>
      <c r="R15" s="124"/>
      <c r="S15" s="124"/>
      <c r="U15" s="1"/>
    </row>
    <row r="16" spans="1:21" ht="28.5" customHeight="1">
      <c r="A16" s="723" t="s">
        <v>806</v>
      </c>
      <c r="B16" s="910" t="s">
        <v>348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296"/>
      <c r="N16" s="125">
        <f aca="true" t="shared" si="1" ref="N16:N21">SUM(C6:M6)+SUM(C16:L16)</f>
        <v>496000</v>
      </c>
      <c r="O16" s="126"/>
      <c r="U16" s="1"/>
    </row>
    <row r="17" spans="1:21" ht="26.25" customHeight="1">
      <c r="A17" s="552" t="s">
        <v>807</v>
      </c>
      <c r="B17" s="910" t="s">
        <v>349</v>
      </c>
      <c r="C17" s="121">
        <v>3375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296"/>
      <c r="N17" s="125">
        <f t="shared" si="1"/>
        <v>129875</v>
      </c>
      <c r="P17" s="126"/>
      <c r="Q17" s="126"/>
      <c r="R17" s="126"/>
      <c r="S17" s="126"/>
      <c r="U17" s="1"/>
    </row>
    <row r="18" spans="1:21" ht="39.75" customHeight="1">
      <c r="A18" s="552" t="s">
        <v>808</v>
      </c>
      <c r="B18" s="1383" t="s">
        <v>350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297"/>
      <c r="N18" s="125">
        <f t="shared" si="1"/>
        <v>5748</v>
      </c>
      <c r="U18" s="1"/>
    </row>
    <row r="19" spans="1:21" ht="26.25" customHeight="1">
      <c r="A19" s="552" t="s">
        <v>809</v>
      </c>
      <c r="B19" s="912" t="s">
        <v>790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297"/>
      <c r="N19" s="125">
        <f t="shared" si="1"/>
        <v>3815</v>
      </c>
      <c r="U19" s="1"/>
    </row>
    <row r="20" spans="1:21" ht="26.25" customHeight="1">
      <c r="A20" s="552" t="s">
        <v>810</v>
      </c>
      <c r="B20" s="911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125">
        <f t="shared" si="1"/>
        <v>0</v>
      </c>
      <c r="U20" s="1"/>
    </row>
    <row r="21" spans="1:21" ht="26.25" customHeight="1" thickBot="1">
      <c r="A21" s="570" t="s">
        <v>811</v>
      </c>
      <c r="B21" s="912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5"/>
      <c r="N21" s="125">
        <f t="shared" si="1"/>
        <v>0</v>
      </c>
      <c r="U21" s="1"/>
    </row>
    <row r="22" spans="1:21" ht="20.25" customHeight="1" thickBot="1">
      <c r="A22" s="582" t="s">
        <v>812</v>
      </c>
      <c r="B22" s="913" t="s">
        <v>351</v>
      </c>
      <c r="C22" s="298">
        <f>SUM(C16:C21)</f>
        <v>3375</v>
      </c>
      <c r="D22" s="298">
        <f aca="true" t="shared" si="2" ref="D22:N22">SUM(D16:D21)</f>
        <v>0</v>
      </c>
      <c r="E22" s="298">
        <f t="shared" si="2"/>
        <v>0</v>
      </c>
      <c r="F22" s="298">
        <f t="shared" si="2"/>
        <v>0</v>
      </c>
      <c r="G22" s="298">
        <f t="shared" si="2"/>
        <v>0</v>
      </c>
      <c r="H22" s="298">
        <f t="shared" si="2"/>
        <v>0</v>
      </c>
      <c r="I22" s="298">
        <f t="shared" si="2"/>
        <v>0</v>
      </c>
      <c r="J22" s="298">
        <f t="shared" si="2"/>
        <v>0</v>
      </c>
      <c r="K22" s="298">
        <f t="shared" si="2"/>
        <v>0</v>
      </c>
      <c r="L22" s="298">
        <f t="shared" si="2"/>
        <v>0</v>
      </c>
      <c r="M22" s="298">
        <f t="shared" si="2"/>
        <v>0</v>
      </c>
      <c r="N22" s="298">
        <f t="shared" si="2"/>
        <v>635438</v>
      </c>
      <c r="U22" s="1"/>
    </row>
    <row r="23" spans="2:21" ht="27.75" customHeight="1">
      <c r="B23" s="1691"/>
      <c r="C23" s="1691"/>
      <c r="D23" s="1691"/>
      <c r="E23" s="1691"/>
      <c r="F23" s="1691"/>
      <c r="G23" s="1691"/>
      <c r="H23" s="1691"/>
      <c r="I23" s="1691"/>
      <c r="J23" s="1691"/>
      <c r="K23" s="1691"/>
      <c r="L23" s="1691"/>
      <c r="M23" s="1691"/>
      <c r="N23" s="1691"/>
      <c r="O23" s="127"/>
      <c r="U23" s="1"/>
    </row>
    <row r="24" ht="12.75">
      <c r="U24" s="1"/>
    </row>
    <row r="25" ht="12.75">
      <c r="U25" s="1"/>
    </row>
    <row r="26" ht="12.75">
      <c r="U26" s="1"/>
    </row>
    <row r="27" ht="12.75">
      <c r="U27" s="128"/>
    </row>
    <row r="29" ht="32.25" customHeight="1">
      <c r="U29" s="126"/>
    </row>
    <row r="31" spans="2:15" ht="12.75">
      <c r="B31" s="1692"/>
      <c r="C31" s="1692"/>
      <c r="D31" s="1692"/>
      <c r="E31" s="1692"/>
      <c r="F31" s="1692"/>
      <c r="G31" s="1692"/>
      <c r="H31" s="1692"/>
      <c r="I31" s="1692"/>
      <c r="J31" s="1692"/>
      <c r="K31" s="1692"/>
      <c r="L31" s="1692"/>
      <c r="M31" s="1692"/>
      <c r="N31" s="1692"/>
      <c r="O31" s="1692"/>
    </row>
    <row r="34" ht="39.75" customHeight="1"/>
    <row r="36" ht="25.5" customHeight="1"/>
  </sheetData>
  <sheetProtection/>
  <mergeCells count="6">
    <mergeCell ref="B2:N2"/>
    <mergeCell ref="C3:N3"/>
    <mergeCell ref="B23:N23"/>
    <mergeCell ref="B31:O31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22">
      <selection activeCell="A32" sqref="A1:C32"/>
    </sheetView>
  </sheetViews>
  <sheetFormatPr defaultColWidth="9.140625" defaultRowHeight="12.75"/>
  <cols>
    <col min="1" max="1" width="5.421875" style="0" customWidth="1"/>
    <col min="2" max="2" width="52.140625" style="0" customWidth="1"/>
    <col min="3" max="3" width="22.7109375" style="0" customWidth="1"/>
  </cols>
  <sheetData>
    <row r="1" spans="1:6" ht="15.75">
      <c r="A1" s="23" t="s">
        <v>1433</v>
      </c>
      <c r="B1" s="23"/>
      <c r="C1" s="23"/>
      <c r="D1" s="23"/>
      <c r="E1" s="23"/>
      <c r="F1" s="23"/>
    </row>
    <row r="2" spans="1:6" ht="15.75">
      <c r="A2" s="23"/>
      <c r="B2" s="23"/>
      <c r="C2" s="23"/>
      <c r="D2" s="23"/>
      <c r="E2" s="23"/>
      <c r="F2" s="23"/>
    </row>
    <row r="3" spans="1:6" ht="15.75">
      <c r="A3" s="1577" t="s">
        <v>1434</v>
      </c>
      <c r="B3" s="1570"/>
      <c r="C3" s="1570"/>
      <c r="D3" s="45"/>
      <c r="E3" s="45"/>
      <c r="F3" s="45"/>
    </row>
    <row r="4" spans="1:6" ht="15.75">
      <c r="A4" s="1577" t="s">
        <v>1439</v>
      </c>
      <c r="B4" s="1570"/>
      <c r="C4" s="1570"/>
      <c r="D4" s="45"/>
      <c r="E4" s="45"/>
      <c r="F4" s="45"/>
    </row>
    <row r="5" spans="1:6" ht="15.75">
      <c r="A5" s="23"/>
      <c r="B5" s="23"/>
      <c r="C5" s="23"/>
      <c r="D5" s="23"/>
      <c r="E5" s="23"/>
      <c r="F5" s="23"/>
    </row>
    <row r="6" spans="1:6" ht="15.75">
      <c r="A6" s="23"/>
      <c r="B6" s="23"/>
      <c r="C6" s="23" t="s">
        <v>115</v>
      </c>
      <c r="D6" s="23"/>
      <c r="E6" s="23"/>
      <c r="F6" s="23"/>
    </row>
    <row r="7" spans="1:6" ht="47.25">
      <c r="A7" s="1483" t="s">
        <v>801</v>
      </c>
      <c r="B7" s="1488" t="s">
        <v>54</v>
      </c>
      <c r="C7" s="1488" t="s">
        <v>377</v>
      </c>
      <c r="D7" s="23"/>
      <c r="E7" s="23"/>
      <c r="F7" s="23"/>
    </row>
    <row r="8" spans="1:6" ht="15.75">
      <c r="A8" s="1485" t="s">
        <v>802</v>
      </c>
      <c r="B8" s="1485" t="s">
        <v>803</v>
      </c>
      <c r="C8" s="1485" t="s">
        <v>804</v>
      </c>
      <c r="D8" s="23"/>
      <c r="E8" s="23"/>
      <c r="F8" s="23"/>
    </row>
    <row r="9" spans="1:6" ht="15.75">
      <c r="A9" s="1486" t="s">
        <v>806</v>
      </c>
      <c r="B9" s="1486"/>
      <c r="C9" s="1271">
        <v>0</v>
      </c>
      <c r="D9" s="23"/>
      <c r="E9" s="23"/>
      <c r="F9" s="23"/>
    </row>
    <row r="10" spans="1:6" ht="15.75">
      <c r="A10" s="1486" t="s">
        <v>807</v>
      </c>
      <c r="B10" s="1486" t="s">
        <v>58</v>
      </c>
      <c r="C10" s="1271">
        <v>0</v>
      </c>
      <c r="D10" s="23"/>
      <c r="E10" s="23"/>
      <c r="F10" s="23"/>
    </row>
    <row r="11" spans="1:6" ht="15.75">
      <c r="A11" s="1486" t="s">
        <v>808</v>
      </c>
      <c r="B11" s="1486" t="s">
        <v>38</v>
      </c>
      <c r="C11" s="1271">
        <v>0</v>
      </c>
      <c r="D11" s="23"/>
      <c r="E11" s="23"/>
      <c r="F11" s="23"/>
    </row>
    <row r="12" spans="1:6" ht="15.75">
      <c r="A12" s="1486" t="s">
        <v>809</v>
      </c>
      <c r="B12" s="1486" t="s">
        <v>1435</v>
      </c>
      <c r="C12" s="1271">
        <v>100032</v>
      </c>
      <c r="D12" s="23"/>
      <c r="E12" s="23"/>
      <c r="F12" s="23"/>
    </row>
    <row r="13" spans="1:6" ht="15.75">
      <c r="A13" s="1486" t="s">
        <v>810</v>
      </c>
      <c r="B13" s="1486" t="s">
        <v>124</v>
      </c>
      <c r="C13" s="1271">
        <f>SUM(C12)</f>
        <v>100032</v>
      </c>
      <c r="D13" s="23"/>
      <c r="E13" s="23"/>
      <c r="F13" s="23"/>
    </row>
    <row r="14" spans="1:6" ht="15.75">
      <c r="A14" s="1484" t="s">
        <v>811</v>
      </c>
      <c r="B14" s="1484" t="s">
        <v>1440</v>
      </c>
      <c r="C14" s="1487">
        <f>SUM(C13)</f>
        <v>100032</v>
      </c>
      <c r="D14" s="23"/>
      <c r="E14" s="23"/>
      <c r="F14" s="23"/>
    </row>
    <row r="15" spans="1:6" ht="15.75">
      <c r="A15" s="23"/>
      <c r="B15" s="23"/>
      <c r="C15" s="23"/>
      <c r="D15" s="23"/>
      <c r="E15" s="23"/>
      <c r="F15" s="23"/>
    </row>
    <row r="16" spans="1:6" ht="15.75">
      <c r="A16" s="23"/>
      <c r="B16" s="23"/>
      <c r="C16" s="23"/>
      <c r="D16" s="23"/>
      <c r="E16" s="23"/>
      <c r="F16" s="23"/>
    </row>
    <row r="17" spans="1:6" ht="15.75">
      <c r="A17" s="23"/>
      <c r="B17" s="23"/>
      <c r="C17" s="23"/>
      <c r="D17" s="23"/>
      <c r="E17" s="23"/>
      <c r="F17" s="23"/>
    </row>
    <row r="18" spans="1:6" ht="15.75">
      <c r="A18" s="23" t="s">
        <v>1436</v>
      </c>
      <c r="B18" s="23"/>
      <c r="C18" s="23"/>
      <c r="D18" s="23"/>
      <c r="E18" s="23"/>
      <c r="F18" s="23"/>
    </row>
    <row r="19" spans="1:6" ht="15.75">
      <c r="A19" s="23"/>
      <c r="B19" s="23"/>
      <c r="C19" s="23"/>
      <c r="D19" s="23"/>
      <c r="E19" s="23"/>
      <c r="F19" s="23"/>
    </row>
    <row r="20" spans="1:6" ht="15.75">
      <c r="A20" s="1577" t="s">
        <v>1441</v>
      </c>
      <c r="B20" s="1693"/>
      <c r="C20" s="1577"/>
      <c r="D20" s="23"/>
      <c r="E20" s="23"/>
      <c r="F20" s="23"/>
    </row>
    <row r="21" spans="1:6" ht="15.75">
      <c r="A21" s="1577" t="s">
        <v>917</v>
      </c>
      <c r="B21" s="1693"/>
      <c r="C21" s="1577"/>
      <c r="D21" s="23"/>
      <c r="E21" s="23"/>
      <c r="F21" s="23"/>
    </row>
    <row r="22" spans="1:6" ht="15.75">
      <c r="A22" s="23"/>
      <c r="B22" s="23"/>
      <c r="C22" s="23"/>
      <c r="D22" s="23"/>
      <c r="E22" s="23"/>
      <c r="F22" s="23"/>
    </row>
    <row r="23" spans="1:6" ht="15.75">
      <c r="A23" s="23"/>
      <c r="B23" s="23"/>
      <c r="C23" s="23"/>
      <c r="D23" s="23"/>
      <c r="E23" s="23"/>
      <c r="F23" s="23"/>
    </row>
    <row r="24" spans="1:6" ht="47.25">
      <c r="A24" s="1483" t="s">
        <v>801</v>
      </c>
      <c r="B24" s="1488" t="s">
        <v>98</v>
      </c>
      <c r="C24" s="1488" t="s">
        <v>377</v>
      </c>
      <c r="D24" s="23"/>
      <c r="E24" s="23"/>
      <c r="F24" s="23"/>
    </row>
    <row r="25" spans="1:6" ht="15.75">
      <c r="A25" s="1485" t="s">
        <v>802</v>
      </c>
      <c r="B25" s="1485" t="s">
        <v>803</v>
      </c>
      <c r="C25" s="1485" t="s">
        <v>804</v>
      </c>
      <c r="D25" s="23"/>
      <c r="E25" s="23"/>
      <c r="F25" s="23"/>
    </row>
    <row r="26" spans="1:6" ht="15.75">
      <c r="A26" s="1486" t="s">
        <v>806</v>
      </c>
      <c r="B26" s="1486" t="s">
        <v>55</v>
      </c>
      <c r="C26" s="1271"/>
      <c r="D26" s="23"/>
      <c r="E26" s="23"/>
      <c r="F26" s="23"/>
    </row>
    <row r="27" spans="1:6" ht="15.75">
      <c r="A27" s="1486" t="s">
        <v>807</v>
      </c>
      <c r="B27" s="1486" t="s">
        <v>1437</v>
      </c>
      <c r="C27" s="1271">
        <v>100032</v>
      </c>
      <c r="D27" s="23"/>
      <c r="E27" s="23"/>
      <c r="F27" s="23"/>
    </row>
    <row r="28" spans="1:6" ht="15.75">
      <c r="A28" s="1486" t="s">
        <v>808</v>
      </c>
      <c r="B28" s="1486" t="s">
        <v>1438</v>
      </c>
      <c r="C28" s="1271">
        <v>2465</v>
      </c>
      <c r="D28" s="23"/>
      <c r="E28" s="23"/>
      <c r="F28" s="23"/>
    </row>
    <row r="29" spans="1:6" ht="15.75">
      <c r="A29" s="1486" t="s">
        <v>809</v>
      </c>
      <c r="B29" s="1486" t="s">
        <v>1442</v>
      </c>
      <c r="C29" s="1271">
        <f>SUM(C27:C28)</f>
        <v>102497</v>
      </c>
      <c r="D29" s="23"/>
      <c r="E29" s="23"/>
      <c r="F29" s="23"/>
    </row>
    <row r="30" spans="1:6" ht="15.75">
      <c r="A30" s="1484" t="s">
        <v>810</v>
      </c>
      <c r="B30" s="1484" t="s">
        <v>1443</v>
      </c>
      <c r="C30" s="1487">
        <f>SUM(C29)</f>
        <v>102497</v>
      </c>
      <c r="D30" s="23"/>
      <c r="E30" s="23"/>
      <c r="F30" s="23"/>
    </row>
  </sheetData>
  <sheetProtection/>
  <mergeCells count="4">
    <mergeCell ref="A3:C3"/>
    <mergeCell ref="A4:C4"/>
    <mergeCell ref="A20:C20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4.57421875" style="0" customWidth="1"/>
    <col min="2" max="2" width="65.28125" style="0" customWidth="1"/>
    <col min="3" max="3" width="17.00390625" style="0" customWidth="1"/>
    <col min="4" max="4" width="15.140625" style="0" customWidth="1"/>
    <col min="5" max="5" width="17.421875" style="0" customWidth="1"/>
  </cols>
  <sheetData>
    <row r="1" spans="1:6" ht="12.75">
      <c r="A1" s="1546" t="s">
        <v>1383</v>
      </c>
      <c r="B1" s="1546"/>
      <c r="C1" s="1546"/>
      <c r="D1" s="1546"/>
      <c r="E1" s="1546"/>
      <c r="F1" s="205"/>
    </row>
    <row r="2" spans="1:5" ht="15.75">
      <c r="A2" s="1566" t="s">
        <v>1097</v>
      </c>
      <c r="B2" s="1566"/>
      <c r="C2" s="1566"/>
      <c r="D2" s="1545"/>
      <c r="E2" s="1545"/>
    </row>
    <row r="3" spans="1:5" ht="15.75">
      <c r="A3" s="1566" t="s">
        <v>772</v>
      </c>
      <c r="B3" s="1566"/>
      <c r="C3" s="1566"/>
      <c r="D3" s="1545"/>
      <c r="E3" s="1545"/>
    </row>
    <row r="4" spans="1:4" ht="15">
      <c r="A4" s="129"/>
      <c r="B4" s="129"/>
      <c r="C4" s="129"/>
      <c r="D4" s="129" t="s">
        <v>359</v>
      </c>
    </row>
    <row r="5" spans="1:5" ht="15" customHeight="1">
      <c r="A5" s="470"/>
      <c r="B5" s="469" t="s">
        <v>360</v>
      </c>
      <c r="C5" s="484" t="s">
        <v>620</v>
      </c>
      <c r="D5" s="484" t="s">
        <v>621</v>
      </c>
      <c r="E5" s="484" t="s">
        <v>1098</v>
      </c>
    </row>
    <row r="6" spans="1:5" ht="15" customHeight="1">
      <c r="A6" s="496">
        <v>10</v>
      </c>
      <c r="B6" s="497" t="s">
        <v>622</v>
      </c>
      <c r="C6" s="498">
        <v>120990</v>
      </c>
      <c r="D6" s="499">
        <v>103374</v>
      </c>
      <c r="E6" s="498">
        <v>106989</v>
      </c>
    </row>
    <row r="7" spans="1:5" ht="15" customHeight="1">
      <c r="A7" s="470" t="s">
        <v>677</v>
      </c>
      <c r="B7" s="477" t="s">
        <v>623</v>
      </c>
      <c r="C7" s="471">
        <v>11349</v>
      </c>
      <c r="D7" s="471">
        <f>190*55.36</f>
        <v>10518.4</v>
      </c>
      <c r="E7" s="471">
        <f>230*55.36</f>
        <v>12732.8</v>
      </c>
    </row>
    <row r="8" spans="1:5" ht="15" customHeight="1">
      <c r="A8" s="470" t="s">
        <v>678</v>
      </c>
      <c r="B8" s="477" t="s">
        <v>624</v>
      </c>
      <c r="C8" s="471">
        <f>58*494.1</f>
        <v>28657.800000000003</v>
      </c>
      <c r="D8" s="471">
        <f>68*494.1</f>
        <v>33598.8</v>
      </c>
      <c r="E8" s="471">
        <f>70*494.1</f>
        <v>34587</v>
      </c>
    </row>
    <row r="9" spans="1:5" ht="15" customHeight="1">
      <c r="A9" s="470" t="s">
        <v>679</v>
      </c>
      <c r="B9" s="477" t="s">
        <v>625</v>
      </c>
      <c r="C9" s="471">
        <f>3*65</f>
        <v>195</v>
      </c>
      <c r="D9" s="471">
        <f>13*68</f>
        <v>884</v>
      </c>
      <c r="E9" s="471">
        <f>5*68</f>
        <v>340</v>
      </c>
    </row>
    <row r="10" spans="1:5" ht="15" customHeight="1">
      <c r="A10" s="470"/>
      <c r="B10" s="477" t="s">
        <v>626</v>
      </c>
      <c r="C10" s="471">
        <v>151</v>
      </c>
      <c r="D10" s="471">
        <f>14*9.4</f>
        <v>131.6</v>
      </c>
      <c r="E10" s="471">
        <f>19*1.64</f>
        <v>31.159999999999997</v>
      </c>
    </row>
    <row r="11" spans="1:5" ht="15" customHeight="1">
      <c r="A11" s="470"/>
      <c r="B11" s="485" t="s">
        <v>627</v>
      </c>
      <c r="C11" s="472">
        <f>SUM(C6:C10)</f>
        <v>161342.8</v>
      </c>
      <c r="D11" s="472">
        <f>SUM(D6:D10)</f>
        <v>148506.80000000002</v>
      </c>
      <c r="E11" s="472">
        <f>SUM(E6:E10)</f>
        <v>154679.96</v>
      </c>
    </row>
    <row r="12" spans="1:5" ht="15" customHeight="1">
      <c r="A12" s="470" t="s">
        <v>680</v>
      </c>
      <c r="B12" s="1268" t="s">
        <v>1099</v>
      </c>
      <c r="C12" s="471">
        <f>37.8*2350*4/12</f>
        <v>29610</v>
      </c>
      <c r="D12" s="471">
        <f>ROUND(460/20*1.62,1)*2350/12*4</f>
        <v>29218.333333333332</v>
      </c>
      <c r="E12" s="471">
        <f>ROUND(460/20*1.62,1)*2350/12*4</f>
        <v>29218.333333333332</v>
      </c>
    </row>
    <row r="13" spans="1:5" ht="15" customHeight="1">
      <c r="A13" s="470" t="s">
        <v>681</v>
      </c>
      <c r="B13" s="1268" t="s">
        <v>1100</v>
      </c>
      <c r="C13" s="471">
        <f>37*2350*8/12</f>
        <v>57966.666666666664</v>
      </c>
      <c r="D13" s="471">
        <f>ROUND(465/20*1.62,1)*2350/12*8</f>
        <v>59063.333333333336</v>
      </c>
      <c r="E13" s="471">
        <f>ROUND(499/20*1.62,1)*2350/12*8</f>
        <v>63293.333333333336</v>
      </c>
    </row>
    <row r="14" spans="1:5" ht="15" customHeight="1">
      <c r="A14" s="470" t="s">
        <v>682</v>
      </c>
      <c r="B14" s="1268" t="s">
        <v>1101</v>
      </c>
      <c r="C14" s="471">
        <f>11.6*2350*8/12</f>
        <v>18173.333333333332</v>
      </c>
      <c r="D14" s="471">
        <f>ROUND(222/21*1.2,1)*2350/12*8</f>
        <v>19896.666666666668</v>
      </c>
      <c r="E14" s="471">
        <f>ROUND(203/21*1.2,1)*2350/12*8</f>
        <v>18173.333333333332</v>
      </c>
    </row>
    <row r="15" spans="1:5" ht="15" customHeight="1">
      <c r="A15" s="470" t="s">
        <v>683</v>
      </c>
      <c r="B15" s="1268" t="s">
        <v>1102</v>
      </c>
      <c r="C15" s="471">
        <f>7.7*2350*8/12</f>
        <v>12063.333333333334</v>
      </c>
      <c r="D15" s="471">
        <f>ROUND(99/21*1.22,1)*2350/12*8</f>
        <v>9086.666666666666</v>
      </c>
      <c r="E15" s="471">
        <f>ROUND(96/21*1.22,1)*2350/12*8</f>
        <v>8773.333333333334</v>
      </c>
    </row>
    <row r="16" spans="1:5" ht="15" customHeight="1">
      <c r="A16" s="470" t="s">
        <v>684</v>
      </c>
      <c r="B16" s="1268" t="s">
        <v>1103</v>
      </c>
      <c r="C16" s="480">
        <f>12.8*2350*8/12</f>
        <v>20053.333333333332</v>
      </c>
      <c r="D16" s="471">
        <f>ROUND(160/21*1.39,1)*2350/12*8</f>
        <v>16606.666666666668</v>
      </c>
      <c r="E16" s="471">
        <f>ROUND(129/21*1.39,1)*2350/12*8</f>
        <v>13316.666666666666</v>
      </c>
    </row>
    <row r="17" spans="1:5" ht="15" customHeight="1">
      <c r="A17" s="470" t="s">
        <v>685</v>
      </c>
      <c r="B17" s="1268" t="s">
        <v>1104</v>
      </c>
      <c r="C17" s="471">
        <f>18.1*2350*8/12</f>
        <v>28356.666666666668</v>
      </c>
      <c r="D17" s="471">
        <f>ROUND(236/23*1.55,1)*2350/12*8</f>
        <v>24910</v>
      </c>
      <c r="E17" s="471">
        <f>ROUND(258/23*1.55,1)*2350/12*8</f>
        <v>27260</v>
      </c>
    </row>
    <row r="18" spans="1:5" ht="15" customHeight="1">
      <c r="A18" s="470" t="s">
        <v>686</v>
      </c>
      <c r="B18" s="470" t="s">
        <v>1105</v>
      </c>
      <c r="C18" s="471"/>
      <c r="D18" s="471">
        <v>0</v>
      </c>
      <c r="E18" s="471">
        <f>ROUND(245/23*1.76,1)*2350/12*8</f>
        <v>29296.666666666668</v>
      </c>
    </row>
    <row r="19" spans="1:5" ht="15" customHeight="1">
      <c r="A19" s="486" t="s">
        <v>686</v>
      </c>
      <c r="B19" s="470" t="s">
        <v>628</v>
      </c>
      <c r="C19" s="471">
        <f>11.1*2350*8/12</f>
        <v>17390</v>
      </c>
      <c r="D19" s="471">
        <f>ROUND(138/23*1.76,1)*2350/12*8</f>
        <v>16606.666666666668</v>
      </c>
      <c r="E19" s="471">
        <v>0</v>
      </c>
    </row>
    <row r="20" spans="1:5" ht="15" customHeight="1">
      <c r="A20" s="486" t="s">
        <v>687</v>
      </c>
      <c r="B20" s="470" t="s">
        <v>629</v>
      </c>
      <c r="C20" s="471">
        <f>16*2350*8/12</f>
        <v>25066.666666666668</v>
      </c>
      <c r="D20" s="471">
        <f>ROUND(154/23*1.76,1)*2350/12*8-157</f>
        <v>18329.666666666668</v>
      </c>
      <c r="E20" s="471">
        <v>0</v>
      </c>
    </row>
    <row r="21" spans="1:5" ht="15" customHeight="1">
      <c r="A21" s="486" t="s">
        <v>688</v>
      </c>
      <c r="B21" s="1268" t="s">
        <v>1106</v>
      </c>
      <c r="C21" s="471">
        <f>11.3*2350*4/12</f>
        <v>8851.666666666666</v>
      </c>
      <c r="D21" s="471">
        <f>ROUND(250/21*1.2,1)*2350/12*4</f>
        <v>11201.666666666666</v>
      </c>
      <c r="E21" s="471">
        <f>ROUND(171/21*1.2,1)*2350/12*4</f>
        <v>7676.666666666667</v>
      </c>
    </row>
    <row r="22" spans="1:5" ht="15" customHeight="1">
      <c r="A22" s="470" t="s">
        <v>689</v>
      </c>
      <c r="B22" s="470" t="s">
        <v>630</v>
      </c>
      <c r="C22" s="471">
        <f>5.8*2350*4/12</f>
        <v>4543.333333333333</v>
      </c>
      <c r="D22" s="471">
        <f>ROUND(97/21*1.22,1)*2350/12*4</f>
        <v>4386.666666666667</v>
      </c>
      <c r="E22" s="471">
        <f>ROUND(120/21*1.22,1)*2350/12*4</f>
        <v>5483.333333333333</v>
      </c>
    </row>
    <row r="23" spans="1:5" ht="15" customHeight="1">
      <c r="A23" s="470" t="s">
        <v>690</v>
      </c>
      <c r="B23" s="1268" t="s">
        <v>1107</v>
      </c>
      <c r="C23" s="471">
        <f>10.6*2350/12*4+392</f>
        <v>8695.333333333334</v>
      </c>
      <c r="D23" s="471">
        <f>ROUND(124/21*1.39,1)*2350/12*4</f>
        <v>6423.333333333333</v>
      </c>
      <c r="E23" s="471">
        <f>ROUND(124/21*1.39,1)*2350/12*4</f>
        <v>6423.333333333333</v>
      </c>
    </row>
    <row r="24" spans="1:5" ht="15" customHeight="1">
      <c r="A24" s="470" t="s">
        <v>691</v>
      </c>
      <c r="B24" s="1268" t="s">
        <v>1108</v>
      </c>
      <c r="C24" s="471">
        <f>15.9*2350/12*4+548</f>
        <v>13003</v>
      </c>
      <c r="D24" s="471">
        <f>ROUND(265/23*1.55,1)*2350/12*4</f>
        <v>14021.666666666666</v>
      </c>
      <c r="E24" s="471">
        <f>ROUND(240/23*1.55,1)*2350/12*4</f>
        <v>12690</v>
      </c>
    </row>
    <row r="25" spans="1:5" ht="15" customHeight="1">
      <c r="A25" s="470" t="s">
        <v>692</v>
      </c>
      <c r="B25" s="470" t="s">
        <v>631</v>
      </c>
      <c r="C25" s="471">
        <f>10.6*2350/12*4+235</f>
        <v>8538.333333333334</v>
      </c>
      <c r="D25" s="471">
        <f>ROUND(106/23*1.76,1)*2350/12*4</f>
        <v>6345</v>
      </c>
      <c r="E25" s="471">
        <v>0</v>
      </c>
    </row>
    <row r="26" spans="1:5" ht="15" customHeight="1">
      <c r="A26" s="486" t="s">
        <v>693</v>
      </c>
      <c r="B26" s="470" t="s">
        <v>632</v>
      </c>
      <c r="C26" s="471">
        <f>11.8*2350/12*4+79</f>
        <v>9322.333333333334</v>
      </c>
      <c r="D26" s="471">
        <f>ROUND(138/23*1.76,1)*2350/12*4</f>
        <v>8303.333333333334</v>
      </c>
      <c r="E26" s="471">
        <v>0</v>
      </c>
    </row>
    <row r="27" spans="1:5" ht="15" customHeight="1">
      <c r="A27" s="486" t="s">
        <v>1109</v>
      </c>
      <c r="B27" s="470" t="s">
        <v>1110</v>
      </c>
      <c r="C27" s="471">
        <v>0</v>
      </c>
      <c r="D27" s="471">
        <v>0</v>
      </c>
      <c r="E27" s="471">
        <f>ROUND(228/23*1.76,1)*2350/12*4</f>
        <v>13630</v>
      </c>
    </row>
    <row r="28" spans="1:5" ht="15" customHeight="1">
      <c r="A28" s="470" t="s">
        <v>694</v>
      </c>
      <c r="B28" s="1268" t="s">
        <v>633</v>
      </c>
      <c r="C28" s="471">
        <f>1*224*8/12</f>
        <v>149.33333333333334</v>
      </c>
      <c r="D28" s="471">
        <v>0</v>
      </c>
      <c r="E28" s="471">
        <v>0</v>
      </c>
    </row>
    <row r="29" spans="1:5" ht="15" customHeight="1">
      <c r="A29" s="470" t="s">
        <v>695</v>
      </c>
      <c r="B29" s="1268" t="s">
        <v>634</v>
      </c>
      <c r="C29" s="471">
        <v>0</v>
      </c>
      <c r="D29" s="471">
        <v>0</v>
      </c>
      <c r="E29" s="471">
        <v>0</v>
      </c>
    </row>
    <row r="30" spans="1:5" ht="15" customHeight="1">
      <c r="A30" s="470" t="s">
        <v>696</v>
      </c>
      <c r="B30" s="1268" t="s">
        <v>1111</v>
      </c>
      <c r="C30" s="471">
        <f>2*134.4*8/12</f>
        <v>179.20000000000002</v>
      </c>
      <c r="D30" s="471">
        <f>5*134.4*8/12</f>
        <v>448</v>
      </c>
      <c r="E30" s="471">
        <f>1*134.4*8/12</f>
        <v>89.60000000000001</v>
      </c>
    </row>
    <row r="31" spans="1:5" ht="15" customHeight="1">
      <c r="A31" s="470" t="s">
        <v>697</v>
      </c>
      <c r="B31" s="1268" t="s">
        <v>635</v>
      </c>
      <c r="C31" s="471">
        <f>2*134.4*4/12</f>
        <v>89.60000000000001</v>
      </c>
      <c r="D31" s="471">
        <f>4*134.4/12*4</f>
        <v>179.20000000000002</v>
      </c>
      <c r="E31" s="471">
        <v>0</v>
      </c>
    </row>
    <row r="32" spans="1:5" ht="15" customHeight="1">
      <c r="A32" s="475"/>
      <c r="B32" s="475"/>
      <c r="C32" s="476"/>
      <c r="D32" s="476"/>
      <c r="E32" s="476"/>
    </row>
    <row r="33" spans="1:5" ht="15" customHeight="1">
      <c r="A33" s="1694">
        <v>2</v>
      </c>
      <c r="B33" s="1695"/>
      <c r="C33" s="1695"/>
      <c r="D33" s="1695"/>
      <c r="E33" s="1695"/>
    </row>
    <row r="34" spans="1:5" ht="15" customHeight="1">
      <c r="A34" s="470"/>
      <c r="B34" s="469" t="s">
        <v>360</v>
      </c>
      <c r="C34" s="484" t="s">
        <v>620</v>
      </c>
      <c r="D34" s="484" t="s">
        <v>621</v>
      </c>
      <c r="E34" s="484" t="s">
        <v>1098</v>
      </c>
    </row>
    <row r="35" spans="1:5" ht="15" customHeight="1">
      <c r="A35" s="470" t="s">
        <v>698</v>
      </c>
      <c r="B35" s="1268" t="s">
        <v>1112</v>
      </c>
      <c r="C35" s="471">
        <f>5*358.4*8/12</f>
        <v>1194.6666666666667</v>
      </c>
      <c r="D35" s="471">
        <f>5*358.4*8/12</f>
        <v>1194.6666666666667</v>
      </c>
      <c r="E35" s="471">
        <f>4*358.4*8/12</f>
        <v>955.7333333333332</v>
      </c>
    </row>
    <row r="36" spans="1:5" ht="15" customHeight="1">
      <c r="A36" s="486" t="s">
        <v>699</v>
      </c>
      <c r="B36" s="1268" t="s">
        <v>1113</v>
      </c>
      <c r="C36" s="471">
        <f>4*358.4*4/12</f>
        <v>477.8666666666666</v>
      </c>
      <c r="D36" s="471">
        <f>3*358.4*4/12</f>
        <v>358.3999999999999</v>
      </c>
      <c r="E36" s="471">
        <f>2*358.4*4/12</f>
        <v>238.9333333333333</v>
      </c>
    </row>
    <row r="37" spans="1:5" ht="15" customHeight="1">
      <c r="A37" s="486" t="s">
        <v>700</v>
      </c>
      <c r="B37" s="1268" t="s">
        <v>1114</v>
      </c>
      <c r="C37" s="471">
        <f>35*179.2*8/12</f>
        <v>4181.333333333333</v>
      </c>
      <c r="D37" s="471">
        <f>43*179.2*8/12</f>
        <v>5137.066666666667</v>
      </c>
      <c r="E37" s="471">
        <f>25*179.2*8/12</f>
        <v>2986.6666666666665</v>
      </c>
    </row>
    <row r="38" spans="1:5" ht="15" customHeight="1">
      <c r="A38" s="486" t="s">
        <v>701</v>
      </c>
      <c r="B38" s="1268" t="s">
        <v>1115</v>
      </c>
      <c r="C38" s="471">
        <f>30*179.2/12*4</f>
        <v>1792</v>
      </c>
      <c r="D38" s="471">
        <f>39*179.2*4/12</f>
        <v>2329.6</v>
      </c>
      <c r="E38" s="471">
        <f>17*179.2*4/12</f>
        <v>1015.4666666666666</v>
      </c>
    </row>
    <row r="39" spans="1:5" ht="15" customHeight="1">
      <c r="A39" s="486" t="s">
        <v>702</v>
      </c>
      <c r="B39" s="1268" t="s">
        <v>1116</v>
      </c>
      <c r="C39" s="471">
        <f>26*134.4*8/12</f>
        <v>2329.6</v>
      </c>
      <c r="D39" s="471">
        <f>44*134.4*8/12</f>
        <v>3942.4</v>
      </c>
      <c r="E39" s="471">
        <f>87*156.8*8/12</f>
        <v>9094.4</v>
      </c>
    </row>
    <row r="40" spans="1:5" ht="15" customHeight="1">
      <c r="A40" s="486" t="s">
        <v>703</v>
      </c>
      <c r="B40" s="1268" t="s">
        <v>1117</v>
      </c>
      <c r="C40" s="471">
        <f>20*134.4/12*4</f>
        <v>896</v>
      </c>
      <c r="D40" s="471">
        <f>41*156.8*4/12</f>
        <v>2142.9333333333334</v>
      </c>
      <c r="E40" s="471">
        <f>78*156.8*4/12</f>
        <v>4076.8000000000006</v>
      </c>
    </row>
    <row r="41" spans="1:5" ht="15" customHeight="1">
      <c r="A41" s="487" t="s">
        <v>704</v>
      </c>
      <c r="B41" s="1268" t="s">
        <v>1118</v>
      </c>
      <c r="C41" s="471">
        <f>11*240</f>
        <v>2640</v>
      </c>
      <c r="D41" s="471">
        <f>11*240</f>
        <v>2640</v>
      </c>
      <c r="E41" s="471">
        <f>8*240</f>
        <v>1920</v>
      </c>
    </row>
    <row r="42" spans="1:5" ht="15" customHeight="1">
      <c r="A42" s="486" t="s">
        <v>705</v>
      </c>
      <c r="B42" s="1268" t="s">
        <v>636</v>
      </c>
      <c r="C42" s="471">
        <f>2*305</f>
        <v>610</v>
      </c>
      <c r="D42" s="471">
        <v>0</v>
      </c>
      <c r="E42" s="471">
        <v>0</v>
      </c>
    </row>
    <row r="43" spans="1:5" ht="15" customHeight="1">
      <c r="A43" s="493" t="s">
        <v>706</v>
      </c>
      <c r="B43" s="1269" t="s">
        <v>1119</v>
      </c>
      <c r="C43" s="494">
        <v>0</v>
      </c>
      <c r="D43" s="495">
        <f>3*427</f>
        <v>1281</v>
      </c>
      <c r="E43" s="494">
        <f>3*427</f>
        <v>1281</v>
      </c>
    </row>
    <row r="44" spans="1:5" ht="15" customHeight="1">
      <c r="A44" s="470" t="s">
        <v>707</v>
      </c>
      <c r="B44" s="1268" t="s">
        <v>1120</v>
      </c>
      <c r="C44" s="471">
        <f>62.3*2350*8/12</f>
        <v>97603.33333333333</v>
      </c>
      <c r="D44" s="471">
        <f>ROUND(752/28*2.33,1)*2350/12*8</f>
        <v>98073.33333333333</v>
      </c>
      <c r="E44" s="471">
        <f>ROUND(679/28*2.33,1)*2350/12*8</f>
        <v>88516.66666666667</v>
      </c>
    </row>
    <row r="45" spans="1:5" ht="15" customHeight="1">
      <c r="A45" s="470" t="s">
        <v>708</v>
      </c>
      <c r="B45" s="1268" t="s">
        <v>1121</v>
      </c>
      <c r="C45" s="471"/>
      <c r="D45" s="471">
        <v>0</v>
      </c>
      <c r="E45" s="471">
        <f>ROUND(542/28*2.76,1)*2350/12*8</f>
        <v>83660</v>
      </c>
    </row>
    <row r="46" spans="1:5" ht="15" customHeight="1">
      <c r="A46" s="470" t="s">
        <v>708</v>
      </c>
      <c r="B46" s="1268" t="s">
        <v>637</v>
      </c>
      <c r="C46" s="471">
        <f>22.9*2350*8/12</f>
        <v>35876.666666666664</v>
      </c>
      <c r="D46" s="471">
        <v>0</v>
      </c>
      <c r="E46" s="471">
        <v>0</v>
      </c>
    </row>
    <row r="47" spans="1:5" ht="15" customHeight="1">
      <c r="A47" s="470" t="s">
        <v>709</v>
      </c>
      <c r="B47" s="1268" t="s">
        <v>638</v>
      </c>
      <c r="C47" s="471">
        <f>30.4*2350*8/12</f>
        <v>47626.666666666664</v>
      </c>
      <c r="D47" s="471">
        <v>0</v>
      </c>
      <c r="E47" s="471">
        <v>0</v>
      </c>
    </row>
    <row r="48" spans="1:5" ht="15" customHeight="1">
      <c r="A48" s="470" t="s">
        <v>710</v>
      </c>
      <c r="B48" s="1268" t="s">
        <v>639</v>
      </c>
      <c r="C48" s="471"/>
      <c r="D48" s="471">
        <f>ROUND(503/28*2.76,1)*2350/12*8</f>
        <v>77706.66666666667</v>
      </c>
      <c r="E48" s="471">
        <v>0</v>
      </c>
    </row>
    <row r="49" spans="1:5" ht="15" customHeight="1">
      <c r="A49" s="470" t="s">
        <v>711</v>
      </c>
      <c r="B49" s="1268" t="s">
        <v>640</v>
      </c>
      <c r="C49" s="471"/>
      <c r="D49" s="471">
        <f>ROUND(51/26*2.76,1)*2350/12*8</f>
        <v>8460</v>
      </c>
      <c r="E49" s="471">
        <v>0</v>
      </c>
    </row>
    <row r="50" spans="1:5" ht="15" customHeight="1">
      <c r="A50" s="470" t="s">
        <v>712</v>
      </c>
      <c r="B50" s="1268" t="s">
        <v>1122</v>
      </c>
      <c r="C50" s="471">
        <f>59.8*2350*4/12</f>
        <v>46843.333333333336</v>
      </c>
      <c r="D50" s="471">
        <f>ROUND(795/28*2.33,1)*2350/12*4</f>
        <v>51856.666666666664</v>
      </c>
      <c r="E50" s="471">
        <f>ROUND(667/28*2.33,1)*2350/12*4</f>
        <v>43475</v>
      </c>
    </row>
    <row r="51" spans="1:5" ht="15" customHeight="1">
      <c r="A51" s="470" t="s">
        <v>713</v>
      </c>
      <c r="B51" s="1268" t="s">
        <v>641</v>
      </c>
      <c r="C51" s="471">
        <f>28.3*2350*4/12</f>
        <v>22168.333333333332</v>
      </c>
      <c r="D51" s="471">
        <v>0</v>
      </c>
      <c r="E51" s="471">
        <v>0</v>
      </c>
    </row>
    <row r="52" spans="1:5" ht="15" customHeight="1">
      <c r="A52" s="470" t="s">
        <v>714</v>
      </c>
      <c r="B52" s="1268" t="s">
        <v>642</v>
      </c>
      <c r="C52" s="471">
        <f>22.3*2350*4/12</f>
        <v>17468.333333333332</v>
      </c>
      <c r="D52" s="471">
        <v>0</v>
      </c>
      <c r="E52" s="471">
        <v>0</v>
      </c>
    </row>
    <row r="53" spans="1:5" ht="15" customHeight="1">
      <c r="A53" s="470" t="s">
        <v>714</v>
      </c>
      <c r="B53" s="1268" t="s">
        <v>643</v>
      </c>
      <c r="C53" s="471">
        <f>5.9*2350*4/12</f>
        <v>4621.666666666667</v>
      </c>
      <c r="D53" s="471">
        <v>0</v>
      </c>
      <c r="E53" s="471">
        <v>0</v>
      </c>
    </row>
    <row r="54" spans="1:5" ht="15" customHeight="1">
      <c r="A54" s="470" t="s">
        <v>715</v>
      </c>
      <c r="B54" s="1268" t="s">
        <v>1123</v>
      </c>
      <c r="C54" s="471"/>
      <c r="D54" s="471">
        <f>ROUND(567/28*2.76,1)*2350/12*4</f>
        <v>43788.333333333336</v>
      </c>
      <c r="E54" s="471">
        <f>ROUND(523/28*2.76,1)*2350/12*4</f>
        <v>40420</v>
      </c>
    </row>
    <row r="55" spans="1:5" ht="15" customHeight="1">
      <c r="A55" s="470" t="s">
        <v>716</v>
      </c>
      <c r="B55" s="1268" t="s">
        <v>1124</v>
      </c>
      <c r="C55" s="471">
        <f>27.8*2350*8/12</f>
        <v>43553.333333333336</v>
      </c>
      <c r="D55" s="471">
        <f>ROUND(381/28*2.03,1)*2350/12*8</f>
        <v>43240</v>
      </c>
      <c r="E55" s="471">
        <f>ROUND(421/28*2.03,1)*2350/12*8</f>
        <v>47783.333333333336</v>
      </c>
    </row>
    <row r="56" spans="1:5" ht="15" customHeight="1">
      <c r="A56" s="470" t="s">
        <v>717</v>
      </c>
      <c r="B56" s="1268" t="s">
        <v>1125</v>
      </c>
      <c r="C56" s="471">
        <f>28.7*2350*4/12</f>
        <v>22481.666666666668</v>
      </c>
      <c r="D56" s="471">
        <f>ROUND(407/28*2.03,1)*2350/12*4</f>
        <v>23108.333333333332</v>
      </c>
      <c r="E56" s="471">
        <f>ROUND(389/28*2.03,1)*2350/12*4</f>
        <v>22090</v>
      </c>
    </row>
    <row r="57" spans="1:5" ht="15" customHeight="1">
      <c r="A57" s="470" t="s">
        <v>718</v>
      </c>
      <c r="B57" s="1270" t="s">
        <v>1126</v>
      </c>
      <c r="C57" s="471">
        <f>214*35*8/12</f>
        <v>4993.333333333333</v>
      </c>
      <c r="D57" s="471">
        <f>221*35*8/12</f>
        <v>5156.666666666667</v>
      </c>
      <c r="E57" s="471">
        <f>166*35*8/12</f>
        <v>3873.3333333333335</v>
      </c>
    </row>
    <row r="58" spans="1:5" ht="15" customHeight="1">
      <c r="A58" s="470" t="s">
        <v>719</v>
      </c>
      <c r="B58" s="1270" t="s">
        <v>1127</v>
      </c>
      <c r="C58" s="471">
        <f>210*35*4/12</f>
        <v>2450</v>
      </c>
      <c r="D58" s="471">
        <f>238*35*4/12</f>
        <v>2776.6666666666665</v>
      </c>
      <c r="E58" s="471">
        <f>173*35*4/12</f>
        <v>2018.3333333333333</v>
      </c>
    </row>
    <row r="59" spans="1:5" ht="15" customHeight="1">
      <c r="A59" s="470" t="s">
        <v>720</v>
      </c>
      <c r="B59" s="1270" t="s">
        <v>1128</v>
      </c>
      <c r="C59" s="471">
        <f>7*98*8/12</f>
        <v>457.3333333333333</v>
      </c>
      <c r="D59" s="471">
        <f>5*98*8/12</f>
        <v>326.6666666666667</v>
      </c>
      <c r="E59" s="471">
        <f>3*98*8/12</f>
        <v>196</v>
      </c>
    </row>
    <row r="60" spans="1:5" ht="15" customHeight="1">
      <c r="A60" s="470" t="s">
        <v>721</v>
      </c>
      <c r="B60" s="1270" t="s">
        <v>1129</v>
      </c>
      <c r="C60" s="471">
        <f>47*137.2*8/12</f>
        <v>4298.933333333333</v>
      </c>
      <c r="D60" s="471">
        <f>58*137.2*8/12</f>
        <v>5305.066666666667</v>
      </c>
      <c r="E60" s="471">
        <f>102*137.2*8/12</f>
        <v>9329.6</v>
      </c>
    </row>
    <row r="61" spans="1:5" ht="15" customHeight="1">
      <c r="A61" s="470" t="s">
        <v>722</v>
      </c>
      <c r="B61" s="1270" t="s">
        <v>1130</v>
      </c>
      <c r="C61" s="471">
        <f>27*58.8*8/12</f>
        <v>1058.3999999999999</v>
      </c>
      <c r="D61" s="471">
        <f>25*58.8*8/12</f>
        <v>980</v>
      </c>
      <c r="E61" s="471">
        <f>15*58.8*8/12</f>
        <v>588</v>
      </c>
    </row>
    <row r="62" spans="1:5" ht="15" customHeight="1">
      <c r="A62" s="470" t="s">
        <v>723</v>
      </c>
      <c r="B62" s="1270" t="s">
        <v>1131</v>
      </c>
      <c r="C62" s="471">
        <f>139*19.6*8/12</f>
        <v>1816.2666666666667</v>
      </c>
      <c r="D62" s="471">
        <f>187*19.6*8/12</f>
        <v>2443.4666666666667</v>
      </c>
      <c r="E62" s="471">
        <f>228*19.6*8/12</f>
        <v>2979.2000000000003</v>
      </c>
    </row>
    <row r="63" spans="1:5" ht="15" customHeight="1">
      <c r="A63" s="470" t="s">
        <v>724</v>
      </c>
      <c r="B63" s="1270" t="s">
        <v>1132</v>
      </c>
      <c r="C63" s="471">
        <f>16*98*4/12</f>
        <v>522.6666666666666</v>
      </c>
      <c r="D63" s="471">
        <f>3*98*4/12</f>
        <v>98</v>
      </c>
      <c r="E63" s="471">
        <f>8*98*4/12</f>
        <v>261.3333333333333</v>
      </c>
    </row>
    <row r="64" spans="1:5" ht="15" customHeight="1">
      <c r="A64" s="470" t="s">
        <v>725</v>
      </c>
      <c r="B64" s="1270" t="s">
        <v>1133</v>
      </c>
      <c r="C64" s="471">
        <f>50*137.2*4/12</f>
        <v>2286.6666666666665</v>
      </c>
      <c r="D64" s="471">
        <f>62*137.2*4/12</f>
        <v>2835.4666666666667</v>
      </c>
      <c r="E64" s="471">
        <f>82*137.2*4/12</f>
        <v>3750.133333333333</v>
      </c>
    </row>
    <row r="65" spans="1:5" ht="15" customHeight="1">
      <c r="A65" s="1697">
        <v>3</v>
      </c>
      <c r="B65" s="1568"/>
      <c r="C65" s="1568"/>
      <c r="D65" s="1568"/>
      <c r="E65" s="1568"/>
    </row>
    <row r="66" spans="1:5" ht="15" customHeight="1">
      <c r="A66" s="470"/>
      <c r="B66" s="469" t="s">
        <v>360</v>
      </c>
      <c r="C66" s="484" t="s">
        <v>620</v>
      </c>
      <c r="D66" s="484" t="s">
        <v>621</v>
      </c>
      <c r="E66" s="484" t="s">
        <v>1098</v>
      </c>
    </row>
    <row r="67" spans="1:5" ht="15" customHeight="1">
      <c r="A67" s="470" t="s">
        <v>726</v>
      </c>
      <c r="B67" s="1270" t="s">
        <v>1134</v>
      </c>
      <c r="C67" s="471">
        <f>22*58.8*4/12</f>
        <v>431.2</v>
      </c>
      <c r="D67" s="471">
        <f>27*58.8*4/12</f>
        <v>529.1999999999999</v>
      </c>
      <c r="E67" s="471">
        <f>28*58.8*4/12</f>
        <v>548.8</v>
      </c>
    </row>
    <row r="68" spans="1:5" ht="15" customHeight="1">
      <c r="A68" s="470" t="s">
        <v>727</v>
      </c>
      <c r="B68" s="1270" t="s">
        <v>1135</v>
      </c>
      <c r="C68" s="474">
        <f>121*19.6*4/12</f>
        <v>790.5333333333334</v>
      </c>
      <c r="D68" s="471">
        <f>196*19.6*4/12</f>
        <v>1280.5333333333335</v>
      </c>
      <c r="E68" s="471">
        <f>220*19.6*4/12</f>
        <v>1437.3333333333333</v>
      </c>
    </row>
    <row r="69" spans="1:5" ht="15" customHeight="1">
      <c r="A69" s="470" t="s">
        <v>728</v>
      </c>
      <c r="B69" s="1268" t="s">
        <v>1136</v>
      </c>
      <c r="C69" s="471">
        <f>5.8*2350*8/12</f>
        <v>9086.666666666666</v>
      </c>
      <c r="D69" s="471">
        <f>ROUND(265/8*0.17,1)*2350/12*8</f>
        <v>8773.333333333334</v>
      </c>
      <c r="E69" s="1271">
        <f>ROUND(273/8*0.36,1)*2350/12*8</f>
        <v>19270</v>
      </c>
    </row>
    <row r="70" spans="1:5" ht="15" customHeight="1">
      <c r="A70" s="470" t="s">
        <v>729</v>
      </c>
      <c r="B70" s="1268" t="s">
        <v>1137</v>
      </c>
      <c r="C70" s="471">
        <f>0.8*2350*8/12</f>
        <v>1253.3333333333333</v>
      </c>
      <c r="D70" s="471">
        <f>ROUND(119/10*0.08,1)*2350/12*8</f>
        <v>1566.6666666666667</v>
      </c>
      <c r="E70" s="471">
        <f>ROUND(142/10*0.18,1)*2350/12*8</f>
        <v>4073.3333333333335</v>
      </c>
    </row>
    <row r="71" spans="1:5" ht="15" customHeight="1">
      <c r="A71" s="470" t="s">
        <v>730</v>
      </c>
      <c r="B71" s="1268" t="s">
        <v>1138</v>
      </c>
      <c r="C71" s="471">
        <f>5.8*2350*4/12</f>
        <v>4543.333333333333</v>
      </c>
      <c r="D71" s="471">
        <f>ROUND(265/8*0.36,1)*2350/12*4</f>
        <v>9321.666666666666</v>
      </c>
      <c r="E71" s="471">
        <f>ROUND(273/8*0.36,1)*2350/12*4</f>
        <v>9635</v>
      </c>
    </row>
    <row r="72" spans="1:5" ht="15" customHeight="1">
      <c r="A72" s="470" t="s">
        <v>731</v>
      </c>
      <c r="B72" s="1268" t="s">
        <v>1139</v>
      </c>
      <c r="C72" s="471">
        <f>0.8*2350*4/12</f>
        <v>626.6666666666666</v>
      </c>
      <c r="D72" s="471">
        <f>ROUND(119/10*0.18,1)*2350/12*4</f>
        <v>1645</v>
      </c>
      <c r="E72" s="471">
        <f>ROUND(142/10*0.18,1)*2350/12*4</f>
        <v>2036.6666666666667</v>
      </c>
    </row>
    <row r="73" spans="1:5" ht="15" customHeight="1">
      <c r="A73" s="470" t="s">
        <v>732</v>
      </c>
      <c r="B73" s="1268" t="s">
        <v>1140</v>
      </c>
      <c r="C73" s="471">
        <f>274*44.9/12*8</f>
        <v>8201.733333333334</v>
      </c>
      <c r="D73" s="471">
        <f>265*44.9*8/12</f>
        <v>7932.333333333333</v>
      </c>
      <c r="E73" s="471">
        <v>0</v>
      </c>
    </row>
    <row r="74" spans="1:5" ht="15" customHeight="1">
      <c r="A74" s="470" t="s">
        <v>733</v>
      </c>
      <c r="B74" s="1268" t="s">
        <v>644</v>
      </c>
      <c r="C74" s="471">
        <f>94*17.6/12*8</f>
        <v>1102.9333333333334</v>
      </c>
      <c r="D74" s="471">
        <f>119*17.6*8/12</f>
        <v>1396.2666666666667</v>
      </c>
      <c r="E74" s="471">
        <v>0</v>
      </c>
    </row>
    <row r="75" spans="1:5" ht="15" customHeight="1">
      <c r="A75" s="470"/>
      <c r="B75" s="1268" t="s">
        <v>645</v>
      </c>
      <c r="C75" s="471">
        <f>274*44.9/12*4</f>
        <v>4100.866666666667</v>
      </c>
      <c r="D75" s="471">
        <v>0</v>
      </c>
      <c r="E75" s="471">
        <v>0</v>
      </c>
    </row>
    <row r="76" spans="1:5" ht="15" customHeight="1">
      <c r="A76" s="470" t="s">
        <v>734</v>
      </c>
      <c r="B76" s="1268" t="s">
        <v>646</v>
      </c>
      <c r="C76" s="471">
        <f>94*17.6/12*4</f>
        <v>551.4666666666667</v>
      </c>
      <c r="D76" s="471">
        <v>0</v>
      </c>
      <c r="E76" s="471">
        <v>0</v>
      </c>
    </row>
    <row r="77" spans="1:5" ht="15" customHeight="1">
      <c r="A77" s="473" t="s">
        <v>735</v>
      </c>
      <c r="B77" s="1270" t="s">
        <v>1141</v>
      </c>
      <c r="C77" s="498"/>
      <c r="D77" s="500">
        <f>235*6</f>
        <v>1410</v>
      </c>
      <c r="E77" s="498">
        <f>269*6</f>
        <v>1614</v>
      </c>
    </row>
    <row r="78" spans="1:5" ht="15" customHeight="1">
      <c r="A78" s="473" t="s">
        <v>736</v>
      </c>
      <c r="B78" s="1270" t="s">
        <v>1142</v>
      </c>
      <c r="C78" s="498"/>
      <c r="D78" s="500">
        <f>155*6</f>
        <v>930</v>
      </c>
      <c r="E78" s="498">
        <f>198*6</f>
        <v>1188</v>
      </c>
    </row>
    <row r="79" spans="1:5" ht="15" customHeight="1">
      <c r="A79" s="473" t="s">
        <v>737</v>
      </c>
      <c r="B79" s="1270" t="s">
        <v>1143</v>
      </c>
      <c r="C79" s="498"/>
      <c r="D79" s="500">
        <f>2306*1.75</f>
        <v>4035.5</v>
      </c>
      <c r="E79" s="498">
        <f>2147*1.75*8/12</f>
        <v>2504.8333333333335</v>
      </c>
    </row>
    <row r="80" spans="1:5" ht="15" customHeight="1">
      <c r="A80" s="473" t="s">
        <v>737</v>
      </c>
      <c r="B80" s="1270" t="s">
        <v>1144</v>
      </c>
      <c r="C80" s="498"/>
      <c r="D80" s="500"/>
      <c r="E80" s="498">
        <f>2070*1.75*4/12</f>
        <v>1207.5</v>
      </c>
    </row>
    <row r="81" spans="1:5" ht="15" customHeight="1">
      <c r="A81" s="470" t="s">
        <v>738</v>
      </c>
      <c r="B81" s="1268" t="s">
        <v>1145</v>
      </c>
      <c r="C81" s="471">
        <f>3.8*2350*8/12</f>
        <v>5953.333333333333</v>
      </c>
      <c r="D81" s="471">
        <f>ROUND(66/25*1.3,1)*2350/12*8</f>
        <v>5326.666666666667</v>
      </c>
      <c r="E81" s="471">
        <f>ROUND(74/25*3.04,1)*2350/12*8</f>
        <v>14100</v>
      </c>
    </row>
    <row r="82" spans="1:5" ht="15" customHeight="1">
      <c r="A82" s="470" t="s">
        <v>739</v>
      </c>
      <c r="B82" s="1268" t="s">
        <v>1146</v>
      </c>
      <c r="C82" s="471">
        <f>3.7*2350*4/12</f>
        <v>2898.3333333333335</v>
      </c>
      <c r="D82" s="471">
        <f>ROUND(66/25*3.04,1)*2350/12*4</f>
        <v>6266.666666666667</v>
      </c>
      <c r="E82" s="471">
        <f>ROUND(74/25*3.04,1)*2350/12*4</f>
        <v>7050</v>
      </c>
    </row>
    <row r="83" spans="1:5" ht="15" customHeight="1">
      <c r="A83" s="470" t="s">
        <v>740</v>
      </c>
      <c r="B83" s="1268" t="s">
        <v>647</v>
      </c>
      <c r="C83" s="471">
        <f>73*165*8/12</f>
        <v>8030</v>
      </c>
      <c r="D83" s="471">
        <f>66*165*8/12</f>
        <v>7260</v>
      </c>
      <c r="E83" s="471">
        <v>0</v>
      </c>
    </row>
    <row r="84" spans="1:5" ht="15" customHeight="1">
      <c r="A84" s="470" t="s">
        <v>741</v>
      </c>
      <c r="B84" s="1268" t="s">
        <v>648</v>
      </c>
      <c r="C84" s="471">
        <f>72*165*4/12</f>
        <v>3960</v>
      </c>
      <c r="D84" s="471">
        <v>0</v>
      </c>
      <c r="E84" s="471">
        <v>0</v>
      </c>
    </row>
    <row r="85" spans="1:5" ht="15" customHeight="1">
      <c r="A85" s="470" t="s">
        <v>742</v>
      </c>
      <c r="B85" s="1268" t="s">
        <v>1147</v>
      </c>
      <c r="C85" s="471">
        <f>3.7*2350*8/12</f>
        <v>5796.666666666667</v>
      </c>
      <c r="D85" s="471">
        <f>ROUND(409/25*0.24,1)*2350/12*8</f>
        <v>6110</v>
      </c>
      <c r="E85" s="471">
        <f>ROUND(378/25*0.24,1)*2350/12*8</f>
        <v>5640</v>
      </c>
    </row>
    <row r="86" spans="1:5" ht="15" customHeight="1">
      <c r="A86" s="470" t="s">
        <v>743</v>
      </c>
      <c r="B86" s="1268" t="s">
        <v>1148</v>
      </c>
      <c r="C86" s="471">
        <f>0.7*2350*8/12</f>
        <v>1096.6666666666667</v>
      </c>
      <c r="D86" s="471">
        <f>ROUND(147/25*0.16,1)*2350/12*8</f>
        <v>1410</v>
      </c>
      <c r="E86" s="471">
        <f>ROUND(162/25*0.16,1)*2350/12*8</f>
        <v>1566.6666666666667</v>
      </c>
    </row>
    <row r="87" spans="1:5" ht="15" customHeight="1">
      <c r="A87" s="470" t="s">
        <v>744</v>
      </c>
      <c r="B87" s="1268" t="s">
        <v>1149</v>
      </c>
      <c r="C87" s="471">
        <f>3.5*2350*4/12</f>
        <v>2741.6666666666665</v>
      </c>
      <c r="D87" s="471">
        <f>ROUND(409/25*0.24,1)*2350/12*4</f>
        <v>3055</v>
      </c>
      <c r="E87" s="471">
        <f>ROUND(378/25*0.24,1)*2350/12*4</f>
        <v>2820</v>
      </c>
    </row>
    <row r="88" spans="1:5" ht="15" customHeight="1">
      <c r="A88" s="470" t="s">
        <v>745</v>
      </c>
      <c r="B88" s="1268" t="s">
        <v>1150</v>
      </c>
      <c r="C88" s="471">
        <f>0.6*2350*4/12</f>
        <v>470</v>
      </c>
      <c r="D88" s="471">
        <f>ROUND(147/25*0.16,1)*2350/12*4</f>
        <v>705</v>
      </c>
      <c r="E88" s="471">
        <f>ROUND(162/25*0.16,1)*2350/12*4</f>
        <v>783.3333333333334</v>
      </c>
    </row>
    <row r="89" spans="1:5" ht="15" customHeight="1">
      <c r="A89" s="470" t="s">
        <v>746</v>
      </c>
      <c r="B89" s="1268" t="s">
        <v>1151</v>
      </c>
      <c r="C89" s="471">
        <f>26*64*8/12</f>
        <v>1109.3333333333333</v>
      </c>
      <c r="D89" s="471">
        <f>37*64*8/12</f>
        <v>1578.6666666666667</v>
      </c>
      <c r="E89" s="471">
        <f>35*64*8/12</f>
        <v>1493.3333333333333</v>
      </c>
    </row>
    <row r="90" spans="1:5" ht="15" customHeight="1">
      <c r="A90" s="470" t="s">
        <v>747</v>
      </c>
      <c r="B90" s="1268" t="s">
        <v>1152</v>
      </c>
      <c r="C90" s="471">
        <f>35*64*4/12</f>
        <v>746.6666666666666</v>
      </c>
      <c r="D90" s="471">
        <f>32*64*4/12</f>
        <v>682.6666666666666</v>
      </c>
      <c r="E90" s="471">
        <f>34*64*4/12</f>
        <v>725.3333333333334</v>
      </c>
    </row>
    <row r="91" spans="1:5" ht="15" customHeight="1">
      <c r="A91" s="470" t="s">
        <v>748</v>
      </c>
      <c r="B91" s="1268" t="s">
        <v>1153</v>
      </c>
      <c r="C91" s="471">
        <f>942*15.3*8/12</f>
        <v>9608.4</v>
      </c>
      <c r="D91" s="471">
        <f>981*15.3*8/12</f>
        <v>10006.2</v>
      </c>
      <c r="E91" s="471">
        <f>995*15.3*8/12</f>
        <v>10149</v>
      </c>
    </row>
    <row r="92" spans="1:5" ht="15" customHeight="1">
      <c r="A92" s="470" t="s">
        <v>749</v>
      </c>
      <c r="B92" s="1268" t="s">
        <v>1154</v>
      </c>
      <c r="C92" s="471">
        <f>955*15.3*4/12</f>
        <v>4870.5</v>
      </c>
      <c r="D92" s="471">
        <f>1000*15.3*4/12</f>
        <v>5100</v>
      </c>
      <c r="E92" s="471">
        <f>970*15.3*4/12</f>
        <v>4947</v>
      </c>
    </row>
    <row r="93" spans="1:5" ht="15" customHeight="1">
      <c r="A93" s="470" t="s">
        <v>750</v>
      </c>
      <c r="B93" s="1268" t="s">
        <v>1155</v>
      </c>
      <c r="C93" s="471">
        <f>47*36.3/12*8</f>
        <v>1137.3999999999999</v>
      </c>
      <c r="D93" s="471">
        <f>51*36.3*8/12</f>
        <v>1234.2</v>
      </c>
      <c r="E93" s="471">
        <f>44*32*8/12</f>
        <v>938.6666666666666</v>
      </c>
    </row>
    <row r="94" spans="1:5" ht="15" customHeight="1">
      <c r="A94" s="470" t="s">
        <v>751</v>
      </c>
      <c r="B94" s="1268" t="s">
        <v>649</v>
      </c>
      <c r="C94" s="471">
        <f>39*36.3/12*8</f>
        <v>943.7999999999998</v>
      </c>
      <c r="D94" s="471">
        <f>50*36.3*8/12</f>
        <v>1209.9999999999998</v>
      </c>
      <c r="E94" s="471">
        <v>0</v>
      </c>
    </row>
    <row r="95" spans="1:5" ht="15" customHeight="1">
      <c r="A95" s="470" t="s">
        <v>752</v>
      </c>
      <c r="B95" s="1268" t="s">
        <v>650</v>
      </c>
      <c r="C95" s="471">
        <f>48*36.3*8/12</f>
        <v>1161.6</v>
      </c>
      <c r="D95" s="471">
        <f>25*36.3*8/12</f>
        <v>604.9999999999999</v>
      </c>
      <c r="E95" s="471">
        <v>0</v>
      </c>
    </row>
    <row r="96" spans="1:5" ht="15" customHeight="1">
      <c r="A96" s="470" t="s">
        <v>1156</v>
      </c>
      <c r="B96" s="1268" t="s">
        <v>1157</v>
      </c>
      <c r="C96" s="471"/>
      <c r="D96" s="471"/>
      <c r="E96" s="471">
        <f>68*32*8/12</f>
        <v>1450.6666666666667</v>
      </c>
    </row>
    <row r="97" spans="1:5" ht="15" customHeight="1">
      <c r="A97" s="1694">
        <v>4</v>
      </c>
      <c r="B97" s="1695"/>
      <c r="C97" s="1695"/>
      <c r="D97" s="1695"/>
      <c r="E97" s="1695"/>
    </row>
    <row r="98" spans="1:5" ht="15" customHeight="1">
      <c r="A98" s="470"/>
      <c r="B98" s="469" t="s">
        <v>360</v>
      </c>
      <c r="C98" s="484" t="s">
        <v>620</v>
      </c>
      <c r="D98" s="484" t="s">
        <v>621</v>
      </c>
      <c r="E98" s="484" t="s">
        <v>1098</v>
      </c>
    </row>
    <row r="99" spans="1:5" ht="15" customHeight="1">
      <c r="A99" s="470" t="s">
        <v>753</v>
      </c>
      <c r="B99" s="1268" t="s">
        <v>1158</v>
      </c>
      <c r="C99" s="471">
        <f>50*36.3*4/12</f>
        <v>604.9999999999999</v>
      </c>
      <c r="D99" s="471">
        <v>0</v>
      </c>
      <c r="E99" s="471">
        <f>44*32*4/12</f>
        <v>469.3333333333333</v>
      </c>
    </row>
    <row r="100" spans="1:5" ht="15" customHeight="1">
      <c r="A100" s="470" t="s">
        <v>754</v>
      </c>
      <c r="B100" s="1268" t="s">
        <v>651</v>
      </c>
      <c r="C100" s="471">
        <f>50*36.3/12*4+97</f>
        <v>701.9999999999999</v>
      </c>
      <c r="D100" s="471">
        <v>0</v>
      </c>
      <c r="E100" s="471">
        <v>0</v>
      </c>
    </row>
    <row r="101" spans="1:5" ht="15" customHeight="1">
      <c r="A101" s="470" t="s">
        <v>755</v>
      </c>
      <c r="B101" s="1268" t="s">
        <v>1159</v>
      </c>
      <c r="C101" s="471">
        <v>0</v>
      </c>
      <c r="D101" s="471">
        <v>0</v>
      </c>
      <c r="E101" s="471">
        <f>68*32*4/12</f>
        <v>725.3333333333334</v>
      </c>
    </row>
    <row r="102" spans="1:5" ht="15" customHeight="1">
      <c r="A102" s="470" t="s">
        <v>755</v>
      </c>
      <c r="B102" s="1268" t="s">
        <v>652</v>
      </c>
      <c r="C102" s="471">
        <f>25*36.3*4/12</f>
        <v>302.49999999999994</v>
      </c>
      <c r="D102" s="471">
        <v>0</v>
      </c>
      <c r="E102" s="471">
        <v>0</v>
      </c>
    </row>
    <row r="103" spans="1:5" ht="15" customHeight="1">
      <c r="A103" s="470" t="s">
        <v>756</v>
      </c>
      <c r="B103" s="1268" t="s">
        <v>1160</v>
      </c>
      <c r="C103" s="471">
        <f>149*65</f>
        <v>9685</v>
      </c>
      <c r="D103" s="471">
        <f>(136+48+12)*68</f>
        <v>13328</v>
      </c>
      <c r="E103" s="471">
        <f>207*68</f>
        <v>14076</v>
      </c>
    </row>
    <row r="104" spans="1:5" ht="15" customHeight="1">
      <c r="A104" s="470" t="s">
        <v>757</v>
      </c>
      <c r="B104" s="1268" t="s">
        <v>1161</v>
      </c>
      <c r="C104" s="471">
        <f>298*65</f>
        <v>19370</v>
      </c>
      <c r="D104" s="471">
        <f>(23+99+354)*68</f>
        <v>32368</v>
      </c>
      <c r="E104" s="471">
        <f>384*68</f>
        <v>26112</v>
      </c>
    </row>
    <row r="105" spans="1:5" ht="15" customHeight="1">
      <c r="A105" s="470" t="s">
        <v>758</v>
      </c>
      <c r="B105" s="1268" t="s">
        <v>1162</v>
      </c>
      <c r="C105" s="471">
        <f>49*65</f>
        <v>3185</v>
      </c>
      <c r="D105" s="471">
        <f>(6+36+18)*68</f>
        <v>4080</v>
      </c>
      <c r="E105" s="471">
        <f>44*68</f>
        <v>2992</v>
      </c>
    </row>
    <row r="106" spans="1:5" ht="15" customHeight="1">
      <c r="A106" s="470" t="s">
        <v>759</v>
      </c>
      <c r="B106" s="1268" t="s">
        <v>1163</v>
      </c>
      <c r="C106" s="471">
        <f>16*65</f>
        <v>1040</v>
      </c>
      <c r="D106" s="471">
        <f>(3+9)*68</f>
        <v>816</v>
      </c>
      <c r="E106" s="471">
        <f>8*68</f>
        <v>544</v>
      </c>
    </row>
    <row r="107" spans="1:5" ht="15" customHeight="1">
      <c r="A107" s="470" t="s">
        <v>760</v>
      </c>
      <c r="B107" s="1268" t="s">
        <v>1164</v>
      </c>
      <c r="C107" s="471">
        <f>42*65</f>
        <v>2730</v>
      </c>
      <c r="D107" s="471">
        <f>(3+12+28)*68</f>
        <v>2924</v>
      </c>
      <c r="E107" s="471">
        <f>34*68</f>
        <v>2312</v>
      </c>
    </row>
    <row r="108" spans="1:5" ht="15" customHeight="1">
      <c r="A108" s="470" t="s">
        <v>761</v>
      </c>
      <c r="B108" s="1268" t="s">
        <v>653</v>
      </c>
      <c r="C108" s="471">
        <f>69*20</f>
        <v>1380</v>
      </c>
      <c r="D108" s="471">
        <v>0</v>
      </c>
      <c r="E108" s="471"/>
    </row>
    <row r="109" spans="1:5" ht="15" customHeight="1">
      <c r="A109" s="470" t="s">
        <v>762</v>
      </c>
      <c r="B109" s="1268" t="s">
        <v>1165</v>
      </c>
      <c r="C109" s="471">
        <f>1236*10</f>
        <v>12360</v>
      </c>
      <c r="D109" s="471">
        <f>1478*12</f>
        <v>17736</v>
      </c>
      <c r="E109" s="471">
        <f>1291*12</f>
        <v>15492</v>
      </c>
    </row>
    <row r="110" spans="1:5" ht="15" customHeight="1">
      <c r="A110" s="470" t="s">
        <v>763</v>
      </c>
      <c r="B110" s="1268" t="s">
        <v>654</v>
      </c>
      <c r="C110" s="471">
        <f>2693*1</f>
        <v>2693</v>
      </c>
      <c r="D110" s="471">
        <v>0</v>
      </c>
      <c r="E110" s="471"/>
    </row>
    <row r="111" spans="1:5" ht="15" customHeight="1">
      <c r="A111" s="470" t="s">
        <v>764</v>
      </c>
      <c r="B111" s="1268" t="s">
        <v>1166</v>
      </c>
      <c r="C111" s="471"/>
      <c r="D111" s="471">
        <f>8*1200*8/12</f>
        <v>6400</v>
      </c>
      <c r="E111" s="471">
        <f>9*1200*8/12</f>
        <v>7200</v>
      </c>
    </row>
    <row r="112" spans="1:5" ht="15" customHeight="1">
      <c r="A112" s="470" t="s">
        <v>765</v>
      </c>
      <c r="B112" s="1268" t="s">
        <v>1167</v>
      </c>
      <c r="C112" s="471"/>
      <c r="D112" s="471">
        <f>8*1200*4/12</f>
        <v>3200</v>
      </c>
      <c r="E112" s="471">
        <f>9*1200*4/12</f>
        <v>3600</v>
      </c>
    </row>
    <row r="113" spans="1:5" ht="15" customHeight="1">
      <c r="A113" s="473" t="s">
        <v>766</v>
      </c>
      <c r="B113" s="1270" t="s">
        <v>1168</v>
      </c>
      <c r="C113" s="498"/>
      <c r="D113" s="500">
        <f>285*10.5*8/12</f>
        <v>1995</v>
      </c>
      <c r="E113" s="498">
        <f>283*6.3*8/12</f>
        <v>1188.6</v>
      </c>
    </row>
    <row r="114" spans="1:5" ht="15" customHeight="1">
      <c r="A114" s="473" t="s">
        <v>767</v>
      </c>
      <c r="B114" s="1270" t="s">
        <v>1169</v>
      </c>
      <c r="C114" s="498"/>
      <c r="D114" s="500">
        <f>285*10.5*4/12</f>
        <v>997.5</v>
      </c>
      <c r="E114" s="498">
        <f>283*6.3*4/12</f>
        <v>594.3</v>
      </c>
    </row>
    <row r="115" spans="1:5" ht="15" customHeight="1">
      <c r="A115" s="473" t="s">
        <v>768</v>
      </c>
      <c r="B115" s="1270" t="s">
        <v>1170</v>
      </c>
      <c r="C115" s="498"/>
      <c r="D115" s="500">
        <f>121*26*8/12</f>
        <v>2097.3333333333335</v>
      </c>
      <c r="E115" s="498">
        <f>119*26*8/12</f>
        <v>2062.6666666666665</v>
      </c>
    </row>
    <row r="116" spans="1:5" ht="15" customHeight="1">
      <c r="A116" s="473" t="s">
        <v>769</v>
      </c>
      <c r="B116" s="1270" t="s">
        <v>1171</v>
      </c>
      <c r="C116" s="498"/>
      <c r="D116" s="500">
        <f>120*26*4/12</f>
        <v>1040</v>
      </c>
      <c r="E116" s="498">
        <f>106*26*4/12</f>
        <v>918.6666666666666</v>
      </c>
    </row>
    <row r="117" spans="1:5" ht="15" customHeight="1">
      <c r="A117" s="473" t="s">
        <v>770</v>
      </c>
      <c r="B117" s="1270" t="s">
        <v>1172</v>
      </c>
      <c r="C117" s="498"/>
      <c r="D117" s="500">
        <f>6*65*8/12</f>
        <v>260</v>
      </c>
      <c r="E117" s="498">
        <f>6*65*8/12</f>
        <v>260</v>
      </c>
    </row>
    <row r="118" spans="1:5" ht="15" customHeight="1">
      <c r="A118" s="473" t="s">
        <v>771</v>
      </c>
      <c r="B118" s="1270" t="s">
        <v>1173</v>
      </c>
      <c r="C118" s="498"/>
      <c r="D118" s="500">
        <f>6*65*4/12</f>
        <v>130</v>
      </c>
      <c r="E118" s="498">
        <f>6*65*4/12</f>
        <v>130</v>
      </c>
    </row>
    <row r="119" spans="1:5" ht="15" customHeight="1">
      <c r="A119" s="470"/>
      <c r="B119" s="1272" t="s">
        <v>655</v>
      </c>
      <c r="C119" s="472">
        <f>SUM(C11:C118)</f>
        <v>928908.9333333332</v>
      </c>
      <c r="D119" s="472">
        <f>SUM(D11:D118)</f>
        <v>955457.4666666666</v>
      </c>
      <c r="E119" s="472">
        <f>SUM(E12:E118)</f>
        <v>779690.9000000001</v>
      </c>
    </row>
    <row r="120" spans="1:5" ht="15" customHeight="1">
      <c r="A120" s="470"/>
      <c r="B120" s="1274"/>
      <c r="C120" s="472"/>
      <c r="D120" s="472"/>
      <c r="E120" s="472"/>
    </row>
    <row r="121" spans="1:5" ht="15" customHeight="1">
      <c r="A121" s="470"/>
      <c r="B121" s="1273" t="s">
        <v>1174</v>
      </c>
      <c r="C121" s="471">
        <f>17272*1.947</f>
        <v>33628.584</v>
      </c>
      <c r="D121" s="478">
        <v>47344</v>
      </c>
      <c r="E121" s="478">
        <f>16958*4.074</f>
        <v>69086.89199999999</v>
      </c>
    </row>
    <row r="122" spans="1:5" ht="15" customHeight="1">
      <c r="A122" s="470"/>
      <c r="B122" s="1273" t="s">
        <v>1175</v>
      </c>
      <c r="C122" s="471">
        <f>12*253.5</f>
        <v>3042</v>
      </c>
      <c r="D122" s="479">
        <f>12*253.53</f>
        <v>3042.36</v>
      </c>
      <c r="E122" s="479">
        <f>12*253.53</f>
        <v>3042.36</v>
      </c>
    </row>
    <row r="123" spans="1:5" ht="15" customHeight="1">
      <c r="A123" s="470"/>
      <c r="B123" s="1273" t="s">
        <v>1176</v>
      </c>
      <c r="C123" s="471">
        <f>18000*1</f>
        <v>18000</v>
      </c>
      <c r="D123" s="479">
        <v>33000</v>
      </c>
      <c r="E123" s="479">
        <f>25000*1.5</f>
        <v>37500</v>
      </c>
    </row>
    <row r="124" spans="1:5" ht="15" customHeight="1">
      <c r="A124" s="470"/>
      <c r="B124" s="1268" t="s">
        <v>1177</v>
      </c>
      <c r="C124" s="471">
        <f>48*2.612</f>
        <v>125.376</v>
      </c>
      <c r="D124" s="479">
        <f>49*2.612</f>
        <v>127.988</v>
      </c>
      <c r="E124" s="479">
        <f>52*2.612</f>
        <v>135.824</v>
      </c>
    </row>
    <row r="125" spans="1:5" ht="15" customHeight="1">
      <c r="A125" s="470"/>
      <c r="B125" s="1268" t="s">
        <v>92</v>
      </c>
      <c r="C125" s="471"/>
      <c r="D125" s="479"/>
      <c r="E125" s="479"/>
    </row>
    <row r="126" spans="1:5" ht="15" customHeight="1">
      <c r="A126" s="470"/>
      <c r="B126" s="1268" t="s">
        <v>656</v>
      </c>
      <c r="C126" s="471">
        <v>3000</v>
      </c>
      <c r="D126" s="479">
        <v>3000</v>
      </c>
      <c r="E126" s="479">
        <v>3000</v>
      </c>
    </row>
    <row r="127" spans="1:5" ht="15" customHeight="1">
      <c r="A127" s="470"/>
      <c r="B127" s="1268" t="s">
        <v>1178</v>
      </c>
      <c r="C127" s="471">
        <f>30638*0.276</f>
        <v>8456.088000000002</v>
      </c>
      <c r="D127" s="479">
        <f>27.366*276</f>
        <v>7553.016</v>
      </c>
      <c r="E127" s="479">
        <f>26.54*276</f>
        <v>7325.04</v>
      </c>
    </row>
    <row r="128" spans="1:5" ht="15" customHeight="1">
      <c r="A128" s="470"/>
      <c r="B128" s="1268" t="s">
        <v>1179</v>
      </c>
      <c r="C128" s="471">
        <v>10233</v>
      </c>
      <c r="D128" s="479">
        <f>485*28.6</f>
        <v>13871</v>
      </c>
      <c r="E128" s="479">
        <f>534*28.6</f>
        <v>15272.400000000001</v>
      </c>
    </row>
    <row r="129" spans="1:5" ht="15" customHeight="1">
      <c r="A129" s="1696">
        <v>5</v>
      </c>
      <c r="B129" s="1696"/>
      <c r="C129" s="1696"/>
      <c r="D129" s="1696"/>
      <c r="E129" s="1696"/>
    </row>
    <row r="130" spans="1:5" ht="15" customHeight="1">
      <c r="A130" s="470"/>
      <c r="B130" s="469" t="s">
        <v>360</v>
      </c>
      <c r="C130" s="484" t="s">
        <v>620</v>
      </c>
      <c r="D130" s="484" t="s">
        <v>621</v>
      </c>
      <c r="E130" s="484" t="s">
        <v>1098</v>
      </c>
    </row>
    <row r="131" spans="1:5" ht="15" customHeight="1">
      <c r="A131" s="470"/>
      <c r="B131" s="1268" t="s">
        <v>1180</v>
      </c>
      <c r="C131" s="471">
        <v>2502</v>
      </c>
      <c r="D131" s="479">
        <f>56*44.256</f>
        <v>2478.3360000000002</v>
      </c>
      <c r="E131" s="479">
        <f>43.885*56</f>
        <v>2457.56</v>
      </c>
    </row>
    <row r="132" spans="1:5" ht="15" customHeight="1">
      <c r="A132" s="470"/>
      <c r="B132" s="1268" t="s">
        <v>1181</v>
      </c>
      <c r="C132" s="471">
        <v>4073</v>
      </c>
      <c r="D132" s="479">
        <f>591*7.73</f>
        <v>4568.43</v>
      </c>
      <c r="E132" s="479">
        <f>633*7.729</f>
        <v>4892.457</v>
      </c>
    </row>
    <row r="133" spans="1:5" ht="15" customHeight="1">
      <c r="A133" s="470"/>
      <c r="B133" s="1268" t="s">
        <v>657</v>
      </c>
      <c r="C133" s="471">
        <v>264999</v>
      </c>
      <c r="D133" s="471">
        <v>263721</v>
      </c>
      <c r="E133" s="471">
        <v>0</v>
      </c>
    </row>
    <row r="134" spans="1:5" ht="15" customHeight="1">
      <c r="A134" s="486"/>
      <c r="B134" s="1268" t="s">
        <v>658</v>
      </c>
      <c r="C134" s="471">
        <v>201552</v>
      </c>
      <c r="D134" s="471">
        <v>186862</v>
      </c>
      <c r="E134" s="471">
        <v>165421</v>
      </c>
    </row>
    <row r="135" spans="1:5" ht="15" customHeight="1">
      <c r="A135" s="470"/>
      <c r="B135" s="1268" t="s">
        <v>659</v>
      </c>
      <c r="C135" s="480">
        <v>207627</v>
      </c>
      <c r="D135" s="480">
        <v>234883</v>
      </c>
      <c r="E135" s="480">
        <v>222591</v>
      </c>
    </row>
    <row r="136" spans="1:5" ht="15" customHeight="1">
      <c r="A136" s="470"/>
      <c r="B136" s="1268" t="s">
        <v>660</v>
      </c>
      <c r="C136" s="472">
        <f>SUM(C123:C135)</f>
        <v>720567.4639999999</v>
      </c>
      <c r="D136" s="472">
        <f>SUM(D123:D135)</f>
        <v>750064.77</v>
      </c>
      <c r="E136" s="472">
        <f>SUM(E123:E135)</f>
        <v>458595.281</v>
      </c>
    </row>
    <row r="137" spans="1:5" ht="15" customHeight="1">
      <c r="A137" s="470"/>
      <c r="B137" s="1272" t="s">
        <v>661</v>
      </c>
      <c r="C137" s="472">
        <f>C136+C122+C13</f>
        <v>781576.1306666665</v>
      </c>
      <c r="D137" s="472">
        <f>D136+D122+D13</f>
        <v>812170.4633333334</v>
      </c>
      <c r="E137" s="472">
        <f>E136+E122+E13</f>
        <v>524930.9743333333</v>
      </c>
    </row>
    <row r="138" spans="1:5" ht="15" customHeight="1">
      <c r="A138" s="470"/>
      <c r="B138" s="469" t="s">
        <v>1182</v>
      </c>
      <c r="C138" s="471">
        <f>C137-C133</f>
        <v>516577.13066666655</v>
      </c>
      <c r="D138" s="471">
        <f>D137-D133</f>
        <v>548449.4633333334</v>
      </c>
      <c r="E138" s="471">
        <f>E137-E133</f>
        <v>524930.9743333333</v>
      </c>
    </row>
    <row r="139" spans="1:5" ht="15" customHeight="1">
      <c r="A139" s="470"/>
      <c r="B139" s="470" t="s">
        <v>1183</v>
      </c>
      <c r="C139" s="471">
        <v>0</v>
      </c>
      <c r="D139" s="471">
        <f>D138-C138</f>
        <v>31872.33266666683</v>
      </c>
      <c r="E139" s="471">
        <f>E138-D138</f>
        <v>-23518.48900000006</v>
      </c>
    </row>
    <row r="140" spans="1:5" ht="15" customHeight="1">
      <c r="A140" s="470"/>
      <c r="B140" s="470"/>
      <c r="C140" s="471"/>
      <c r="D140" s="479"/>
      <c r="E140" s="479"/>
    </row>
    <row r="141" ht="15" customHeight="1"/>
    <row r="142" ht="15" customHeight="1"/>
    <row r="143" ht="15" customHeight="1"/>
    <row r="144" s="20" customFormat="1" ht="15" customHeight="1"/>
    <row r="145" ht="15" customHeight="1"/>
    <row r="146" ht="15" customHeight="1"/>
    <row r="147" ht="15" customHeight="1"/>
    <row r="148" ht="15" customHeight="1"/>
    <row r="149" spans="1:5" ht="15" customHeight="1">
      <c r="A149" s="475"/>
      <c r="B149" s="488"/>
      <c r="C149" s="476"/>
      <c r="D149" s="489"/>
      <c r="E149" s="489"/>
    </row>
    <row r="150" ht="15" customHeight="1"/>
    <row r="183" s="20" customFormat="1" ht="12.75"/>
    <row r="237" ht="32.25" customHeight="1"/>
  </sheetData>
  <sheetProtection/>
  <mergeCells count="7">
    <mergeCell ref="A1:E1"/>
    <mergeCell ref="A97:E97"/>
    <mergeCell ref="A2:E2"/>
    <mergeCell ref="A3:E3"/>
    <mergeCell ref="A129:E129"/>
    <mergeCell ref="A33:E33"/>
    <mergeCell ref="A65:E65"/>
  </mergeCells>
  <printOptions/>
  <pageMargins left="0.7480314960629921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B25" sqref="B25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571" t="s">
        <v>1384</v>
      </c>
      <c r="B1" s="205"/>
      <c r="C1" s="205"/>
      <c r="D1" s="205"/>
      <c r="E1" s="205"/>
      <c r="F1" s="205"/>
    </row>
    <row r="4" spans="1:2" ht="18">
      <c r="A4" s="1698" t="s">
        <v>362</v>
      </c>
      <c r="B4" s="1698"/>
    </row>
    <row r="7" ht="13.5" thickBot="1">
      <c r="B7" s="50" t="s">
        <v>363</v>
      </c>
    </row>
    <row r="8" spans="1:2" ht="16.5" thickBot="1">
      <c r="A8" s="888" t="s">
        <v>3</v>
      </c>
      <c r="B8" s="889" t="s">
        <v>918</v>
      </c>
    </row>
    <row r="9" spans="1:2" ht="15.75">
      <c r="A9" s="890"/>
      <c r="B9" s="891"/>
    </row>
    <row r="10" spans="1:2" ht="15.75">
      <c r="A10" s="890" t="s">
        <v>364</v>
      </c>
      <c r="B10" s="891"/>
    </row>
    <row r="11" spans="1:2" ht="15.75">
      <c r="A11" s="890" t="s">
        <v>1268</v>
      </c>
      <c r="B11" s="891">
        <v>849</v>
      </c>
    </row>
    <row r="12" spans="1:2" ht="15.75">
      <c r="A12" s="890" t="s">
        <v>1269</v>
      </c>
      <c r="B12" s="891">
        <v>15000</v>
      </c>
    </row>
    <row r="13" spans="1:2" ht="15.75">
      <c r="A13" s="890" t="s">
        <v>365</v>
      </c>
      <c r="B13" s="891"/>
    </row>
    <row r="14" spans="1:2" ht="15.75">
      <c r="A14" s="890" t="s">
        <v>366</v>
      </c>
      <c r="B14" s="891">
        <v>3500</v>
      </c>
    </row>
    <row r="15" spans="1:2" ht="15.75">
      <c r="A15" s="890" t="s">
        <v>367</v>
      </c>
      <c r="B15" s="891">
        <v>1000</v>
      </c>
    </row>
    <row r="16" spans="1:2" ht="15.75">
      <c r="A16" s="890" t="s">
        <v>368</v>
      </c>
      <c r="B16" s="891">
        <v>17465</v>
      </c>
    </row>
    <row r="17" spans="1:2" ht="15.75">
      <c r="A17" s="890" t="s">
        <v>1446</v>
      </c>
      <c r="B17" s="891">
        <v>6400</v>
      </c>
    </row>
    <row r="18" spans="1:2" ht="15.75">
      <c r="A18" s="890" t="s">
        <v>369</v>
      </c>
      <c r="B18" s="891">
        <f>SUM(B12:B17)*0.27+B11*0.25-30</f>
        <v>11890.800000000001</v>
      </c>
    </row>
    <row r="19" spans="1:2" ht="15.75">
      <c r="A19" s="890" t="s">
        <v>370</v>
      </c>
      <c r="B19" s="891">
        <v>0</v>
      </c>
    </row>
    <row r="20" spans="1:2" ht="15.75">
      <c r="A20" s="892" t="s">
        <v>371</v>
      </c>
      <c r="B20" s="893">
        <f>SUM(B11:B19)</f>
        <v>56104.8</v>
      </c>
    </row>
    <row r="21" spans="1:2" ht="15.75">
      <c r="A21" s="892"/>
      <c r="B21" s="893"/>
    </row>
    <row r="22" spans="1:2" ht="15.75">
      <c r="A22" s="890" t="s">
        <v>174</v>
      </c>
      <c r="B22" s="891">
        <f>'33_sz_ melléklet'!C68</f>
        <v>8020</v>
      </c>
    </row>
    <row r="23" spans="1:2" ht="15.75">
      <c r="A23" s="890" t="s">
        <v>175</v>
      </c>
      <c r="B23" s="891">
        <f>'32_sz_ melléklet'!C27</f>
        <v>12000</v>
      </c>
    </row>
    <row r="24" spans="1:2" ht="15.75">
      <c r="A24" s="892" t="s">
        <v>372</v>
      </c>
      <c r="B24" s="893">
        <f>SUM(B22:B23)</f>
        <v>20020</v>
      </c>
    </row>
    <row r="25" spans="1:2" ht="15.75">
      <c r="A25" s="892"/>
      <c r="B25" s="893"/>
    </row>
    <row r="26" spans="1:2" ht="15.75">
      <c r="A26" s="894" t="s">
        <v>373</v>
      </c>
      <c r="B26" s="895">
        <f>B20+B24</f>
        <v>76124.8</v>
      </c>
    </row>
    <row r="27" spans="1:2" ht="13.5" thickBot="1">
      <c r="A27" s="896"/>
      <c r="B27" s="897"/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22">
      <selection activeCell="C26" sqref="C26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571" t="s">
        <v>1385</v>
      </c>
      <c r="B2" s="205"/>
      <c r="C2" s="205"/>
      <c r="D2" s="205"/>
      <c r="E2" s="205"/>
      <c r="F2" s="205"/>
    </row>
    <row r="3" spans="1:5" ht="12.75">
      <c r="A3" s="1"/>
      <c r="B3" s="1"/>
      <c r="C3" s="1"/>
      <c r="D3" s="77"/>
      <c r="E3" s="77"/>
    </row>
    <row r="4" spans="1:5" ht="15.75">
      <c r="A4" s="1566" t="s">
        <v>374</v>
      </c>
      <c r="B4" s="1566"/>
      <c r="C4" s="1566"/>
      <c r="D4" s="1566"/>
      <c r="E4" s="1566"/>
    </row>
    <row r="5" spans="1:5" ht="12.75">
      <c r="A5" s="1699" t="s">
        <v>375</v>
      </c>
      <c r="B5" s="1699"/>
      <c r="C5" s="1699"/>
      <c r="D5" s="1699"/>
      <c r="E5" s="1699"/>
    </row>
    <row r="6" spans="1:5" ht="22.5" customHeight="1">
      <c r="A6" s="1699"/>
      <c r="B6" s="1699"/>
      <c r="C6" s="1699"/>
      <c r="D6" s="1699"/>
      <c r="E6" s="1699"/>
    </row>
    <row r="7" spans="1:5" ht="15.75">
      <c r="A7" s="23"/>
      <c r="B7" s="23"/>
      <c r="C7" s="23"/>
      <c r="D7" s="23"/>
      <c r="E7" s="23"/>
    </row>
    <row r="8" spans="1:5" ht="15.75">
      <c r="A8" s="132" t="s">
        <v>215</v>
      </c>
      <c r="B8" s="23"/>
      <c r="C8" s="23"/>
      <c r="D8" s="23"/>
      <c r="E8" s="23"/>
    </row>
    <row r="9" spans="1:5" ht="15.75">
      <c r="A9" s="23"/>
      <c r="B9" s="23"/>
      <c r="C9" s="23"/>
      <c r="D9" s="1700" t="s">
        <v>376</v>
      </c>
      <c r="E9" s="1700"/>
    </row>
    <row r="10" spans="1:5" ht="31.5">
      <c r="A10" s="133" t="s">
        <v>3</v>
      </c>
      <c r="B10" s="134" t="s">
        <v>377</v>
      </c>
      <c r="C10" s="134" t="s">
        <v>378</v>
      </c>
      <c r="D10" s="134" t="s">
        <v>379</v>
      </c>
      <c r="E10" s="134" t="s">
        <v>380</v>
      </c>
    </row>
    <row r="11" spans="1:5" ht="30">
      <c r="A11" s="108" t="s">
        <v>381</v>
      </c>
      <c r="B11" s="131">
        <f>'14 16_sz_ melléklet'!C31</f>
        <v>5000</v>
      </c>
      <c r="C11" s="131">
        <v>5000</v>
      </c>
      <c r="D11" s="131">
        <v>0</v>
      </c>
      <c r="E11" s="135">
        <v>0</v>
      </c>
    </row>
    <row r="12" spans="1:5" ht="30">
      <c r="A12" s="108" t="s">
        <v>382</v>
      </c>
      <c r="B12" s="131"/>
      <c r="C12" s="131"/>
      <c r="D12" s="131"/>
      <c r="E12" s="135">
        <v>0</v>
      </c>
    </row>
    <row r="13" spans="1:5" ht="45">
      <c r="A13" s="108" t="s">
        <v>383</v>
      </c>
      <c r="B13" s="131"/>
      <c r="C13" s="131"/>
      <c r="D13" s="131"/>
      <c r="E13" s="135">
        <v>0</v>
      </c>
    </row>
    <row r="14" spans="1:5" ht="15.75">
      <c r="A14" s="136" t="s">
        <v>384</v>
      </c>
      <c r="B14" s="131"/>
      <c r="C14" s="131"/>
      <c r="D14" s="131"/>
      <c r="E14" s="135">
        <v>0</v>
      </c>
    </row>
    <row r="15" spans="1:5" ht="20.25" customHeight="1">
      <c r="A15" s="108" t="s">
        <v>385</v>
      </c>
      <c r="B15" s="131"/>
      <c r="C15" s="131"/>
      <c r="D15" s="131"/>
      <c r="E15" s="135">
        <v>0</v>
      </c>
    </row>
    <row r="16" spans="1:5" ht="15.75">
      <c r="A16" s="130" t="s">
        <v>361</v>
      </c>
      <c r="B16" s="131">
        <f>SUM(B11:B15)</f>
        <v>5000</v>
      </c>
      <c r="C16" s="131">
        <f>SUM(C11:C15)</f>
        <v>5000</v>
      </c>
      <c r="D16" s="131">
        <f>SUM(D11:D15)</f>
        <v>0</v>
      </c>
      <c r="E16" s="135">
        <v>0</v>
      </c>
    </row>
    <row r="17" spans="1:5" ht="15.75">
      <c r="A17" s="23"/>
      <c r="B17" s="23"/>
      <c r="C17" s="23"/>
      <c r="D17" s="23"/>
      <c r="E17" s="23"/>
    </row>
    <row r="18" spans="1:5" ht="15.75">
      <c r="A18" s="23"/>
      <c r="B18" s="23"/>
      <c r="C18" s="23"/>
      <c r="D18" s="23"/>
      <c r="E18" s="23"/>
    </row>
    <row r="19" spans="1:5" ht="15.75">
      <c r="A19" s="132" t="s">
        <v>216</v>
      </c>
      <c r="B19" s="23"/>
      <c r="C19" s="23"/>
      <c r="D19" s="23"/>
      <c r="E19" s="23"/>
    </row>
    <row r="20" spans="1:5" ht="15.75">
      <c r="A20" s="23"/>
      <c r="B20" s="23"/>
      <c r="C20" s="23"/>
      <c r="D20" s="1700" t="s">
        <v>376</v>
      </c>
      <c r="E20" s="1700"/>
    </row>
    <row r="21" spans="1:5" ht="31.5">
      <c r="A21" s="133" t="s">
        <v>3</v>
      </c>
      <c r="B21" s="134" t="s">
        <v>377</v>
      </c>
      <c r="C21" s="134" t="s">
        <v>378</v>
      </c>
      <c r="D21" s="134" t="s">
        <v>379</v>
      </c>
      <c r="E21" s="134" t="s">
        <v>380</v>
      </c>
    </row>
    <row r="22" spans="1:5" ht="30">
      <c r="A22" s="108" t="s">
        <v>386</v>
      </c>
      <c r="B22" s="131"/>
      <c r="C22" s="131">
        <v>0</v>
      </c>
      <c r="D22" s="131">
        <v>0</v>
      </c>
      <c r="E22" s="135">
        <v>0</v>
      </c>
    </row>
    <row r="23" spans="1:5" ht="15.75">
      <c r="A23" s="136" t="s">
        <v>387</v>
      </c>
      <c r="B23" s="131"/>
      <c r="C23" s="131"/>
      <c r="D23" s="131"/>
      <c r="E23" s="135">
        <v>0</v>
      </c>
    </row>
    <row r="24" spans="1:5" ht="49.5" customHeight="1">
      <c r="A24" s="108" t="s">
        <v>388</v>
      </c>
      <c r="B24" s="131"/>
      <c r="C24" s="131"/>
      <c r="D24" s="131"/>
      <c r="E24" s="135">
        <v>0</v>
      </c>
    </row>
    <row r="25" spans="1:5" ht="60">
      <c r="A25" s="108" t="s">
        <v>389</v>
      </c>
      <c r="B25" s="131">
        <v>5000</v>
      </c>
      <c r="C25" s="131">
        <v>5000</v>
      </c>
      <c r="D25" s="131"/>
      <c r="E25" s="135">
        <v>0</v>
      </c>
    </row>
    <row r="26" spans="1:5" ht="15.75">
      <c r="A26" s="136" t="s">
        <v>390</v>
      </c>
      <c r="B26" s="131"/>
      <c r="C26" s="131"/>
      <c r="D26" s="131"/>
      <c r="E26" s="135">
        <v>0</v>
      </c>
    </row>
    <row r="27" spans="1:5" ht="15.75">
      <c r="A27" s="137" t="s">
        <v>391</v>
      </c>
      <c r="B27" s="131"/>
      <c r="C27" s="131"/>
      <c r="D27" s="131"/>
      <c r="E27" s="135">
        <v>0</v>
      </c>
    </row>
    <row r="28" spans="1:5" ht="75">
      <c r="A28" s="137" t="s">
        <v>392</v>
      </c>
      <c r="B28" s="138"/>
      <c r="C28" s="131"/>
      <c r="D28" s="131"/>
      <c r="E28" s="135">
        <v>0</v>
      </c>
    </row>
    <row r="29" spans="1:5" ht="45">
      <c r="A29" s="108" t="s">
        <v>393</v>
      </c>
      <c r="B29" s="131"/>
      <c r="C29" s="131"/>
      <c r="D29" s="131"/>
      <c r="E29" s="135">
        <v>0</v>
      </c>
    </row>
    <row r="30" spans="1:5" ht="15.75">
      <c r="A30" s="130" t="s">
        <v>394</v>
      </c>
      <c r="B30" s="131">
        <f>SUM(B22:B29)</f>
        <v>5000</v>
      </c>
      <c r="C30" s="131">
        <f>SUM(C22:C29)</f>
        <v>5000</v>
      </c>
      <c r="D30" s="131">
        <f>SUM(D22:D29)</f>
        <v>0</v>
      </c>
      <c r="E30" s="135">
        <v>0</v>
      </c>
    </row>
    <row r="31" spans="1:5" ht="15.75">
      <c r="A31" s="23"/>
      <c r="B31" s="23"/>
      <c r="C31" s="23"/>
      <c r="D31" s="23"/>
      <c r="E31" s="23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4"/>
  <sheetViews>
    <sheetView tabSelected="1" zoomScalePageLayoutView="0" workbookViewId="0" topLeftCell="A538">
      <selection activeCell="G551" sqref="G551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546" t="s">
        <v>1334</v>
      </c>
      <c r="B1" s="1546"/>
      <c r="C1" s="1546"/>
      <c r="D1" s="1546"/>
      <c r="E1" s="1546"/>
      <c r="F1" s="22"/>
      <c r="G1" s="22"/>
    </row>
    <row r="2" spans="2:7" ht="15.75">
      <c r="B2" s="1566" t="s">
        <v>988</v>
      </c>
      <c r="C2" s="1566"/>
      <c r="D2" s="1566"/>
      <c r="E2" s="1566"/>
      <c r="F2" s="40"/>
      <c r="G2" s="16"/>
    </row>
    <row r="3" spans="2:5" ht="13.5" thickBot="1">
      <c r="B3" s="1"/>
      <c r="C3" s="1"/>
      <c r="D3" s="1"/>
      <c r="E3" s="25" t="s">
        <v>16</v>
      </c>
    </row>
    <row r="4" spans="1:5" ht="27" thickBot="1">
      <c r="A4" s="587" t="s">
        <v>801</v>
      </c>
      <c r="B4" s="960" t="s">
        <v>22</v>
      </c>
      <c r="C4" s="547" t="s">
        <v>26</v>
      </c>
      <c r="D4" s="579" t="s">
        <v>1022</v>
      </c>
      <c r="E4" s="576" t="s">
        <v>859</v>
      </c>
    </row>
    <row r="5" spans="1:5" ht="12.75">
      <c r="A5" s="963" t="s">
        <v>802</v>
      </c>
      <c r="B5" s="964" t="s">
        <v>803</v>
      </c>
      <c r="C5" s="992" t="s">
        <v>804</v>
      </c>
      <c r="D5" s="993" t="s">
        <v>805</v>
      </c>
      <c r="E5" s="994" t="s">
        <v>825</v>
      </c>
    </row>
    <row r="6" spans="1:5" ht="12.75">
      <c r="A6" s="553" t="s">
        <v>806</v>
      </c>
      <c r="B6" s="560" t="s">
        <v>406</v>
      </c>
      <c r="C6" s="502"/>
      <c r="D6" s="190"/>
      <c r="E6" s="183"/>
    </row>
    <row r="7" spans="1:5" ht="12.75">
      <c r="A7" s="552" t="s">
        <v>807</v>
      </c>
      <c r="B7" s="247" t="s">
        <v>11</v>
      </c>
      <c r="C7" s="502">
        <v>36450</v>
      </c>
      <c r="D7" s="190"/>
      <c r="E7" s="183"/>
    </row>
    <row r="8" spans="1:5" ht="12.75">
      <c r="A8" s="552" t="s">
        <v>808</v>
      </c>
      <c r="B8" s="290" t="s">
        <v>12</v>
      </c>
      <c r="C8" s="502">
        <v>10363</v>
      </c>
      <c r="D8" s="190"/>
      <c r="E8" s="183"/>
    </row>
    <row r="9" spans="1:5" ht="12.75">
      <c r="A9" s="552" t="s">
        <v>809</v>
      </c>
      <c r="B9" s="290" t="s">
        <v>13</v>
      </c>
      <c r="C9" s="502">
        <v>875</v>
      </c>
      <c r="D9" s="190"/>
      <c r="E9" s="183"/>
    </row>
    <row r="10" spans="1:5" ht="12.75">
      <c r="A10" s="552" t="s">
        <v>810</v>
      </c>
      <c r="B10" s="290" t="s">
        <v>973</v>
      </c>
      <c r="C10" s="502"/>
      <c r="D10" s="190"/>
      <c r="E10" s="183"/>
    </row>
    <row r="11" spans="1:5" ht="12.75">
      <c r="A11" s="552" t="s">
        <v>811</v>
      </c>
      <c r="B11" s="290" t="s">
        <v>972</v>
      </c>
      <c r="C11" s="502"/>
      <c r="D11" s="190"/>
      <c r="E11" s="183"/>
    </row>
    <row r="12" spans="1:5" ht="12.75">
      <c r="A12" s="552" t="s">
        <v>812</v>
      </c>
      <c r="B12" s="290" t="s">
        <v>401</v>
      </c>
      <c r="C12" s="502">
        <f>C13+C14+C15+C16</f>
        <v>0</v>
      </c>
      <c r="D12" s="502">
        <f>D13+D14+D15+D16</f>
        <v>0</v>
      </c>
      <c r="E12" s="190">
        <f>E13+E14+E15+E16</f>
        <v>61674</v>
      </c>
    </row>
    <row r="13" spans="1:5" ht="12.75">
      <c r="A13" s="552" t="s">
        <v>813</v>
      </c>
      <c r="B13" s="290" t="s">
        <v>395</v>
      </c>
      <c r="C13" s="502"/>
      <c r="D13" s="190"/>
      <c r="E13" s="183"/>
    </row>
    <row r="14" spans="1:5" s="20" customFormat="1" ht="12.75">
      <c r="A14" s="552" t="s">
        <v>814</v>
      </c>
      <c r="B14" s="561" t="s">
        <v>396</v>
      </c>
      <c r="C14" s="502"/>
      <c r="D14" s="190"/>
      <c r="E14" s="183">
        <f>'6 7_sz_melléklet'!E20+'6 7_sz_melléklet'!E21+'6 7_sz_melléklet'!E22+'6 7_sz_melléklet'!E26+'6 7_sz_melléklet'!E32+'6 7_sz_melléklet'!E33+'6 7_sz_melléklet'!E37+'6 7_sz_melléklet'!E25</f>
        <v>61674</v>
      </c>
    </row>
    <row r="15" spans="1:5" ht="12.75">
      <c r="A15" s="552" t="s">
        <v>815</v>
      </c>
      <c r="B15" s="290" t="s">
        <v>397</v>
      </c>
      <c r="C15" s="502"/>
      <c r="D15" s="190"/>
      <c r="E15" s="183"/>
    </row>
    <row r="16" spans="1:5" ht="11.25" customHeight="1">
      <c r="A16" s="552" t="s">
        <v>816</v>
      </c>
      <c r="B16" s="290" t="s">
        <v>398</v>
      </c>
      <c r="C16" s="339"/>
      <c r="D16" s="194"/>
      <c r="E16" s="183"/>
    </row>
    <row r="17" spans="1:5" ht="13.5" thickBot="1">
      <c r="A17" s="617" t="s">
        <v>817</v>
      </c>
      <c r="B17" s="292" t="s">
        <v>399</v>
      </c>
      <c r="C17" s="503"/>
      <c r="D17" s="195"/>
      <c r="E17" s="183"/>
    </row>
    <row r="18" spans="1:5" ht="13.5" thickBot="1">
      <c r="A18" s="969" t="s">
        <v>818</v>
      </c>
      <c r="B18" s="970" t="s">
        <v>14</v>
      </c>
      <c r="C18" s="1004">
        <f>C7+C8+C9+C10+C12+C17</f>
        <v>47688</v>
      </c>
      <c r="D18" s="1004">
        <f>D7+D8+D9+D10+D12+D17</f>
        <v>0</v>
      </c>
      <c r="E18" s="1005">
        <f>E7+E8+E9+E10+E12+E17</f>
        <v>61674</v>
      </c>
    </row>
    <row r="19" spans="1:5" ht="13.5" thickTop="1">
      <c r="A19" s="553" t="s">
        <v>819</v>
      </c>
      <c r="B19" s="562" t="s">
        <v>407</v>
      </c>
      <c r="C19" s="504"/>
      <c r="D19" s="193"/>
      <c r="E19" s="185"/>
    </row>
    <row r="20" spans="1:5" ht="12.75">
      <c r="A20" s="552" t="s">
        <v>820</v>
      </c>
      <c r="B20" s="290" t="s">
        <v>974</v>
      </c>
      <c r="C20" s="502"/>
      <c r="D20" s="190"/>
      <c r="E20" s="183"/>
    </row>
    <row r="21" spans="1:5" ht="12.75">
      <c r="A21" s="552" t="s">
        <v>821</v>
      </c>
      <c r="B21" s="290" t="s">
        <v>975</v>
      </c>
      <c r="C21" s="502"/>
      <c r="D21" s="190"/>
      <c r="E21" s="183"/>
    </row>
    <row r="22" spans="1:5" ht="12.75">
      <c r="A22" s="552" t="s">
        <v>822</v>
      </c>
      <c r="B22" s="290" t="s">
        <v>400</v>
      </c>
      <c r="C22" s="339">
        <f>C23+C24+C25</f>
        <v>0</v>
      </c>
      <c r="D22" s="339">
        <f>D23+D24+D25</f>
        <v>0</v>
      </c>
      <c r="E22" s="194">
        <f>E23+E24+E25</f>
        <v>0</v>
      </c>
    </row>
    <row r="23" spans="1:5" ht="12.75">
      <c r="A23" s="552" t="s">
        <v>823</v>
      </c>
      <c r="B23" s="290" t="s">
        <v>402</v>
      </c>
      <c r="C23" s="502"/>
      <c r="D23" s="190"/>
      <c r="E23" s="183"/>
    </row>
    <row r="24" spans="1:5" ht="12.75">
      <c r="A24" s="552" t="s">
        <v>824</v>
      </c>
      <c r="B24" s="290" t="s">
        <v>452</v>
      </c>
      <c r="C24" s="502"/>
      <c r="D24" s="190"/>
      <c r="E24" s="183"/>
    </row>
    <row r="25" spans="1:5" ht="12.75">
      <c r="A25" s="552" t="s">
        <v>826</v>
      </c>
      <c r="B25" s="290" t="s">
        <v>403</v>
      </c>
      <c r="C25" s="502"/>
      <c r="D25" s="190"/>
      <c r="E25" s="183"/>
    </row>
    <row r="26" spans="1:5" ht="12.75">
      <c r="A26" s="552" t="s">
        <v>827</v>
      </c>
      <c r="B26" s="290" t="s">
        <v>404</v>
      </c>
      <c r="C26" s="502"/>
      <c r="D26" s="190"/>
      <c r="E26" s="183"/>
    </row>
    <row r="27" spans="1:5" ht="13.5" customHeight="1" thickBot="1">
      <c r="A27" s="617" t="s">
        <v>828</v>
      </c>
      <c r="B27" s="292" t="s">
        <v>405</v>
      </c>
      <c r="C27" s="503">
        <f>-C10</f>
        <v>0</v>
      </c>
      <c r="D27" s="503">
        <f>-D10</f>
        <v>0</v>
      </c>
      <c r="E27" s="195">
        <f>-E10</f>
        <v>0</v>
      </c>
    </row>
    <row r="28" spans="1:5" ht="13.5" thickBot="1">
      <c r="A28" s="969" t="s">
        <v>829</v>
      </c>
      <c r="B28" s="970" t="s">
        <v>15</v>
      </c>
      <c r="C28" s="1004">
        <f>C20+C21+C22+C26+C27</f>
        <v>0</v>
      </c>
      <c r="D28" s="1004">
        <f>D20+D21+D22+D26+D27</f>
        <v>0</v>
      </c>
      <c r="E28" s="1005">
        <f>E20+E21+E22+E26+E27</f>
        <v>0</v>
      </c>
    </row>
    <row r="29" spans="1:5" ht="26.25" thickTop="1">
      <c r="A29" s="553" t="s">
        <v>830</v>
      </c>
      <c r="B29" s="918" t="s">
        <v>408</v>
      </c>
      <c r="C29" s="504"/>
      <c r="D29" s="193"/>
      <c r="E29" s="185"/>
    </row>
    <row r="30" spans="1:5" ht="12.75">
      <c r="A30" s="552" t="s">
        <v>831</v>
      </c>
      <c r="B30" s="563" t="s">
        <v>409</v>
      </c>
      <c r="C30" s="502"/>
      <c r="D30" s="190"/>
      <c r="E30" s="183"/>
    </row>
    <row r="31" spans="1:5" ht="12.75">
      <c r="A31" s="552" t="s">
        <v>832</v>
      </c>
      <c r="B31" s="564" t="s">
        <v>410</v>
      </c>
      <c r="C31" s="339"/>
      <c r="D31" s="194"/>
      <c r="E31" s="183"/>
    </row>
    <row r="32" spans="1:5" ht="13.5" thickBot="1">
      <c r="A32" s="617" t="s">
        <v>833</v>
      </c>
      <c r="B32" s="565" t="s">
        <v>411</v>
      </c>
      <c r="C32" s="503"/>
      <c r="D32" s="195"/>
      <c r="E32" s="183"/>
    </row>
    <row r="33" spans="1:5" ht="24.75" customHeight="1" thickBot="1">
      <c r="A33" s="969" t="s">
        <v>834</v>
      </c>
      <c r="B33" s="997" t="s">
        <v>412</v>
      </c>
      <c r="C33" s="995">
        <f>C30+C31+C32</f>
        <v>0</v>
      </c>
      <c r="D33" s="995">
        <f>D30+D31+D32</f>
        <v>0</v>
      </c>
      <c r="E33" s="996">
        <f>E30+E31+E32</f>
        <v>0</v>
      </c>
    </row>
    <row r="34" spans="1:5" ht="13.5" thickTop="1">
      <c r="A34" s="553" t="s">
        <v>835</v>
      </c>
      <c r="B34" s="707" t="s">
        <v>413</v>
      </c>
      <c r="C34" s="504"/>
      <c r="D34" s="193"/>
      <c r="E34" s="185"/>
    </row>
    <row r="35" spans="1:5" ht="12.75">
      <c r="A35" s="553" t="s">
        <v>836</v>
      </c>
      <c r="B35" s="291" t="s">
        <v>414</v>
      </c>
      <c r="C35" s="339"/>
      <c r="D35" s="194"/>
      <c r="E35" s="186"/>
    </row>
    <row r="36" spans="1:5" ht="12.75">
      <c r="A36" s="553" t="s">
        <v>837</v>
      </c>
      <c r="B36" s="291" t="s">
        <v>25</v>
      </c>
      <c r="C36" s="502"/>
      <c r="D36" s="190"/>
      <c r="E36" s="186"/>
    </row>
    <row r="37" spans="1:5" ht="12.75">
      <c r="A37" s="553" t="s">
        <v>838</v>
      </c>
      <c r="B37" s="155" t="s">
        <v>914</v>
      </c>
      <c r="C37" s="502"/>
      <c r="D37" s="190"/>
      <c r="E37" s="186"/>
    </row>
    <row r="38" spans="1:5" ht="13.5" thickBot="1">
      <c r="A38" s="952" t="s">
        <v>839</v>
      </c>
      <c r="B38" s="291" t="s">
        <v>416</v>
      </c>
      <c r="C38" s="503"/>
      <c r="D38" s="195"/>
      <c r="E38" s="186"/>
    </row>
    <row r="39" spans="1:5" ht="13.5" thickBot="1">
      <c r="A39" s="969" t="s">
        <v>840</v>
      </c>
      <c r="B39" s="977" t="s">
        <v>419</v>
      </c>
      <c r="C39" s="995">
        <f>C35+C36+C37+C38</f>
        <v>0</v>
      </c>
      <c r="D39" s="995">
        <f>D35+D36+D37+D38</f>
        <v>0</v>
      </c>
      <c r="E39" s="996">
        <f>E35+E36+E37+E38</f>
        <v>0</v>
      </c>
    </row>
    <row r="40" spans="1:5" ht="25.5" customHeight="1" thickBot="1" thickTop="1">
      <c r="A40" s="1007" t="s">
        <v>841</v>
      </c>
      <c r="B40" s="991" t="s">
        <v>415</v>
      </c>
      <c r="C40" s="999">
        <f>C18+C28+C33+C39</f>
        <v>47688</v>
      </c>
      <c r="D40" s="999">
        <f>D18+D28+D33+D39</f>
        <v>0</v>
      </c>
      <c r="E40" s="1000">
        <f>E18+E28+E33+E39</f>
        <v>61674</v>
      </c>
    </row>
    <row r="41" spans="1:5" ht="13.5" thickTop="1">
      <c r="A41" s="553" t="s">
        <v>842</v>
      </c>
      <c r="B41" s="958" t="s">
        <v>976</v>
      </c>
      <c r="C41" s="998"/>
      <c r="D41" s="193"/>
      <c r="E41" s="185"/>
    </row>
    <row r="42" spans="1:5" ht="15.75" customHeight="1">
      <c r="A42" s="552" t="s">
        <v>843</v>
      </c>
      <c r="B42" s="566" t="s">
        <v>417</v>
      </c>
      <c r="C42" s="507"/>
      <c r="D42" s="190"/>
      <c r="E42" s="183"/>
    </row>
    <row r="43" spans="1:5" ht="13.5" thickBot="1">
      <c r="A43" s="617" t="s">
        <v>844</v>
      </c>
      <c r="B43" s="962" t="s">
        <v>418</v>
      </c>
      <c r="C43" s="503"/>
      <c r="D43" s="195"/>
      <c r="E43" s="187"/>
    </row>
    <row r="44" spans="1:5" s="20" customFormat="1" ht="13.5" thickBot="1">
      <c r="A44" s="969" t="s">
        <v>845</v>
      </c>
      <c r="B44" s="982" t="s">
        <v>979</v>
      </c>
      <c r="C44" s="995">
        <f>C42+C43</f>
        <v>0</v>
      </c>
      <c r="D44" s="995">
        <f>D42+D43</f>
        <v>0</v>
      </c>
      <c r="E44" s="996">
        <f>E42+E43</f>
        <v>0</v>
      </c>
    </row>
    <row r="45" spans="1:5" ht="13.5" thickTop="1">
      <c r="A45" s="553" t="s">
        <v>846</v>
      </c>
      <c r="B45" s="1001" t="s">
        <v>977</v>
      </c>
      <c r="C45" s="506"/>
      <c r="D45" s="196"/>
      <c r="E45" s="188"/>
    </row>
    <row r="46" spans="1:5" ht="12.75">
      <c r="A46" s="553" t="s">
        <v>847</v>
      </c>
      <c r="B46" s="959" t="s">
        <v>417</v>
      </c>
      <c r="C46" s="506"/>
      <c r="D46" s="196"/>
      <c r="E46" s="188"/>
    </row>
    <row r="47" spans="1:5" ht="16.5" customHeight="1" thickBot="1">
      <c r="A47" s="617" t="s">
        <v>848</v>
      </c>
      <c r="B47" s="567" t="s">
        <v>418</v>
      </c>
      <c r="C47" s="503"/>
      <c r="D47" s="195"/>
      <c r="E47" s="187"/>
    </row>
    <row r="48" spans="1:5" ht="13.5" thickBot="1">
      <c r="A48" s="969" t="s">
        <v>849</v>
      </c>
      <c r="B48" s="1003" t="s">
        <v>942</v>
      </c>
      <c r="C48" s="1004">
        <f>C46+C47</f>
        <v>0</v>
      </c>
      <c r="D48" s="1004">
        <f>D46+D47</f>
        <v>0</v>
      </c>
      <c r="E48" s="1005">
        <f>E46+E47</f>
        <v>0</v>
      </c>
    </row>
    <row r="49" spans="1:5" ht="29.25" customHeight="1" thickBot="1" thickTop="1">
      <c r="A49" s="553" t="s">
        <v>869</v>
      </c>
      <c r="B49" s="985" t="s">
        <v>978</v>
      </c>
      <c r="C49" s="1002"/>
      <c r="D49" s="510"/>
      <c r="E49" s="382"/>
    </row>
    <row r="50" spans="1:5" ht="14.25" customHeight="1">
      <c r="A50" s="552" t="s">
        <v>870</v>
      </c>
      <c r="B50" s="568" t="s">
        <v>420</v>
      </c>
      <c r="C50" s="366"/>
      <c r="D50" s="367"/>
      <c r="E50" s="368"/>
    </row>
    <row r="51" spans="1:5" ht="13.5" thickBot="1">
      <c r="A51" s="617" t="s">
        <v>871</v>
      </c>
      <c r="B51" s="569" t="s">
        <v>421</v>
      </c>
      <c r="C51" s="961"/>
      <c r="D51" s="195">
        <f>'42_sz_ melléklet'!L12</f>
        <v>14604</v>
      </c>
      <c r="E51" s="184"/>
    </row>
    <row r="52" spans="1:5" ht="16.5" customHeight="1" thickBot="1">
      <c r="A52" s="969" t="s">
        <v>872</v>
      </c>
      <c r="B52" s="1006" t="s">
        <v>943</v>
      </c>
      <c r="C52" s="1004">
        <f>C50+C51</f>
        <v>0</v>
      </c>
      <c r="D52" s="1004">
        <f>D50+D51</f>
        <v>14604</v>
      </c>
      <c r="E52" s="1005">
        <f>E50+E51</f>
        <v>0</v>
      </c>
    </row>
    <row r="53" spans="1:5" ht="19.5" customHeight="1" thickBot="1" thickTop="1">
      <c r="A53" s="987" t="s">
        <v>873</v>
      </c>
      <c r="B53" s="988" t="s">
        <v>982</v>
      </c>
      <c r="C53" s="999">
        <f>C40+C44+C48+C52</f>
        <v>47688</v>
      </c>
      <c r="D53" s="999">
        <f>D40+D44+D48+D52</f>
        <v>14604</v>
      </c>
      <c r="E53" s="1000">
        <f>E40+E44+E48+E52</f>
        <v>61674</v>
      </c>
    </row>
    <row r="54" spans="1:5" ht="23.25" customHeight="1" thickBot="1" thickTop="1">
      <c r="A54" s="582" t="s">
        <v>874</v>
      </c>
      <c r="B54" s="1019" t="s">
        <v>984</v>
      </c>
      <c r="C54" s="192"/>
      <c r="D54" s="1020"/>
      <c r="E54" s="192"/>
    </row>
    <row r="55" spans="1:5" ht="14.25" customHeight="1">
      <c r="A55" s="1568">
        <v>2</v>
      </c>
      <c r="B55" s="1545"/>
      <c r="C55" s="1545"/>
      <c r="D55" s="1545"/>
      <c r="E55" s="1545"/>
    </row>
    <row r="56" spans="1:5" ht="12.75">
      <c r="A56" s="1546" t="s">
        <v>1334</v>
      </c>
      <c r="B56" s="1546"/>
      <c r="C56" s="1546"/>
      <c r="D56" s="1546"/>
      <c r="E56" s="1546"/>
    </row>
    <row r="57" spans="2:5" ht="15.75">
      <c r="B57" s="1566" t="s">
        <v>988</v>
      </c>
      <c r="C57" s="1566"/>
      <c r="D57" s="1566"/>
      <c r="E57" s="1566"/>
    </row>
    <row r="58" spans="2:5" ht="13.5" thickBot="1">
      <c r="B58" s="1"/>
      <c r="C58" s="1"/>
      <c r="D58" s="1"/>
      <c r="E58" s="25" t="s">
        <v>16</v>
      </c>
    </row>
    <row r="59" spans="1:5" ht="27" thickBot="1">
      <c r="A59" s="587" t="s">
        <v>801</v>
      </c>
      <c r="B59" s="960" t="s">
        <v>22</v>
      </c>
      <c r="C59" s="548" t="s">
        <v>29</v>
      </c>
      <c r="D59" s="547" t="s">
        <v>27</v>
      </c>
      <c r="E59" s="547" t="s">
        <v>28</v>
      </c>
    </row>
    <row r="60" spans="1:5" ht="12.75" customHeight="1">
      <c r="A60" s="963" t="s">
        <v>802</v>
      </c>
      <c r="B60" s="964" t="s">
        <v>803</v>
      </c>
      <c r="C60" s="992" t="s">
        <v>804</v>
      </c>
      <c r="D60" s="993" t="s">
        <v>805</v>
      </c>
      <c r="E60" s="994" t="s">
        <v>825</v>
      </c>
    </row>
    <row r="61" spans="1:5" ht="11.25" customHeight="1">
      <c r="A61" s="553" t="s">
        <v>806</v>
      </c>
      <c r="B61" s="560" t="s">
        <v>406</v>
      </c>
      <c r="C61" s="502"/>
      <c r="D61" s="190"/>
      <c r="E61" s="183"/>
    </row>
    <row r="62" spans="1:5" ht="12.75">
      <c r="A62" s="552" t="s">
        <v>807</v>
      </c>
      <c r="B62" s="247" t="s">
        <v>11</v>
      </c>
      <c r="C62" s="502"/>
      <c r="D62" s="190"/>
      <c r="E62" s="183"/>
    </row>
    <row r="63" spans="1:5" ht="12.75">
      <c r="A63" s="552" t="s">
        <v>808</v>
      </c>
      <c r="B63" s="290" t="s">
        <v>12</v>
      </c>
      <c r="C63" s="502"/>
      <c r="D63" s="190"/>
      <c r="E63" s="183"/>
    </row>
    <row r="64" spans="1:5" ht="12.75">
      <c r="A64" s="552" t="s">
        <v>809</v>
      </c>
      <c r="B64" s="290" t="s">
        <v>13</v>
      </c>
      <c r="C64" s="502">
        <f>60278+99881</f>
        <v>160159</v>
      </c>
      <c r="D64" s="190"/>
      <c r="E64" s="183"/>
    </row>
    <row r="65" spans="1:5" ht="12.75">
      <c r="A65" s="552" t="s">
        <v>810</v>
      </c>
      <c r="B65" s="290" t="s">
        <v>973</v>
      </c>
      <c r="C65" s="502">
        <f>-2390-99881</f>
        <v>-102271</v>
      </c>
      <c r="D65" s="190"/>
      <c r="E65" s="183"/>
    </row>
    <row r="66" spans="1:5" ht="12.75">
      <c r="A66" s="552" t="s">
        <v>811</v>
      </c>
      <c r="B66" s="290" t="s">
        <v>972</v>
      </c>
      <c r="C66" s="502"/>
      <c r="D66" s="190"/>
      <c r="E66" s="183"/>
    </row>
    <row r="67" spans="1:5" ht="12.75">
      <c r="A67" s="552" t="s">
        <v>812</v>
      </c>
      <c r="B67" s="290" t="s">
        <v>401</v>
      </c>
      <c r="C67" s="502">
        <f>C68+C69+C70+C71</f>
        <v>39071</v>
      </c>
      <c r="D67" s="502">
        <f>D68+D69+D70+D71</f>
        <v>0</v>
      </c>
      <c r="E67" s="190">
        <f>E68+E69+E70+E71</f>
        <v>11000</v>
      </c>
    </row>
    <row r="68" spans="1:5" ht="12.75">
      <c r="A68" s="552" t="s">
        <v>813</v>
      </c>
      <c r="B68" s="290" t="s">
        <v>395</v>
      </c>
      <c r="C68" s="502">
        <f>'6 7_sz_melléklet'!E6+'6 7_sz_melléklet'!E8</f>
        <v>39071</v>
      </c>
      <c r="D68" s="190"/>
      <c r="E68" s="183"/>
    </row>
    <row r="69" spans="1:5" ht="12.75">
      <c r="A69" s="552" t="s">
        <v>814</v>
      </c>
      <c r="B69" s="561" t="s">
        <v>396</v>
      </c>
      <c r="C69" s="502"/>
      <c r="D69" s="190"/>
      <c r="E69" s="183">
        <f>'6 7_sz_melléklet'!E27+'6 7_sz_melléklet'!E28</f>
        <v>11000</v>
      </c>
    </row>
    <row r="70" spans="1:5" ht="12.75">
      <c r="A70" s="552" t="s">
        <v>815</v>
      </c>
      <c r="B70" s="290" t="s">
        <v>397</v>
      </c>
      <c r="C70" s="502"/>
      <c r="D70" s="190"/>
      <c r="E70" s="183"/>
    </row>
    <row r="71" spans="1:5" ht="13.5" customHeight="1">
      <c r="A71" s="552" t="s">
        <v>816</v>
      </c>
      <c r="B71" s="290" t="s">
        <v>398</v>
      </c>
      <c r="C71" s="339"/>
      <c r="D71" s="194"/>
      <c r="E71" s="183"/>
    </row>
    <row r="72" spans="1:5" s="20" customFormat="1" ht="13.5" thickBot="1">
      <c r="A72" s="617" t="s">
        <v>817</v>
      </c>
      <c r="B72" s="292" t="s">
        <v>399</v>
      </c>
      <c r="C72" s="503"/>
      <c r="D72" s="195"/>
      <c r="E72" s="183"/>
    </row>
    <row r="73" spans="1:5" ht="12.75" customHeight="1" thickBot="1">
      <c r="A73" s="969" t="s">
        <v>818</v>
      </c>
      <c r="B73" s="970" t="s">
        <v>14</v>
      </c>
      <c r="C73" s="1004">
        <f>C62+C63+C64+C65+C67+C72</f>
        <v>96959</v>
      </c>
      <c r="D73" s="1004">
        <f>D62+D63+D64+D65+D67+D72</f>
        <v>0</v>
      </c>
      <c r="E73" s="1005">
        <f>E62+E63+E64+E65+E67+E72</f>
        <v>11000</v>
      </c>
    </row>
    <row r="74" spans="1:5" ht="13.5" customHeight="1" thickTop="1">
      <c r="A74" s="553" t="s">
        <v>819</v>
      </c>
      <c r="B74" s="562" t="s">
        <v>407</v>
      </c>
      <c r="C74" s="504"/>
      <c r="D74" s="193"/>
      <c r="E74" s="185"/>
    </row>
    <row r="75" spans="1:5" ht="12.75">
      <c r="A75" s="552" t="s">
        <v>820</v>
      </c>
      <c r="B75" s="290" t="s">
        <v>974</v>
      </c>
      <c r="C75" s="502">
        <f>'33_sz_ melléklet'!C41</f>
        <v>277676</v>
      </c>
      <c r="D75" s="190"/>
      <c r="E75" s="183"/>
    </row>
    <row r="76" spans="1:5" ht="12.75">
      <c r="A76" s="552" t="s">
        <v>821</v>
      </c>
      <c r="B76" s="290" t="s">
        <v>975</v>
      </c>
      <c r="C76" s="502">
        <f>'32_sz_ melléklet'!C37</f>
        <v>109768</v>
      </c>
      <c r="D76" s="190"/>
      <c r="E76" s="183"/>
    </row>
    <row r="77" spans="1:5" ht="12.75">
      <c r="A77" s="552" t="s">
        <v>822</v>
      </c>
      <c r="B77" s="290" t="s">
        <v>400</v>
      </c>
      <c r="C77" s="502">
        <f>C78+C79+C80</f>
        <v>0</v>
      </c>
      <c r="D77" s="502">
        <f>D78+D79+D80</f>
        <v>5000</v>
      </c>
      <c r="E77" s="190">
        <f>E78+E79+E80</f>
        <v>300</v>
      </c>
    </row>
    <row r="78" spans="1:5" ht="12.75">
      <c r="A78" s="552" t="s">
        <v>823</v>
      </c>
      <c r="B78" s="290" t="s">
        <v>402</v>
      </c>
      <c r="C78" s="502"/>
      <c r="D78" s="190"/>
      <c r="E78" s="183"/>
    </row>
    <row r="79" spans="1:5" ht="12.75">
      <c r="A79" s="552" t="s">
        <v>824</v>
      </c>
      <c r="B79" s="290" t="s">
        <v>452</v>
      </c>
      <c r="C79" s="502">
        <v>0</v>
      </c>
      <c r="D79" s="190">
        <f>' 8 10 sz. melléklet'!E56</f>
        <v>5000</v>
      </c>
      <c r="E79" s="183">
        <f>' 8 10 sz. melléklet'!E53</f>
        <v>300</v>
      </c>
    </row>
    <row r="80" spans="1:5" s="20" customFormat="1" ht="12.75">
      <c r="A80" s="552" t="s">
        <v>826</v>
      </c>
      <c r="B80" s="290" t="s">
        <v>403</v>
      </c>
      <c r="C80" s="502"/>
      <c r="D80" s="190"/>
      <c r="E80" s="183"/>
    </row>
    <row r="81" spans="1:5" ht="12.75">
      <c r="A81" s="552" t="s">
        <v>827</v>
      </c>
      <c r="B81" s="290" t="s">
        <v>404</v>
      </c>
      <c r="C81" s="502">
        <f>'11 12 sz_melléklet'!C13</f>
        <v>1250</v>
      </c>
      <c r="D81" s="190"/>
      <c r="E81" s="183"/>
    </row>
    <row r="82" spans="1:5" ht="13.5" thickBot="1">
      <c r="A82" s="617" t="s">
        <v>828</v>
      </c>
      <c r="B82" s="292" t="s">
        <v>405</v>
      </c>
      <c r="C82" s="503">
        <f>-C65</f>
        <v>102271</v>
      </c>
      <c r="D82" s="505">
        <f>-D65</f>
        <v>0</v>
      </c>
      <c r="E82" s="191">
        <f>-E65</f>
        <v>0</v>
      </c>
    </row>
    <row r="83" spans="1:5" ht="13.5" thickBot="1">
      <c r="A83" s="969" t="s">
        <v>829</v>
      </c>
      <c r="B83" s="970" t="s">
        <v>15</v>
      </c>
      <c r="C83" s="1004">
        <f>C75+C76+C77+C81+C82</f>
        <v>490965</v>
      </c>
      <c r="D83" s="1004">
        <f>D75+D76+D77+D81+D82</f>
        <v>5000</v>
      </c>
      <c r="E83" s="1005">
        <f>E75+E76+E77+E81+E82</f>
        <v>300</v>
      </c>
    </row>
    <row r="84" spans="1:5" ht="26.25" thickTop="1">
      <c r="A84" s="553" t="s">
        <v>830</v>
      </c>
      <c r="B84" s="918" t="s">
        <v>408</v>
      </c>
      <c r="C84" s="504"/>
      <c r="D84" s="193"/>
      <c r="E84" s="185"/>
    </row>
    <row r="85" spans="1:5" ht="13.5" customHeight="1">
      <c r="A85" s="552" t="s">
        <v>831</v>
      </c>
      <c r="B85" s="563" t="s">
        <v>409</v>
      </c>
      <c r="C85" s="502"/>
      <c r="D85" s="190"/>
      <c r="E85" s="183"/>
    </row>
    <row r="86" spans="1:5" ht="12.75">
      <c r="A86" s="552" t="s">
        <v>832</v>
      </c>
      <c r="B86" s="564" t="s">
        <v>410</v>
      </c>
      <c r="C86" s="339"/>
      <c r="D86" s="190">
        <f>'11 12 sz_melléklet'!C36</f>
        <v>5000</v>
      </c>
      <c r="E86" s="183"/>
    </row>
    <row r="87" spans="1:5" ht="13.5" thickBot="1">
      <c r="A87" s="617" t="s">
        <v>833</v>
      </c>
      <c r="B87" s="565" t="s">
        <v>411</v>
      </c>
      <c r="C87" s="503"/>
      <c r="D87" s="195"/>
      <c r="E87" s="183"/>
    </row>
    <row r="88" spans="1:5" ht="26.25" thickBot="1">
      <c r="A88" s="969" t="s">
        <v>834</v>
      </c>
      <c r="B88" s="997" t="s">
        <v>412</v>
      </c>
      <c r="C88" s="1004">
        <f>C85+C86+C87</f>
        <v>0</v>
      </c>
      <c r="D88" s="1004">
        <f>D85+D86+D87</f>
        <v>5000</v>
      </c>
      <c r="E88" s="1005">
        <f>E85+E86+E87</f>
        <v>0</v>
      </c>
    </row>
    <row r="89" spans="1:5" ht="13.5" thickTop="1">
      <c r="A89" s="553" t="s">
        <v>835</v>
      </c>
      <c r="B89" s="707" t="s">
        <v>413</v>
      </c>
      <c r="C89" s="504"/>
      <c r="D89" s="193"/>
      <c r="E89" s="185"/>
    </row>
    <row r="90" spans="1:5" ht="12.75">
      <c r="A90" s="553" t="s">
        <v>836</v>
      </c>
      <c r="B90" s="291" t="s">
        <v>414</v>
      </c>
      <c r="C90" s="339"/>
      <c r="D90" s="194"/>
      <c r="E90" s="186"/>
    </row>
    <row r="91" spans="1:5" ht="12" customHeight="1">
      <c r="A91" s="553" t="s">
        <v>837</v>
      </c>
      <c r="B91" s="291" t="s">
        <v>25</v>
      </c>
      <c r="C91" s="502"/>
      <c r="D91" s="190"/>
      <c r="E91" s="186"/>
    </row>
    <row r="92" spans="1:5" ht="12.75">
      <c r="A92" s="553" t="s">
        <v>838</v>
      </c>
      <c r="B92" s="155" t="s">
        <v>914</v>
      </c>
      <c r="C92" s="502"/>
      <c r="D92" s="190"/>
      <c r="E92" s="186"/>
    </row>
    <row r="93" spans="1:5" ht="13.5" thickBot="1">
      <c r="A93" s="952" t="s">
        <v>839</v>
      </c>
      <c r="B93" s="291" t="s">
        <v>416</v>
      </c>
      <c r="C93" s="503"/>
      <c r="D93" s="195"/>
      <c r="E93" s="186"/>
    </row>
    <row r="94" spans="1:5" ht="13.5" thickBot="1">
      <c r="A94" s="969" t="s">
        <v>840</v>
      </c>
      <c r="B94" s="977" t="s">
        <v>419</v>
      </c>
      <c r="C94" s="995">
        <f>C90+C91+C92+C93</f>
        <v>0</v>
      </c>
      <c r="D94" s="995">
        <f>D90+D91+D92+D93</f>
        <v>0</v>
      </c>
      <c r="E94" s="996">
        <f>E90+E91+E92+E93</f>
        <v>0</v>
      </c>
    </row>
    <row r="95" spans="1:5" ht="27" thickBot="1" thickTop="1">
      <c r="A95" s="1007" t="s">
        <v>841</v>
      </c>
      <c r="B95" s="991" t="s">
        <v>415</v>
      </c>
      <c r="C95" s="999">
        <f>C73+C83+C88+C94</f>
        <v>587924</v>
      </c>
      <c r="D95" s="999">
        <f>D73+D83+D88+D94</f>
        <v>10000</v>
      </c>
      <c r="E95" s="1000">
        <f>E73+E83+E88+E94</f>
        <v>11300</v>
      </c>
    </row>
    <row r="96" spans="1:5" ht="13.5" thickTop="1">
      <c r="A96" s="553" t="s">
        <v>842</v>
      </c>
      <c r="B96" s="958" t="s">
        <v>976</v>
      </c>
      <c r="C96" s="998"/>
      <c r="D96" s="193"/>
      <c r="E96" s="185"/>
    </row>
    <row r="97" spans="1:5" ht="12.75">
      <c r="A97" s="552" t="s">
        <v>843</v>
      </c>
      <c r="B97" s="566" t="s">
        <v>417</v>
      </c>
      <c r="C97" s="507"/>
      <c r="D97" s="190"/>
      <c r="E97" s="183"/>
    </row>
    <row r="98" spans="1:5" ht="17.25" customHeight="1" thickBot="1">
      <c r="A98" s="617" t="s">
        <v>844</v>
      </c>
      <c r="B98" s="962" t="s">
        <v>418</v>
      </c>
      <c r="C98" s="503"/>
      <c r="D98" s="195"/>
      <c r="E98" s="187"/>
    </row>
    <row r="99" spans="1:5" ht="13.5" thickBot="1">
      <c r="A99" s="969" t="s">
        <v>845</v>
      </c>
      <c r="B99" s="982" t="s">
        <v>979</v>
      </c>
      <c r="C99" s="995">
        <f>C97+C98</f>
        <v>0</v>
      </c>
      <c r="D99" s="995">
        <f>D97+D98</f>
        <v>0</v>
      </c>
      <c r="E99" s="996">
        <f>E97+E98</f>
        <v>0</v>
      </c>
    </row>
    <row r="100" spans="1:5" ht="14.25" customHeight="1" thickTop="1">
      <c r="A100" s="553" t="s">
        <v>846</v>
      </c>
      <c r="B100" s="1001" t="s">
        <v>977</v>
      </c>
      <c r="C100" s="506"/>
      <c r="D100" s="196"/>
      <c r="E100" s="188"/>
    </row>
    <row r="101" spans="1:5" ht="13.5" customHeight="1">
      <c r="A101" s="553" t="s">
        <v>847</v>
      </c>
      <c r="B101" s="959" t="s">
        <v>417</v>
      </c>
      <c r="C101" s="506"/>
      <c r="D101" s="196"/>
      <c r="E101" s="188"/>
    </row>
    <row r="102" spans="1:5" s="20" customFormat="1" ht="13.5" thickBot="1">
      <c r="A102" s="617" t="s">
        <v>848</v>
      </c>
      <c r="B102" s="567" t="s">
        <v>418</v>
      </c>
      <c r="C102" s="503"/>
      <c r="D102" s="195"/>
      <c r="E102" s="187"/>
    </row>
    <row r="103" spans="1:5" ht="14.25" customHeight="1" thickBot="1">
      <c r="A103" s="969" t="s">
        <v>849</v>
      </c>
      <c r="B103" s="1003" t="s">
        <v>942</v>
      </c>
      <c r="C103" s="1004">
        <f>C101+C102</f>
        <v>0</v>
      </c>
      <c r="D103" s="1004">
        <f>D101+D102</f>
        <v>0</v>
      </c>
      <c r="E103" s="1005">
        <f>E101+E102</f>
        <v>0</v>
      </c>
    </row>
    <row r="104" spans="1:5" ht="23.25" thickBot="1" thickTop="1">
      <c r="A104" s="553" t="s">
        <v>869</v>
      </c>
      <c r="B104" s="985" t="s">
        <v>978</v>
      </c>
      <c r="C104" s="1002"/>
      <c r="D104" s="510"/>
      <c r="E104" s="382"/>
    </row>
    <row r="105" spans="1:5" ht="14.25" customHeight="1">
      <c r="A105" s="552" t="s">
        <v>870</v>
      </c>
      <c r="B105" s="568" t="s">
        <v>420</v>
      </c>
      <c r="C105" s="366"/>
      <c r="D105" s="367"/>
      <c r="E105" s="368"/>
    </row>
    <row r="106" spans="1:5" s="20" customFormat="1" ht="21" customHeight="1" thickBot="1">
      <c r="A106" s="617" t="s">
        <v>871</v>
      </c>
      <c r="B106" s="569" t="s">
        <v>421</v>
      </c>
      <c r="C106" s="961"/>
      <c r="D106" s="191"/>
      <c r="E106" s="184"/>
    </row>
    <row r="107" spans="1:5" ht="13.5" thickBot="1">
      <c r="A107" s="969" t="s">
        <v>872</v>
      </c>
      <c r="B107" s="1006" t="s">
        <v>943</v>
      </c>
      <c r="C107" s="1004">
        <f>C105+C106</f>
        <v>0</v>
      </c>
      <c r="D107" s="1004">
        <f>D105+D106</f>
        <v>0</v>
      </c>
      <c r="E107" s="1005">
        <f>E105+E106</f>
        <v>0</v>
      </c>
    </row>
    <row r="108" spans="1:5" ht="14.25" thickBot="1" thickTop="1">
      <c r="A108" s="987" t="s">
        <v>873</v>
      </c>
      <c r="B108" s="988" t="s">
        <v>982</v>
      </c>
      <c r="C108" s="999">
        <f>C95+C99+C103+C107</f>
        <v>587924</v>
      </c>
      <c r="D108" s="999">
        <f>D95+D99+D103+D107</f>
        <v>10000</v>
      </c>
      <c r="E108" s="1000">
        <f>E95+E99+E103+E107</f>
        <v>11300</v>
      </c>
    </row>
    <row r="109" spans="1:5" ht="12.75" customHeight="1" thickBot="1" thickTop="1">
      <c r="A109" s="582" t="s">
        <v>874</v>
      </c>
      <c r="B109" s="1019" t="s">
        <v>984</v>
      </c>
      <c r="C109" s="192"/>
      <c r="D109" s="1020"/>
      <c r="E109" s="192"/>
    </row>
    <row r="110" spans="1:5" ht="12.75">
      <c r="A110" s="1568">
        <v>3</v>
      </c>
      <c r="B110" s="1545"/>
      <c r="C110" s="1545"/>
      <c r="D110" s="1545"/>
      <c r="E110" s="1545"/>
    </row>
    <row r="111" spans="1:5" ht="12.75">
      <c r="A111" s="1546" t="s">
        <v>1334</v>
      </c>
      <c r="B111" s="1546"/>
      <c r="C111" s="1546"/>
      <c r="D111" s="1546"/>
      <c r="E111" s="1546"/>
    </row>
    <row r="112" spans="2:5" ht="15.75">
      <c r="B112" s="1566" t="s">
        <v>988</v>
      </c>
      <c r="C112" s="1566"/>
      <c r="D112" s="1566"/>
      <c r="E112" s="1566"/>
    </row>
    <row r="113" spans="2:5" ht="13.5" thickBot="1">
      <c r="B113" s="1"/>
      <c r="C113" s="1"/>
      <c r="D113" s="1"/>
      <c r="E113" s="25" t="s">
        <v>16</v>
      </c>
    </row>
    <row r="114" spans="1:5" ht="27" thickBot="1">
      <c r="A114" s="587" t="s">
        <v>801</v>
      </c>
      <c r="B114" s="960" t="s">
        <v>22</v>
      </c>
      <c r="C114" s="581" t="s">
        <v>1209</v>
      </c>
      <c r="D114" s="547" t="s">
        <v>422</v>
      </c>
      <c r="E114" s="547" t="s">
        <v>30</v>
      </c>
    </row>
    <row r="115" spans="1:5" ht="12.75">
      <c r="A115" s="963" t="s">
        <v>802</v>
      </c>
      <c r="B115" s="964" t="s">
        <v>803</v>
      </c>
      <c r="C115" s="992" t="s">
        <v>804</v>
      </c>
      <c r="D115" s="993" t="s">
        <v>805</v>
      </c>
      <c r="E115" s="994" t="s">
        <v>825</v>
      </c>
    </row>
    <row r="116" spans="1:5" ht="12.75">
      <c r="A116" s="553" t="s">
        <v>806</v>
      </c>
      <c r="B116" s="560" t="s">
        <v>406</v>
      </c>
      <c r="C116" s="502"/>
      <c r="D116" s="190"/>
      <c r="E116" s="183"/>
    </row>
    <row r="117" spans="1:5" ht="12.75">
      <c r="A117" s="552" t="s">
        <v>807</v>
      </c>
      <c r="B117" s="247" t="s">
        <v>11</v>
      </c>
      <c r="C117" s="502">
        <f>284+13446</f>
        <v>13730</v>
      </c>
      <c r="D117" s="190">
        <v>4695</v>
      </c>
      <c r="E117" s="183"/>
    </row>
    <row r="118" spans="1:5" ht="12.75">
      <c r="A118" s="552" t="s">
        <v>808</v>
      </c>
      <c r="B118" s="290" t="s">
        <v>12</v>
      </c>
      <c r="C118" s="502">
        <v>1667</v>
      </c>
      <c r="D118" s="190">
        <v>1223</v>
      </c>
      <c r="E118" s="183"/>
    </row>
    <row r="119" spans="1:5" ht="12.75">
      <c r="A119" s="552" t="s">
        <v>809</v>
      </c>
      <c r="B119" s="290" t="s">
        <v>13</v>
      </c>
      <c r="C119" s="502">
        <f>3764+2232+2958</f>
        <v>8954</v>
      </c>
      <c r="D119" s="190">
        <v>424</v>
      </c>
      <c r="E119" s="183">
        <v>46990</v>
      </c>
    </row>
    <row r="120" spans="1:5" ht="12.75">
      <c r="A120" s="552" t="s">
        <v>810</v>
      </c>
      <c r="B120" s="290" t="s">
        <v>973</v>
      </c>
      <c r="C120" s="502"/>
      <c r="D120" s="190"/>
      <c r="E120" s="183"/>
    </row>
    <row r="121" spans="1:5" ht="12.75">
      <c r="A121" s="552" t="s">
        <v>811</v>
      </c>
      <c r="B121" s="290" t="s">
        <v>972</v>
      </c>
      <c r="C121" s="502"/>
      <c r="D121" s="190"/>
      <c r="E121" s="183"/>
    </row>
    <row r="122" spans="1:5" ht="12.75">
      <c r="A122" s="552" t="s">
        <v>812</v>
      </c>
      <c r="B122" s="290" t="s">
        <v>401</v>
      </c>
      <c r="C122" s="502">
        <f>C123+C124+C125+C126</f>
        <v>0</v>
      </c>
      <c r="D122" s="502">
        <f>D123+D124+D125+D126</f>
        <v>0</v>
      </c>
      <c r="E122" s="190">
        <f>E123+E124+E125+E126</f>
        <v>0</v>
      </c>
    </row>
    <row r="123" spans="1:5" ht="12.75">
      <c r="A123" s="552" t="s">
        <v>813</v>
      </c>
      <c r="B123" s="290" t="s">
        <v>395</v>
      </c>
      <c r="C123" s="502"/>
      <c r="D123" s="190"/>
      <c r="E123" s="183"/>
    </row>
    <row r="124" spans="1:5" ht="12.75">
      <c r="A124" s="552" t="s">
        <v>814</v>
      </c>
      <c r="B124" s="561" t="s">
        <v>396</v>
      </c>
      <c r="C124" s="502"/>
      <c r="D124" s="190"/>
      <c r="E124" s="183"/>
    </row>
    <row r="125" spans="1:5" ht="12.75">
      <c r="A125" s="552" t="s">
        <v>815</v>
      </c>
      <c r="B125" s="290" t="s">
        <v>397</v>
      </c>
      <c r="C125" s="502"/>
      <c r="D125" s="190"/>
      <c r="E125" s="183"/>
    </row>
    <row r="126" spans="1:5" ht="12.75">
      <c r="A126" s="552" t="s">
        <v>816</v>
      </c>
      <c r="B126" s="290" t="s">
        <v>398</v>
      </c>
      <c r="C126" s="339"/>
      <c r="D126" s="194"/>
      <c r="E126" s="183"/>
    </row>
    <row r="127" spans="1:5" ht="13.5" thickBot="1">
      <c r="A127" s="617" t="s">
        <v>817</v>
      </c>
      <c r="B127" s="292" t="s">
        <v>399</v>
      </c>
      <c r="C127" s="503"/>
      <c r="D127" s="195"/>
      <c r="E127" s="183"/>
    </row>
    <row r="128" spans="1:5" ht="13.5" thickBot="1">
      <c r="A128" s="969" t="s">
        <v>818</v>
      </c>
      <c r="B128" s="970" t="s">
        <v>14</v>
      </c>
      <c r="C128" s="1004">
        <f>C117+C118+C119+C120+C122+C127</f>
        <v>24351</v>
      </c>
      <c r="D128" s="1004">
        <f>D117+D118+D119+D120+D122+D127</f>
        <v>6342</v>
      </c>
      <c r="E128" s="1005">
        <f>E117+E118+E119+E120+E122+E127</f>
        <v>46990</v>
      </c>
    </row>
    <row r="129" spans="1:5" ht="13.5" thickTop="1">
      <c r="A129" s="553" t="s">
        <v>819</v>
      </c>
      <c r="B129" s="562" t="s">
        <v>407</v>
      </c>
      <c r="C129" s="504"/>
      <c r="D129" s="193"/>
      <c r="E129" s="185"/>
    </row>
    <row r="130" spans="1:5" ht="12.75">
      <c r="A130" s="552" t="s">
        <v>820</v>
      </c>
      <c r="B130" s="290" t="s">
        <v>974</v>
      </c>
      <c r="C130" s="502">
        <f>'33_sz_ melléklet'!C80</f>
        <v>150</v>
      </c>
      <c r="D130" s="190"/>
      <c r="E130" s="183"/>
    </row>
    <row r="131" spans="1:5" ht="12.75">
      <c r="A131" s="552" t="s">
        <v>821</v>
      </c>
      <c r="B131" s="290" t="s">
        <v>975</v>
      </c>
      <c r="C131" s="502"/>
      <c r="D131" s="190"/>
      <c r="E131" s="183"/>
    </row>
    <row r="132" spans="1:5" ht="12.75">
      <c r="A132" s="552" t="s">
        <v>822</v>
      </c>
      <c r="B132" s="290" t="s">
        <v>400</v>
      </c>
      <c r="C132" s="339">
        <f>C133+C134+C135</f>
        <v>0</v>
      </c>
      <c r="D132" s="339">
        <f>D133+D134+D135</f>
        <v>0</v>
      </c>
      <c r="E132" s="194">
        <f>E133+E134+E135</f>
        <v>0</v>
      </c>
    </row>
    <row r="133" spans="1:5" ht="12.75">
      <c r="A133" s="552" t="s">
        <v>823</v>
      </c>
      <c r="B133" s="290" t="s">
        <v>402</v>
      </c>
      <c r="C133" s="502"/>
      <c r="D133" s="190"/>
      <c r="E133" s="183"/>
    </row>
    <row r="134" spans="1:5" ht="12.75">
      <c r="A134" s="552" t="s">
        <v>824</v>
      </c>
      <c r="B134" s="290" t="s">
        <v>452</v>
      </c>
      <c r="C134" s="502"/>
      <c r="D134" s="190"/>
      <c r="E134" s="183"/>
    </row>
    <row r="135" spans="1:5" ht="12.75">
      <c r="A135" s="552" t="s">
        <v>826</v>
      </c>
      <c r="B135" s="290" t="s">
        <v>403</v>
      </c>
      <c r="C135" s="502"/>
      <c r="D135" s="190"/>
      <c r="E135" s="183"/>
    </row>
    <row r="136" spans="1:5" ht="12.75">
      <c r="A136" s="552" t="s">
        <v>827</v>
      </c>
      <c r="B136" s="290" t="s">
        <v>404</v>
      </c>
      <c r="C136" s="502"/>
      <c r="D136" s="190"/>
      <c r="E136" s="183"/>
    </row>
    <row r="137" spans="1:5" ht="13.5" thickBot="1">
      <c r="A137" s="617" t="s">
        <v>828</v>
      </c>
      <c r="B137" s="292" t="s">
        <v>405</v>
      </c>
      <c r="C137" s="505">
        <f>-C120</f>
        <v>0</v>
      </c>
      <c r="D137" s="505">
        <f>-D120</f>
        <v>0</v>
      </c>
      <c r="E137" s="191">
        <f>-E120</f>
        <v>0</v>
      </c>
    </row>
    <row r="138" spans="1:5" ht="13.5" thickBot="1">
      <c r="A138" s="969" t="s">
        <v>829</v>
      </c>
      <c r="B138" s="970" t="s">
        <v>15</v>
      </c>
      <c r="C138" s="995">
        <f>C130+C131+C132+C136+C137</f>
        <v>150</v>
      </c>
      <c r="D138" s="995">
        <f>D130+D131+D132+D136+D137</f>
        <v>0</v>
      </c>
      <c r="E138" s="996">
        <f>E130+E131+E132+E136+E137</f>
        <v>0</v>
      </c>
    </row>
    <row r="139" spans="1:5" ht="26.25" thickTop="1">
      <c r="A139" s="553" t="s">
        <v>830</v>
      </c>
      <c r="B139" s="918" t="s">
        <v>408</v>
      </c>
      <c r="C139" s="504"/>
      <c r="D139" s="193"/>
      <c r="E139" s="185"/>
    </row>
    <row r="140" spans="1:5" ht="12.75">
      <c r="A140" s="552" t="s">
        <v>831</v>
      </c>
      <c r="B140" s="563" t="s">
        <v>409</v>
      </c>
      <c r="C140" s="502"/>
      <c r="D140" s="190"/>
      <c r="E140" s="183"/>
    </row>
    <row r="141" spans="1:5" ht="12.75">
      <c r="A141" s="552" t="s">
        <v>832</v>
      </c>
      <c r="B141" s="564" t="s">
        <v>410</v>
      </c>
      <c r="C141" s="339"/>
      <c r="D141" s="194"/>
      <c r="E141" s="183"/>
    </row>
    <row r="142" spans="1:5" ht="13.5" thickBot="1">
      <c r="A142" s="617" t="s">
        <v>833</v>
      </c>
      <c r="B142" s="565" t="s">
        <v>411</v>
      </c>
      <c r="C142" s="503"/>
      <c r="D142" s="195"/>
      <c r="E142" s="183"/>
    </row>
    <row r="143" spans="1:5" ht="26.25" thickBot="1">
      <c r="A143" s="969" t="s">
        <v>834</v>
      </c>
      <c r="B143" s="997" t="s">
        <v>412</v>
      </c>
      <c r="C143" s="995">
        <f>C140+C141+C142</f>
        <v>0</v>
      </c>
      <c r="D143" s="995">
        <f>D140+D141+D142</f>
        <v>0</v>
      </c>
      <c r="E143" s="996">
        <f>E140+E141+E142</f>
        <v>0</v>
      </c>
    </row>
    <row r="144" spans="1:5" ht="13.5" thickTop="1">
      <c r="A144" s="553" t="s">
        <v>835</v>
      </c>
      <c r="B144" s="707" t="s">
        <v>413</v>
      </c>
      <c r="C144" s="504"/>
      <c r="D144" s="193"/>
      <c r="E144" s="185"/>
    </row>
    <row r="145" spans="1:5" ht="12.75">
      <c r="A145" s="553" t="s">
        <v>836</v>
      </c>
      <c r="B145" s="291" t="s">
        <v>414</v>
      </c>
      <c r="C145" s="339"/>
      <c r="D145" s="194"/>
      <c r="E145" s="186"/>
    </row>
    <row r="146" spans="1:5" ht="12.75">
      <c r="A146" s="553" t="s">
        <v>837</v>
      </c>
      <c r="B146" s="291" t="s">
        <v>25</v>
      </c>
      <c r="C146" s="502"/>
      <c r="D146" s="190"/>
      <c r="E146" s="186"/>
    </row>
    <row r="147" spans="1:5" ht="12.75">
      <c r="A147" s="553" t="s">
        <v>838</v>
      </c>
      <c r="B147" s="155" t="s">
        <v>914</v>
      </c>
      <c r="C147" s="502"/>
      <c r="D147" s="190"/>
      <c r="E147" s="186"/>
    </row>
    <row r="148" spans="1:5" ht="13.5" thickBot="1">
      <c r="A148" s="952" t="s">
        <v>839</v>
      </c>
      <c r="B148" s="291" t="s">
        <v>416</v>
      </c>
      <c r="C148" s="503"/>
      <c r="D148" s="195"/>
      <c r="E148" s="186"/>
    </row>
    <row r="149" spans="1:5" ht="13.5" thickBot="1">
      <c r="A149" s="969" t="s">
        <v>840</v>
      </c>
      <c r="B149" s="977" t="s">
        <v>419</v>
      </c>
      <c r="C149" s="995">
        <f>C145+C146+C147+C148</f>
        <v>0</v>
      </c>
      <c r="D149" s="995">
        <f>D145+D146+D147+D148</f>
        <v>0</v>
      </c>
      <c r="E149" s="996">
        <f>E145+E146+E147+E148</f>
        <v>0</v>
      </c>
    </row>
    <row r="150" spans="1:5" ht="27" thickBot="1" thickTop="1">
      <c r="A150" s="1007" t="s">
        <v>841</v>
      </c>
      <c r="B150" s="991" t="s">
        <v>415</v>
      </c>
      <c r="C150" s="999">
        <f>C128+C138+C143+C149</f>
        <v>24501</v>
      </c>
      <c r="D150" s="999">
        <f>D128+D138+D143+D149</f>
        <v>6342</v>
      </c>
      <c r="E150" s="1000">
        <f>E128+E138+E143+E149</f>
        <v>46990</v>
      </c>
    </row>
    <row r="151" spans="1:5" ht="13.5" thickTop="1">
      <c r="A151" s="553" t="s">
        <v>842</v>
      </c>
      <c r="B151" s="958" t="s">
        <v>976</v>
      </c>
      <c r="C151" s="998"/>
      <c r="D151" s="193"/>
      <c r="E151" s="185"/>
    </row>
    <row r="152" spans="1:5" ht="12.75">
      <c r="A152" s="552" t="s">
        <v>843</v>
      </c>
      <c r="B152" s="566" t="s">
        <v>417</v>
      </c>
      <c r="C152" s="507"/>
      <c r="D152" s="190"/>
      <c r="E152" s="183"/>
    </row>
    <row r="153" spans="1:5" ht="13.5" thickBot="1">
      <c r="A153" s="617" t="s">
        <v>844</v>
      </c>
      <c r="B153" s="962" t="s">
        <v>418</v>
      </c>
      <c r="C153" s="503"/>
      <c r="D153" s="195"/>
      <c r="E153" s="187"/>
    </row>
    <row r="154" spans="1:5" ht="13.5" thickBot="1">
      <c r="A154" s="969" t="s">
        <v>845</v>
      </c>
      <c r="B154" s="982" t="s">
        <v>979</v>
      </c>
      <c r="C154" s="995">
        <f>C152+C153</f>
        <v>0</v>
      </c>
      <c r="D154" s="995">
        <f>D152+D153</f>
        <v>0</v>
      </c>
      <c r="E154" s="996">
        <f>E152+E153</f>
        <v>0</v>
      </c>
    </row>
    <row r="155" spans="1:5" ht="13.5" thickTop="1">
      <c r="A155" s="553" t="s">
        <v>846</v>
      </c>
      <c r="B155" s="1001" t="s">
        <v>977</v>
      </c>
      <c r="C155" s="506"/>
      <c r="D155" s="196"/>
      <c r="E155" s="188"/>
    </row>
    <row r="156" spans="1:5" ht="12.75">
      <c r="A156" s="553" t="s">
        <v>847</v>
      </c>
      <c r="B156" s="959" t="s">
        <v>417</v>
      </c>
      <c r="C156" s="506"/>
      <c r="D156" s="196"/>
      <c r="E156" s="188"/>
    </row>
    <row r="157" spans="1:5" ht="13.5" thickBot="1">
      <c r="A157" s="617" t="s">
        <v>848</v>
      </c>
      <c r="B157" s="567" t="s">
        <v>418</v>
      </c>
      <c r="C157" s="503"/>
      <c r="D157" s="195"/>
      <c r="E157" s="187"/>
    </row>
    <row r="158" spans="1:5" ht="13.5" thickBot="1">
      <c r="A158" s="969" t="s">
        <v>849</v>
      </c>
      <c r="B158" s="1003" t="s">
        <v>942</v>
      </c>
      <c r="C158" s="1004">
        <f>C156+C157</f>
        <v>0</v>
      </c>
      <c r="D158" s="1004">
        <f>D156+D157</f>
        <v>0</v>
      </c>
      <c r="E158" s="1005">
        <f>E156+E157</f>
        <v>0</v>
      </c>
    </row>
    <row r="159" spans="1:5" ht="23.25" thickBot="1" thickTop="1">
      <c r="A159" s="553" t="s">
        <v>869</v>
      </c>
      <c r="B159" s="985" t="s">
        <v>978</v>
      </c>
      <c r="C159" s="1002"/>
      <c r="D159" s="510"/>
      <c r="E159" s="382"/>
    </row>
    <row r="160" spans="1:5" ht="12.75">
      <c r="A160" s="552" t="s">
        <v>870</v>
      </c>
      <c r="B160" s="568" t="s">
        <v>420</v>
      </c>
      <c r="C160" s="366"/>
      <c r="D160" s="367"/>
      <c r="E160" s="368"/>
    </row>
    <row r="161" spans="1:5" ht="13.5" thickBot="1">
      <c r="A161" s="617" t="s">
        <v>871</v>
      </c>
      <c r="B161" s="569" t="s">
        <v>421</v>
      </c>
      <c r="C161" s="961"/>
      <c r="D161" s="191"/>
      <c r="E161" s="184"/>
    </row>
    <row r="162" spans="1:5" ht="13.5" thickBot="1">
      <c r="A162" s="969" t="s">
        <v>872</v>
      </c>
      <c r="B162" s="1006" t="s">
        <v>943</v>
      </c>
      <c r="C162" s="1004">
        <f>C160+C161</f>
        <v>0</v>
      </c>
      <c r="D162" s="1004">
        <f>D160+D161</f>
        <v>0</v>
      </c>
      <c r="E162" s="1005">
        <f>E160+E161</f>
        <v>0</v>
      </c>
    </row>
    <row r="163" spans="1:5" ht="14.25" thickBot="1" thickTop="1">
      <c r="A163" s="987" t="s">
        <v>873</v>
      </c>
      <c r="B163" s="988" t="s">
        <v>982</v>
      </c>
      <c r="C163" s="999">
        <f>C150+C154+C158+C162</f>
        <v>24501</v>
      </c>
      <c r="D163" s="999">
        <f>D150+D154+D158+D162</f>
        <v>6342</v>
      </c>
      <c r="E163" s="1000">
        <f>E150+E154+E158+E162</f>
        <v>46990</v>
      </c>
    </row>
    <row r="164" spans="1:5" ht="24" thickBot="1" thickTop="1">
      <c r="A164" s="582" t="s">
        <v>874</v>
      </c>
      <c r="B164" s="1019" t="s">
        <v>984</v>
      </c>
      <c r="C164" s="192"/>
      <c r="D164" s="1020"/>
      <c r="E164" s="192"/>
    </row>
    <row r="166" spans="1:5" ht="12.75">
      <c r="A166" s="1568">
        <v>4</v>
      </c>
      <c r="B166" s="1545"/>
      <c r="C166" s="1545"/>
      <c r="D166" s="1545"/>
      <c r="E166" s="1545"/>
    </row>
    <row r="167" spans="1:5" ht="12.75">
      <c r="A167" s="1546" t="s">
        <v>1334</v>
      </c>
      <c r="B167" s="1546"/>
      <c r="C167" s="1546"/>
      <c r="D167" s="1546"/>
      <c r="E167" s="1546"/>
    </row>
    <row r="168" spans="2:5" ht="15.75">
      <c r="B168" s="1566" t="s">
        <v>988</v>
      </c>
      <c r="C168" s="1566"/>
      <c r="D168" s="1566"/>
      <c r="E168" s="1566"/>
    </row>
    <row r="169" spans="2:5" ht="13.5" thickBot="1">
      <c r="B169" s="1"/>
      <c r="C169" s="1"/>
      <c r="D169" s="1"/>
      <c r="E169" s="25" t="s">
        <v>16</v>
      </c>
    </row>
    <row r="170" spans="1:5" ht="27" thickBot="1">
      <c r="A170" s="587" t="s">
        <v>801</v>
      </c>
      <c r="B170" s="960" t="s">
        <v>22</v>
      </c>
      <c r="C170" s="578" t="s">
        <v>1024</v>
      </c>
      <c r="D170" s="581" t="s">
        <v>31</v>
      </c>
      <c r="E170" s="548" t="s">
        <v>32</v>
      </c>
    </row>
    <row r="171" spans="1:5" ht="12.75">
      <c r="A171" s="963" t="s">
        <v>802</v>
      </c>
      <c r="B171" s="964" t="s">
        <v>803</v>
      </c>
      <c r="C171" s="1015" t="s">
        <v>804</v>
      </c>
      <c r="D171" s="993" t="s">
        <v>805</v>
      </c>
      <c r="E171" s="994" t="s">
        <v>825</v>
      </c>
    </row>
    <row r="172" spans="1:5" ht="12.75">
      <c r="A172" s="553" t="s">
        <v>806</v>
      </c>
      <c r="B172" s="560" t="s">
        <v>406</v>
      </c>
      <c r="C172" s="502"/>
      <c r="D172" s="190"/>
      <c r="E172" s="183"/>
    </row>
    <row r="173" spans="1:5" ht="12.75">
      <c r="A173" s="552" t="s">
        <v>807</v>
      </c>
      <c r="B173" s="247" t="s">
        <v>11</v>
      </c>
      <c r="C173" s="502">
        <f>26851</f>
        <v>26851</v>
      </c>
      <c r="D173" s="190"/>
      <c r="E173" s="183"/>
    </row>
    <row r="174" spans="1:5" ht="12.75">
      <c r="A174" s="552" t="s">
        <v>808</v>
      </c>
      <c r="B174" s="290" t="s">
        <v>12</v>
      </c>
      <c r="C174" s="502">
        <f>7105</f>
        <v>7105</v>
      </c>
      <c r="D174" s="190"/>
      <c r="E174" s="183"/>
    </row>
    <row r="175" spans="1:5" ht="12.75">
      <c r="A175" s="552" t="s">
        <v>809</v>
      </c>
      <c r="B175" s="290" t="s">
        <v>13</v>
      </c>
      <c r="C175" s="502">
        <f>26337-903-1590-14865+839-6431+75</f>
        <v>3462</v>
      </c>
      <c r="D175" s="190"/>
      <c r="E175" s="183">
        <v>52399</v>
      </c>
    </row>
    <row r="176" spans="1:5" ht="12.75">
      <c r="A176" s="552" t="s">
        <v>810</v>
      </c>
      <c r="B176" s="290" t="s">
        <v>973</v>
      </c>
      <c r="C176" s="502"/>
      <c r="D176" s="190"/>
      <c r="E176" s="183"/>
    </row>
    <row r="177" spans="1:5" ht="12.75">
      <c r="A177" s="552" t="s">
        <v>811</v>
      </c>
      <c r="B177" s="290" t="s">
        <v>972</v>
      </c>
      <c r="C177" s="502"/>
      <c r="D177" s="190"/>
      <c r="E177" s="183"/>
    </row>
    <row r="178" spans="1:5" ht="12.75">
      <c r="A178" s="552" t="s">
        <v>812</v>
      </c>
      <c r="B178" s="290" t="s">
        <v>401</v>
      </c>
      <c r="C178" s="502">
        <f>C179+C180+C181+C182</f>
        <v>1739</v>
      </c>
      <c r="D178" s="502">
        <f>D179+D180+D181+D182</f>
        <v>50080</v>
      </c>
      <c r="E178" s="190">
        <f>E179+E180+E181+E182</f>
        <v>0</v>
      </c>
    </row>
    <row r="179" spans="1:5" ht="12.75">
      <c r="A179" s="552" t="s">
        <v>813</v>
      </c>
      <c r="B179" s="290" t="s">
        <v>395</v>
      </c>
      <c r="C179" s="502">
        <f>'6 7_sz_melléklet'!E7</f>
        <v>1739</v>
      </c>
      <c r="D179" s="190"/>
      <c r="E179" s="183"/>
    </row>
    <row r="180" spans="1:5" ht="12.75">
      <c r="A180" s="552" t="s">
        <v>814</v>
      </c>
      <c r="B180" s="561" t="s">
        <v>396</v>
      </c>
      <c r="C180" s="502"/>
      <c r="D180" s="190">
        <f>'6 7_sz_melléklet'!E38</f>
        <v>50080</v>
      </c>
      <c r="E180" s="183"/>
    </row>
    <row r="181" spans="1:5" ht="12.75">
      <c r="A181" s="552" t="s">
        <v>815</v>
      </c>
      <c r="B181" s="290" t="s">
        <v>397</v>
      </c>
      <c r="C181" s="502"/>
      <c r="D181" s="190"/>
      <c r="E181" s="183"/>
    </row>
    <row r="182" spans="1:5" ht="12.75">
      <c r="A182" s="552" t="s">
        <v>816</v>
      </c>
      <c r="B182" s="290" t="s">
        <v>398</v>
      </c>
      <c r="C182" s="339"/>
      <c r="D182" s="194"/>
      <c r="E182" s="183"/>
    </row>
    <row r="183" spans="1:5" ht="13.5" thickBot="1">
      <c r="A183" s="617" t="s">
        <v>817</v>
      </c>
      <c r="B183" s="292" t="s">
        <v>399</v>
      </c>
      <c r="C183" s="503"/>
      <c r="D183" s="195"/>
      <c r="E183" s="183"/>
    </row>
    <row r="184" spans="1:5" ht="13.5" thickBot="1">
      <c r="A184" s="969" t="s">
        <v>818</v>
      </c>
      <c r="B184" s="970" t="s">
        <v>14</v>
      </c>
      <c r="C184" s="1004">
        <f>C173+C174+C175+C176+C178+C183</f>
        <v>39157</v>
      </c>
      <c r="D184" s="1004">
        <f>D173+D174+D175+D176+D178+D183</f>
        <v>50080</v>
      </c>
      <c r="E184" s="1005">
        <f>E173+E174+E175+E176+E178+E183</f>
        <v>52399</v>
      </c>
    </row>
    <row r="185" spans="1:5" ht="13.5" thickTop="1">
      <c r="A185" s="553" t="s">
        <v>819</v>
      </c>
      <c r="B185" s="562" t="s">
        <v>407</v>
      </c>
      <c r="C185" s="504"/>
      <c r="D185" s="193"/>
      <c r="E185" s="185"/>
    </row>
    <row r="186" spans="1:5" ht="12.75">
      <c r="A186" s="552" t="s">
        <v>820</v>
      </c>
      <c r="B186" s="290" t="s">
        <v>974</v>
      </c>
      <c r="C186" s="502">
        <f>'33_sz_ melléklet'!C71</f>
        <v>72817</v>
      </c>
      <c r="D186" s="190"/>
      <c r="E186" s="183"/>
    </row>
    <row r="187" spans="1:5" ht="12.75">
      <c r="A187" s="552" t="s">
        <v>821</v>
      </c>
      <c r="B187" s="290" t="s">
        <v>975</v>
      </c>
      <c r="C187" s="502">
        <f>'32_sz_ melléklet'!C40</f>
        <v>7000</v>
      </c>
      <c r="D187" s="190">
        <f>'32_sz_ melléklet'!C34</f>
        <v>30000</v>
      </c>
      <c r="E187" s="183"/>
    </row>
    <row r="188" spans="1:5" ht="12.75">
      <c r="A188" s="552" t="s">
        <v>822</v>
      </c>
      <c r="B188" s="290" t="s">
        <v>400</v>
      </c>
      <c r="C188" s="339">
        <f>C189+C190+C191</f>
        <v>0</v>
      </c>
      <c r="D188" s="339">
        <f>D189+D190+D191</f>
        <v>0</v>
      </c>
      <c r="E188" s="194">
        <f>E189+E190+E191</f>
        <v>0</v>
      </c>
    </row>
    <row r="189" spans="1:5" ht="12.75">
      <c r="A189" s="552" t="s">
        <v>823</v>
      </c>
      <c r="B189" s="290" t="s">
        <v>402</v>
      </c>
      <c r="C189" s="502"/>
      <c r="D189" s="190"/>
      <c r="E189" s="183"/>
    </row>
    <row r="190" spans="1:5" ht="12.75">
      <c r="A190" s="552" t="s">
        <v>824</v>
      </c>
      <c r="B190" s="290" t="s">
        <v>452</v>
      </c>
      <c r="C190" s="502"/>
      <c r="D190" s="190"/>
      <c r="E190" s="183"/>
    </row>
    <row r="191" spans="1:5" ht="12.75">
      <c r="A191" s="552" t="s">
        <v>826</v>
      </c>
      <c r="B191" s="290" t="s">
        <v>403</v>
      </c>
      <c r="C191" s="502"/>
      <c r="D191" s="190"/>
      <c r="E191" s="183"/>
    </row>
    <row r="192" spans="1:5" ht="12.75">
      <c r="A192" s="552" t="s">
        <v>827</v>
      </c>
      <c r="B192" s="290" t="s">
        <v>404</v>
      </c>
      <c r="C192" s="502"/>
      <c r="D192" s="190"/>
      <c r="E192" s="183"/>
    </row>
    <row r="193" spans="1:5" ht="13.5" thickBot="1">
      <c r="A193" s="617" t="s">
        <v>828</v>
      </c>
      <c r="B193" s="292" t="s">
        <v>405</v>
      </c>
      <c r="C193" s="505">
        <f>-C176</f>
        <v>0</v>
      </c>
      <c r="D193" s="505">
        <f>-D176</f>
        <v>0</v>
      </c>
      <c r="E193" s="191">
        <f>-E176</f>
        <v>0</v>
      </c>
    </row>
    <row r="194" spans="1:5" ht="13.5" thickBot="1">
      <c r="A194" s="969" t="s">
        <v>829</v>
      </c>
      <c r="B194" s="970" t="s">
        <v>15</v>
      </c>
      <c r="C194" s="1004">
        <f>C186+C187+C188+C192+C193</f>
        <v>79817</v>
      </c>
      <c r="D194" s="1004">
        <f>D186+D187+D188+D192+D193</f>
        <v>30000</v>
      </c>
      <c r="E194" s="1005">
        <f>E186+E187+E188+E192+E193</f>
        <v>0</v>
      </c>
    </row>
    <row r="195" spans="1:5" ht="26.25" thickTop="1">
      <c r="A195" s="553" t="s">
        <v>830</v>
      </c>
      <c r="B195" s="918" t="s">
        <v>408</v>
      </c>
      <c r="C195" s="504"/>
      <c r="D195" s="193"/>
      <c r="E195" s="185"/>
    </row>
    <row r="196" spans="1:5" ht="12.75">
      <c r="A196" s="552" t="s">
        <v>831</v>
      </c>
      <c r="B196" s="563" t="s">
        <v>409</v>
      </c>
      <c r="C196" s="502"/>
      <c r="D196" s="190"/>
      <c r="E196" s="183"/>
    </row>
    <row r="197" spans="1:5" ht="12.75">
      <c r="A197" s="552" t="s">
        <v>832</v>
      </c>
      <c r="B197" s="564" t="s">
        <v>410</v>
      </c>
      <c r="C197" s="339"/>
      <c r="D197" s="194"/>
      <c r="E197" s="183"/>
    </row>
    <row r="198" spans="1:5" ht="13.5" thickBot="1">
      <c r="A198" s="617" t="s">
        <v>833</v>
      </c>
      <c r="B198" s="565" t="s">
        <v>411</v>
      </c>
      <c r="C198" s="503"/>
      <c r="D198" s="195"/>
      <c r="E198" s="183"/>
    </row>
    <row r="199" spans="1:5" ht="26.25" thickBot="1">
      <c r="A199" s="969" t="s">
        <v>834</v>
      </c>
      <c r="B199" s="997" t="s">
        <v>412</v>
      </c>
      <c r="C199" s="995">
        <f>C196+C197+C198</f>
        <v>0</v>
      </c>
      <c r="D199" s="995">
        <f>D196+D197+D198</f>
        <v>0</v>
      </c>
      <c r="E199" s="996">
        <f>E196+E197+E198</f>
        <v>0</v>
      </c>
    </row>
    <row r="200" spans="1:5" ht="13.5" thickTop="1">
      <c r="A200" s="553" t="s">
        <v>835</v>
      </c>
      <c r="B200" s="707" t="s">
        <v>413</v>
      </c>
      <c r="C200" s="504"/>
      <c r="D200" s="193"/>
      <c r="E200" s="185"/>
    </row>
    <row r="201" spans="1:5" ht="12.75">
      <c r="A201" s="553" t="s">
        <v>836</v>
      </c>
      <c r="B201" s="291" t="s">
        <v>414</v>
      </c>
      <c r="C201" s="339"/>
      <c r="D201" s="194"/>
      <c r="E201" s="186"/>
    </row>
    <row r="202" spans="1:5" ht="12.75">
      <c r="A202" s="553" t="s">
        <v>837</v>
      </c>
      <c r="B202" s="291" t="s">
        <v>25</v>
      </c>
      <c r="C202" s="502"/>
      <c r="D202" s="190"/>
      <c r="E202" s="186"/>
    </row>
    <row r="203" spans="1:5" ht="12.75">
      <c r="A203" s="553" t="s">
        <v>838</v>
      </c>
      <c r="B203" s="155" t="s">
        <v>914</v>
      </c>
      <c r="C203" s="502"/>
      <c r="D203" s="190"/>
      <c r="E203" s="186"/>
    </row>
    <row r="204" spans="1:5" ht="13.5" thickBot="1">
      <c r="A204" s="952" t="s">
        <v>839</v>
      </c>
      <c r="B204" s="291" t="s">
        <v>416</v>
      </c>
      <c r="C204" s="503"/>
      <c r="D204" s="195"/>
      <c r="E204" s="186"/>
    </row>
    <row r="205" spans="1:5" ht="13.5" thickBot="1">
      <c r="A205" s="969" t="s">
        <v>840</v>
      </c>
      <c r="B205" s="977" t="s">
        <v>419</v>
      </c>
      <c r="C205" s="995">
        <f>C201+C202+C203+C204</f>
        <v>0</v>
      </c>
      <c r="D205" s="995">
        <f>D201+D202+D203+D204</f>
        <v>0</v>
      </c>
      <c r="E205" s="996">
        <f>E201+E202+E203+E204</f>
        <v>0</v>
      </c>
    </row>
    <row r="206" spans="1:5" ht="27" thickBot="1" thickTop="1">
      <c r="A206" s="1007" t="s">
        <v>841</v>
      </c>
      <c r="B206" s="991" t="s">
        <v>415</v>
      </c>
      <c r="C206" s="999">
        <f>C184+C194+C199+C205</f>
        <v>118974</v>
      </c>
      <c r="D206" s="999">
        <f>D184+D194+D199+D205</f>
        <v>80080</v>
      </c>
      <c r="E206" s="1000">
        <f>E184+E194+E199+E205</f>
        <v>52399</v>
      </c>
    </row>
    <row r="207" spans="1:5" ht="13.5" thickTop="1">
      <c r="A207" s="553" t="s">
        <v>842</v>
      </c>
      <c r="B207" s="958" t="s">
        <v>976</v>
      </c>
      <c r="C207" s="998"/>
      <c r="D207" s="193"/>
      <c r="E207" s="185"/>
    </row>
    <row r="208" spans="1:5" ht="12.75">
      <c r="A208" s="552" t="s">
        <v>843</v>
      </c>
      <c r="B208" s="566" t="s">
        <v>417</v>
      </c>
      <c r="C208" s="507"/>
      <c r="D208" s="190"/>
      <c r="E208" s="183"/>
    </row>
    <row r="209" spans="1:5" ht="13.5" thickBot="1">
      <c r="A209" s="617" t="s">
        <v>844</v>
      </c>
      <c r="B209" s="962" t="s">
        <v>418</v>
      </c>
      <c r="C209" s="503"/>
      <c r="D209" s="195"/>
      <c r="E209" s="187"/>
    </row>
    <row r="210" spans="1:5" ht="13.5" thickBot="1">
      <c r="A210" s="969" t="s">
        <v>845</v>
      </c>
      <c r="B210" s="982" t="s">
        <v>979</v>
      </c>
      <c r="C210" s="995">
        <f>C208+C209</f>
        <v>0</v>
      </c>
      <c r="D210" s="995">
        <f>D208+D209</f>
        <v>0</v>
      </c>
      <c r="E210" s="996">
        <f>E208+E209</f>
        <v>0</v>
      </c>
    </row>
    <row r="211" spans="1:5" ht="13.5" thickTop="1">
      <c r="A211" s="553" t="s">
        <v>846</v>
      </c>
      <c r="B211" s="1001" t="s">
        <v>977</v>
      </c>
      <c r="C211" s="506"/>
      <c r="D211" s="196"/>
      <c r="E211" s="188"/>
    </row>
    <row r="212" spans="1:5" ht="12.75">
      <c r="A212" s="553" t="s">
        <v>847</v>
      </c>
      <c r="B212" s="959" t="s">
        <v>417</v>
      </c>
      <c r="C212" s="506"/>
      <c r="D212" s="196"/>
      <c r="E212" s="188"/>
    </row>
    <row r="213" spans="1:5" ht="13.5" thickBot="1">
      <c r="A213" s="617" t="s">
        <v>848</v>
      </c>
      <c r="B213" s="567" t="s">
        <v>418</v>
      </c>
      <c r="C213" s="503"/>
      <c r="D213" s="195"/>
      <c r="E213" s="187"/>
    </row>
    <row r="214" spans="1:5" ht="13.5" thickBot="1">
      <c r="A214" s="969" t="s">
        <v>849</v>
      </c>
      <c r="B214" s="1003" t="s">
        <v>942</v>
      </c>
      <c r="C214" s="1004">
        <f>C212+C213</f>
        <v>0</v>
      </c>
      <c r="D214" s="1004">
        <f>D212+D213</f>
        <v>0</v>
      </c>
      <c r="E214" s="1005">
        <f>E212+E213</f>
        <v>0</v>
      </c>
    </row>
    <row r="215" spans="1:5" ht="23.25" thickBot="1" thickTop="1">
      <c r="A215" s="553" t="s">
        <v>869</v>
      </c>
      <c r="B215" s="985" t="s">
        <v>978</v>
      </c>
      <c r="C215" s="1002"/>
      <c r="D215" s="510"/>
      <c r="E215" s="382"/>
    </row>
    <row r="216" spans="1:5" ht="12.75">
      <c r="A216" s="552" t="s">
        <v>870</v>
      </c>
      <c r="B216" s="568" t="s">
        <v>420</v>
      </c>
      <c r="C216" s="366"/>
      <c r="D216" s="367"/>
      <c r="E216" s="368"/>
    </row>
    <row r="217" spans="1:5" ht="13.5" thickBot="1">
      <c r="A217" s="617" t="s">
        <v>871</v>
      </c>
      <c r="B217" s="569" t="s">
        <v>421</v>
      </c>
      <c r="C217" s="961"/>
      <c r="D217" s="191"/>
      <c r="E217" s="184"/>
    </row>
    <row r="218" spans="1:5" ht="13.5" thickBot="1">
      <c r="A218" s="969" t="s">
        <v>872</v>
      </c>
      <c r="B218" s="1006" t="s">
        <v>943</v>
      </c>
      <c r="C218" s="1004">
        <f>C216+C217</f>
        <v>0</v>
      </c>
      <c r="D218" s="1004">
        <f>D216+D217</f>
        <v>0</v>
      </c>
      <c r="E218" s="1005">
        <f>E216+E217</f>
        <v>0</v>
      </c>
    </row>
    <row r="219" spans="1:5" ht="14.25" thickBot="1" thickTop="1">
      <c r="A219" s="987" t="s">
        <v>873</v>
      </c>
      <c r="B219" s="988" t="s">
        <v>982</v>
      </c>
      <c r="C219" s="999">
        <f>C206+C210+C214+C218</f>
        <v>118974</v>
      </c>
      <c r="D219" s="999">
        <f>D206+D210+D214+D218</f>
        <v>80080</v>
      </c>
      <c r="E219" s="1000">
        <f>E206+E210+E214+E218</f>
        <v>52399</v>
      </c>
    </row>
    <row r="220" spans="1:5" ht="24" thickBot="1" thickTop="1">
      <c r="A220" s="582" t="s">
        <v>874</v>
      </c>
      <c r="B220" s="1019" t="s">
        <v>984</v>
      </c>
      <c r="C220" s="192"/>
      <c r="D220" s="1020"/>
      <c r="E220" s="192"/>
    </row>
    <row r="222" spans="1:5" ht="12.75">
      <c r="A222" s="1568">
        <v>5</v>
      </c>
      <c r="B222" s="1545"/>
      <c r="C222" s="1545"/>
      <c r="D222" s="1545"/>
      <c r="E222" s="1545"/>
    </row>
    <row r="223" spans="1:5" ht="12.75">
      <c r="A223" s="1546" t="s">
        <v>1334</v>
      </c>
      <c r="B223" s="1546"/>
      <c r="C223" s="1546"/>
      <c r="D223" s="1546"/>
      <c r="E223" s="1546"/>
    </row>
    <row r="224" spans="2:5" ht="15.75">
      <c r="B224" s="1566" t="s">
        <v>988</v>
      </c>
      <c r="C224" s="1566"/>
      <c r="D224" s="1566"/>
      <c r="E224" s="1566"/>
    </row>
    <row r="225" spans="2:5" ht="13.5" thickBot="1">
      <c r="B225" s="1"/>
      <c r="C225" s="1"/>
      <c r="D225" s="1"/>
      <c r="E225" s="25" t="s">
        <v>16</v>
      </c>
    </row>
    <row r="226" spans="1:5" ht="39.75" thickBot="1">
      <c r="A226" s="587" t="s">
        <v>801</v>
      </c>
      <c r="B226" s="960" t="s">
        <v>22</v>
      </c>
      <c r="C226" s="1385" t="s">
        <v>424</v>
      </c>
      <c r="D226" s="578" t="s">
        <v>423</v>
      </c>
      <c r="E226" s="576" t="s">
        <v>34</v>
      </c>
    </row>
    <row r="227" spans="1:5" ht="12.75">
      <c r="A227" s="963" t="s">
        <v>802</v>
      </c>
      <c r="B227" s="964" t="s">
        <v>803</v>
      </c>
      <c r="C227" s="1015" t="s">
        <v>804</v>
      </c>
      <c r="D227" s="1016" t="s">
        <v>805</v>
      </c>
      <c r="E227" s="994" t="s">
        <v>825</v>
      </c>
    </row>
    <row r="228" spans="1:5" ht="12.75">
      <c r="A228" s="553" t="s">
        <v>806</v>
      </c>
      <c r="B228" s="560" t="s">
        <v>406</v>
      </c>
      <c r="C228" s="502"/>
      <c r="D228" s="190"/>
      <c r="E228" s="183"/>
    </row>
    <row r="229" spans="1:5" ht="12.75">
      <c r="A229" s="552" t="s">
        <v>807</v>
      </c>
      <c r="B229" s="247" t="s">
        <v>11</v>
      </c>
      <c r="C229" s="502"/>
      <c r="D229" s="190"/>
      <c r="E229" s="183">
        <v>150</v>
      </c>
    </row>
    <row r="230" spans="1:5" ht="12.75">
      <c r="A230" s="552" t="s">
        <v>808</v>
      </c>
      <c r="B230" s="290" t="s">
        <v>12</v>
      </c>
      <c r="C230" s="502"/>
      <c r="D230" s="190"/>
      <c r="E230" s="183">
        <f>450+1624</f>
        <v>2074</v>
      </c>
    </row>
    <row r="231" spans="1:5" ht="12.75">
      <c r="A231" s="552" t="s">
        <v>809</v>
      </c>
      <c r="B231" s="290" t="s">
        <v>13</v>
      </c>
      <c r="C231" s="502">
        <f>33954+22151</f>
        <v>56105</v>
      </c>
      <c r="D231" s="190">
        <f>936+1426</f>
        <v>2362</v>
      </c>
      <c r="E231" s="183">
        <f>13444+1</f>
        <v>13445</v>
      </c>
    </row>
    <row r="232" spans="1:5" ht="12.75">
      <c r="A232" s="552" t="s">
        <v>810</v>
      </c>
      <c r="B232" s="290" t="s">
        <v>973</v>
      </c>
      <c r="C232" s="502"/>
      <c r="D232" s="190"/>
      <c r="E232" s="183"/>
    </row>
    <row r="233" spans="1:5" ht="12.75">
      <c r="A233" s="552" t="s">
        <v>811</v>
      </c>
      <c r="B233" s="290" t="s">
        <v>972</v>
      </c>
      <c r="C233" s="502"/>
      <c r="D233" s="190"/>
      <c r="E233" s="183"/>
    </row>
    <row r="234" spans="1:5" ht="12.75">
      <c r="A234" s="552" t="s">
        <v>812</v>
      </c>
      <c r="B234" s="290" t="s">
        <v>401</v>
      </c>
      <c r="C234" s="502">
        <f>C235+C236+C237+C238</f>
        <v>0</v>
      </c>
      <c r="D234" s="502">
        <f>D235+D236+D237+D238</f>
        <v>0</v>
      </c>
      <c r="E234" s="190">
        <f>E235+E236+E237+E238</f>
        <v>50533</v>
      </c>
    </row>
    <row r="235" spans="1:5" ht="12.75">
      <c r="A235" s="552" t="s">
        <v>813</v>
      </c>
      <c r="B235" s="290" t="s">
        <v>395</v>
      </c>
      <c r="C235" s="502"/>
      <c r="D235" s="190"/>
      <c r="E235" s="183"/>
    </row>
    <row r="236" spans="1:5" ht="12.75">
      <c r="A236" s="552" t="s">
        <v>814</v>
      </c>
      <c r="B236" s="561" t="s">
        <v>396</v>
      </c>
      <c r="C236" s="502"/>
      <c r="D236" s="190"/>
      <c r="E236" s="183">
        <f>'6 7_sz_melléklet'!E23+'6 7_sz_melléklet'!E40</f>
        <v>50533</v>
      </c>
    </row>
    <row r="237" spans="1:5" ht="12.75">
      <c r="A237" s="552" t="s">
        <v>815</v>
      </c>
      <c r="B237" s="290" t="s">
        <v>397</v>
      </c>
      <c r="C237" s="502"/>
      <c r="D237" s="190"/>
      <c r="E237" s="183"/>
    </row>
    <row r="238" spans="1:5" ht="12.75">
      <c r="A238" s="552" t="s">
        <v>816</v>
      </c>
      <c r="B238" s="290" t="s">
        <v>398</v>
      </c>
      <c r="C238" s="339"/>
      <c r="D238" s="194"/>
      <c r="E238" s="183"/>
    </row>
    <row r="239" spans="1:5" ht="13.5" thickBot="1">
      <c r="A239" s="617" t="s">
        <v>817</v>
      </c>
      <c r="B239" s="292" t="s">
        <v>399</v>
      </c>
      <c r="C239" s="503"/>
      <c r="D239" s="195"/>
      <c r="E239" s="183"/>
    </row>
    <row r="240" spans="1:5" ht="13.5" thickBot="1">
      <c r="A240" s="969" t="s">
        <v>818</v>
      </c>
      <c r="B240" s="970" t="s">
        <v>14</v>
      </c>
      <c r="C240" s="1004">
        <f>C229+C230+C231+C232+C234+C239</f>
        <v>56105</v>
      </c>
      <c r="D240" s="1004">
        <f>D229+D230+D231+D232+D234+D239</f>
        <v>2362</v>
      </c>
      <c r="E240" s="1005">
        <f>E229+E230+E231+E232+E234+E239</f>
        <v>66202</v>
      </c>
    </row>
    <row r="241" spans="1:5" ht="13.5" thickTop="1">
      <c r="A241" s="553" t="s">
        <v>819</v>
      </c>
      <c r="B241" s="562" t="s">
        <v>407</v>
      </c>
      <c r="C241" s="504"/>
      <c r="D241" s="193"/>
      <c r="E241" s="185"/>
    </row>
    <row r="242" spans="1:5" ht="12.75">
      <c r="A242" s="552" t="s">
        <v>820</v>
      </c>
      <c r="B242" s="290" t="s">
        <v>974</v>
      </c>
      <c r="C242" s="502">
        <f>'33_sz_ melléklet'!C68</f>
        <v>8020</v>
      </c>
      <c r="D242" s="190"/>
      <c r="E242" s="183"/>
    </row>
    <row r="243" spans="1:5" ht="12.75">
      <c r="A243" s="552" t="s">
        <v>821</v>
      </c>
      <c r="B243" s="290" t="s">
        <v>975</v>
      </c>
      <c r="C243" s="502">
        <f>'32_sz_ melléklet'!C27</f>
        <v>12000</v>
      </c>
      <c r="D243" s="190"/>
      <c r="E243" s="183"/>
    </row>
    <row r="244" spans="1:5" ht="12.75">
      <c r="A244" s="552" t="s">
        <v>822</v>
      </c>
      <c r="B244" s="290" t="s">
        <v>400</v>
      </c>
      <c r="C244" s="339">
        <f>C245+C246+C247</f>
        <v>0</v>
      </c>
      <c r="D244" s="339">
        <f>D245+D246+D247</f>
        <v>0</v>
      </c>
      <c r="E244" s="194">
        <f>E245+E246+E247</f>
        <v>0</v>
      </c>
    </row>
    <row r="245" spans="1:5" ht="12.75">
      <c r="A245" s="552" t="s">
        <v>823</v>
      </c>
      <c r="B245" s="290" t="s">
        <v>402</v>
      </c>
      <c r="C245" s="502"/>
      <c r="D245" s="190"/>
      <c r="E245" s="183"/>
    </row>
    <row r="246" spans="1:5" ht="12.75">
      <c r="A246" s="552" t="s">
        <v>824</v>
      </c>
      <c r="B246" s="290" t="s">
        <v>452</v>
      </c>
      <c r="C246" s="502"/>
      <c r="D246" s="190"/>
      <c r="E246" s="183"/>
    </row>
    <row r="247" spans="1:5" ht="12.75">
      <c r="A247" s="552" t="s">
        <v>826</v>
      </c>
      <c r="B247" s="290" t="s">
        <v>403</v>
      </c>
      <c r="C247" s="502"/>
      <c r="D247" s="190"/>
      <c r="E247" s="183"/>
    </row>
    <row r="248" spans="1:5" ht="12.75">
      <c r="A248" s="552" t="s">
        <v>827</v>
      </c>
      <c r="B248" s="290" t="s">
        <v>404</v>
      </c>
      <c r="C248" s="502"/>
      <c r="D248" s="190"/>
      <c r="E248" s="183"/>
    </row>
    <row r="249" spans="1:5" ht="13.5" thickBot="1">
      <c r="A249" s="617" t="s">
        <v>828</v>
      </c>
      <c r="B249" s="292" t="s">
        <v>405</v>
      </c>
      <c r="C249" s="505">
        <f>-C232</f>
        <v>0</v>
      </c>
      <c r="D249" s="505">
        <f>-D232</f>
        <v>0</v>
      </c>
      <c r="E249" s="191">
        <f>-E232</f>
        <v>0</v>
      </c>
    </row>
    <row r="250" spans="1:5" ht="13.5" thickBot="1">
      <c r="A250" s="969" t="s">
        <v>829</v>
      </c>
      <c r="B250" s="970" t="s">
        <v>15</v>
      </c>
      <c r="C250" s="1004">
        <f>C242+C243+C244+C248+C249</f>
        <v>20020</v>
      </c>
      <c r="D250" s="1004">
        <f>D242+D243+D244+D248+D249</f>
        <v>0</v>
      </c>
      <c r="E250" s="1005">
        <f>E242+E243+E244+E248+E249</f>
        <v>0</v>
      </c>
    </row>
    <row r="251" spans="1:5" ht="26.25" thickTop="1">
      <c r="A251" s="553" t="s">
        <v>830</v>
      </c>
      <c r="B251" s="918" t="s">
        <v>408</v>
      </c>
      <c r="C251" s="504"/>
      <c r="D251" s="193"/>
      <c r="E251" s="185"/>
    </row>
    <row r="252" spans="1:5" ht="12.75">
      <c r="A252" s="552" t="s">
        <v>831</v>
      </c>
      <c r="B252" s="563" t="s">
        <v>409</v>
      </c>
      <c r="C252" s="502"/>
      <c r="D252" s="190"/>
      <c r="E252" s="183"/>
    </row>
    <row r="253" spans="1:5" ht="12.75">
      <c r="A253" s="552" t="s">
        <v>832</v>
      </c>
      <c r="B253" s="564" t="s">
        <v>410</v>
      </c>
      <c r="C253" s="339"/>
      <c r="D253" s="194"/>
      <c r="E253" s="183"/>
    </row>
    <row r="254" spans="1:5" ht="13.5" thickBot="1">
      <c r="A254" s="617" t="s">
        <v>833</v>
      </c>
      <c r="B254" s="565" t="s">
        <v>411</v>
      </c>
      <c r="C254" s="503"/>
      <c r="D254" s="195"/>
      <c r="E254" s="183"/>
    </row>
    <row r="255" spans="1:5" ht="26.25" thickBot="1">
      <c r="A255" s="969" t="s">
        <v>834</v>
      </c>
      <c r="B255" s="997" t="s">
        <v>412</v>
      </c>
      <c r="C255" s="995">
        <f>C252+C253+C254</f>
        <v>0</v>
      </c>
      <c r="D255" s="995">
        <f>D252+D253+D254</f>
        <v>0</v>
      </c>
      <c r="E255" s="996">
        <f>E252+E253+E254</f>
        <v>0</v>
      </c>
    </row>
    <row r="256" spans="1:5" ht="13.5" thickTop="1">
      <c r="A256" s="553" t="s">
        <v>835</v>
      </c>
      <c r="B256" s="707" t="s">
        <v>413</v>
      </c>
      <c r="C256" s="504"/>
      <c r="D256" s="193"/>
      <c r="E256" s="185"/>
    </row>
    <row r="257" spans="1:5" ht="12.75">
      <c r="A257" s="553" t="s">
        <v>836</v>
      </c>
      <c r="B257" s="291" t="s">
        <v>414</v>
      </c>
      <c r="C257" s="339"/>
      <c r="D257" s="194"/>
      <c r="E257" s="186"/>
    </row>
    <row r="258" spans="1:5" ht="12.75">
      <c r="A258" s="553" t="s">
        <v>837</v>
      </c>
      <c r="B258" s="291" t="s">
        <v>25</v>
      </c>
      <c r="C258" s="502"/>
      <c r="D258" s="190"/>
      <c r="E258" s="186"/>
    </row>
    <row r="259" spans="1:5" ht="12.75">
      <c r="A259" s="553" t="s">
        <v>838</v>
      </c>
      <c r="B259" s="155" t="s">
        <v>914</v>
      </c>
      <c r="C259" s="502"/>
      <c r="D259" s="190"/>
      <c r="E259" s="186"/>
    </row>
    <row r="260" spans="1:5" ht="13.5" thickBot="1">
      <c r="A260" s="952" t="s">
        <v>839</v>
      </c>
      <c r="B260" s="291" t="s">
        <v>416</v>
      </c>
      <c r="C260" s="503"/>
      <c r="D260" s="195"/>
      <c r="E260" s="186"/>
    </row>
    <row r="261" spans="1:5" ht="13.5" thickBot="1">
      <c r="A261" s="969" t="s">
        <v>840</v>
      </c>
      <c r="B261" s="977" t="s">
        <v>419</v>
      </c>
      <c r="C261" s="995">
        <f>C257+C258+C259+C260</f>
        <v>0</v>
      </c>
      <c r="D261" s="995">
        <f>D257+D258+D259+D260</f>
        <v>0</v>
      </c>
      <c r="E261" s="996">
        <f>E257+E258+E259+E260</f>
        <v>0</v>
      </c>
    </row>
    <row r="262" spans="1:5" ht="27" thickBot="1" thickTop="1">
      <c r="A262" s="1007" t="s">
        <v>841</v>
      </c>
      <c r="B262" s="991" t="s">
        <v>415</v>
      </c>
      <c r="C262" s="999">
        <f>C240+C250+C255+C261</f>
        <v>76125</v>
      </c>
      <c r="D262" s="999">
        <f>D240+D250+D255+D261</f>
        <v>2362</v>
      </c>
      <c r="E262" s="1000">
        <f>E240+E250+E255+E261</f>
        <v>66202</v>
      </c>
    </row>
    <row r="263" spans="1:5" ht="13.5" thickTop="1">
      <c r="A263" s="553" t="s">
        <v>842</v>
      </c>
      <c r="B263" s="958" t="s">
        <v>976</v>
      </c>
      <c r="C263" s="998"/>
      <c r="D263" s="193"/>
      <c r="E263" s="185"/>
    </row>
    <row r="264" spans="1:5" ht="12.75">
      <c r="A264" s="552" t="s">
        <v>843</v>
      </c>
      <c r="B264" s="566" t="s">
        <v>417</v>
      </c>
      <c r="C264" s="507"/>
      <c r="D264" s="190"/>
      <c r="E264" s="183"/>
    </row>
    <row r="265" spans="1:5" ht="13.5" thickBot="1">
      <c r="A265" s="617" t="s">
        <v>844</v>
      </c>
      <c r="B265" s="962" t="s">
        <v>418</v>
      </c>
      <c r="C265" s="503"/>
      <c r="D265" s="195"/>
      <c r="E265" s="187"/>
    </row>
    <row r="266" spans="1:5" ht="13.5" thickBot="1">
      <c r="A266" s="969" t="s">
        <v>845</v>
      </c>
      <c r="B266" s="982" t="s">
        <v>979</v>
      </c>
      <c r="C266" s="995">
        <f>C264+C265</f>
        <v>0</v>
      </c>
      <c r="D266" s="995">
        <f>D264+D265</f>
        <v>0</v>
      </c>
      <c r="E266" s="996">
        <f>E264+E265</f>
        <v>0</v>
      </c>
    </row>
    <row r="267" spans="1:5" ht="13.5" thickTop="1">
      <c r="A267" s="553" t="s">
        <v>846</v>
      </c>
      <c r="B267" s="1001" t="s">
        <v>977</v>
      </c>
      <c r="C267" s="506"/>
      <c r="D267" s="196"/>
      <c r="E267" s="188"/>
    </row>
    <row r="268" spans="1:5" ht="12.75">
      <c r="A268" s="553" t="s">
        <v>847</v>
      </c>
      <c r="B268" s="959" t="s">
        <v>417</v>
      </c>
      <c r="C268" s="506"/>
      <c r="D268" s="196"/>
      <c r="E268" s="188"/>
    </row>
    <row r="269" spans="1:5" ht="13.5" thickBot="1">
      <c r="A269" s="617" t="s">
        <v>848</v>
      </c>
      <c r="B269" s="567" t="s">
        <v>418</v>
      </c>
      <c r="C269" s="503"/>
      <c r="D269" s="195"/>
      <c r="E269" s="187"/>
    </row>
    <row r="270" spans="1:5" ht="13.5" thickBot="1">
      <c r="A270" s="969" t="s">
        <v>849</v>
      </c>
      <c r="B270" s="1003" t="s">
        <v>942</v>
      </c>
      <c r="C270" s="1004">
        <f>C268+C269</f>
        <v>0</v>
      </c>
      <c r="D270" s="1004">
        <f>D268+D269</f>
        <v>0</v>
      </c>
      <c r="E270" s="1005">
        <f>E268+E269</f>
        <v>0</v>
      </c>
    </row>
    <row r="271" spans="1:5" ht="23.25" thickBot="1" thickTop="1">
      <c r="A271" s="553" t="s">
        <v>869</v>
      </c>
      <c r="B271" s="985" t="s">
        <v>978</v>
      </c>
      <c r="C271" s="1002"/>
      <c r="D271" s="510"/>
      <c r="E271" s="382"/>
    </row>
    <row r="272" spans="1:5" ht="12.75">
      <c r="A272" s="552" t="s">
        <v>870</v>
      </c>
      <c r="B272" s="568" t="s">
        <v>420</v>
      </c>
      <c r="C272" s="366"/>
      <c r="D272" s="367"/>
      <c r="E272" s="368"/>
    </row>
    <row r="273" spans="1:5" ht="13.5" thickBot="1">
      <c r="A273" s="617" t="s">
        <v>871</v>
      </c>
      <c r="B273" s="569" t="s">
        <v>421</v>
      </c>
      <c r="C273" s="961"/>
      <c r="D273" s="191"/>
      <c r="E273" s="184"/>
    </row>
    <row r="274" spans="1:5" ht="13.5" thickBot="1">
      <c r="A274" s="969" t="s">
        <v>872</v>
      </c>
      <c r="B274" s="1006" t="s">
        <v>943</v>
      </c>
      <c r="C274" s="1004">
        <f>C272+C273</f>
        <v>0</v>
      </c>
      <c r="D274" s="1004">
        <f>D272+D273</f>
        <v>0</v>
      </c>
      <c r="E274" s="1005">
        <f>E272+E273</f>
        <v>0</v>
      </c>
    </row>
    <row r="275" spans="1:5" ht="14.25" thickBot="1" thickTop="1">
      <c r="A275" s="987" t="s">
        <v>873</v>
      </c>
      <c r="B275" s="988" t="s">
        <v>982</v>
      </c>
      <c r="C275" s="999">
        <f>C262+C266+C270+C274</f>
        <v>76125</v>
      </c>
      <c r="D275" s="999">
        <f>D262+D266+D270+D274</f>
        <v>2362</v>
      </c>
      <c r="E275" s="1000">
        <f>E262+E266+E270+E274</f>
        <v>66202</v>
      </c>
    </row>
    <row r="276" spans="1:5" ht="24" thickBot="1" thickTop="1">
      <c r="A276" s="582" t="s">
        <v>874</v>
      </c>
      <c r="B276" s="1019" t="s">
        <v>984</v>
      </c>
      <c r="C276" s="192"/>
      <c r="D276" s="1020"/>
      <c r="E276" s="192"/>
    </row>
    <row r="277" spans="1:5" ht="12.75">
      <c r="A277" s="1568">
        <v>6</v>
      </c>
      <c r="B277" s="1545"/>
      <c r="C277" s="1545"/>
      <c r="D277" s="1545"/>
      <c r="E277" s="1545"/>
    </row>
    <row r="278" spans="1:5" ht="12.75">
      <c r="A278" s="1546" t="s">
        <v>1334</v>
      </c>
      <c r="B278" s="1546"/>
      <c r="C278" s="1546"/>
      <c r="D278" s="1546"/>
      <c r="E278" s="1546"/>
    </row>
    <row r="279" spans="2:5" ht="15.75">
      <c r="B279" s="1566" t="s">
        <v>988</v>
      </c>
      <c r="C279" s="1566"/>
      <c r="D279" s="1566"/>
      <c r="E279" s="1566"/>
    </row>
    <row r="280" spans="2:5" ht="13.5" thickBot="1">
      <c r="B280" s="1"/>
      <c r="C280" s="1"/>
      <c r="D280" s="1"/>
      <c r="E280" s="25" t="s">
        <v>16</v>
      </c>
    </row>
    <row r="281" spans="1:5" ht="27" thickBot="1">
      <c r="A281" s="577" t="s">
        <v>801</v>
      </c>
      <c r="B281" s="960" t="s">
        <v>22</v>
      </c>
      <c r="C281" s="578" t="s">
        <v>33</v>
      </c>
      <c r="D281" s="576" t="s">
        <v>425</v>
      </c>
      <c r="E281" s="1018" t="s">
        <v>35</v>
      </c>
    </row>
    <row r="282" spans="1:5" ht="12.75">
      <c r="A282" s="1014" t="s">
        <v>802</v>
      </c>
      <c r="B282" s="964" t="s">
        <v>803</v>
      </c>
      <c r="C282" s="1015" t="s">
        <v>804</v>
      </c>
      <c r="D282" s="1016" t="s">
        <v>805</v>
      </c>
      <c r="E282" s="1017" t="s">
        <v>825</v>
      </c>
    </row>
    <row r="283" spans="1:5" ht="12.75">
      <c r="A283" s="553" t="s">
        <v>806</v>
      </c>
      <c r="B283" s="560" t="s">
        <v>406</v>
      </c>
      <c r="C283" s="502"/>
      <c r="D283" s="190"/>
      <c r="E283" s="183"/>
    </row>
    <row r="284" spans="1:5" ht="12.75">
      <c r="A284" s="552" t="s">
        <v>807</v>
      </c>
      <c r="B284" s="247" t="s">
        <v>11</v>
      </c>
      <c r="C284" s="502"/>
      <c r="D284" s="190"/>
      <c r="E284" s="183"/>
    </row>
    <row r="285" spans="1:5" ht="12.75">
      <c r="A285" s="552" t="s">
        <v>808</v>
      </c>
      <c r="B285" s="290" t="s">
        <v>12</v>
      </c>
      <c r="C285" s="502">
        <f>17194-17194</f>
        <v>0</v>
      </c>
      <c r="D285" s="190"/>
      <c r="E285" s="183"/>
    </row>
    <row r="286" spans="1:5" ht="12.75">
      <c r="A286" s="552" t="s">
        <v>809</v>
      </c>
      <c r="B286" s="290" t="s">
        <v>13</v>
      </c>
      <c r="C286" s="502">
        <f>610+216+6449-610</f>
        <v>6665</v>
      </c>
      <c r="D286" s="190"/>
      <c r="E286" s="183">
        <f>13460+2287</f>
        <v>15747</v>
      </c>
    </row>
    <row r="287" spans="1:5" ht="12.75">
      <c r="A287" s="552" t="s">
        <v>810</v>
      </c>
      <c r="B287" s="290" t="s">
        <v>973</v>
      </c>
      <c r="C287" s="502"/>
      <c r="D287" s="190"/>
      <c r="E287" s="183">
        <f>-2460-2287</f>
        <v>-4747</v>
      </c>
    </row>
    <row r="288" spans="1:5" ht="12.75">
      <c r="A288" s="552" t="s">
        <v>811</v>
      </c>
      <c r="B288" s="290" t="s">
        <v>972</v>
      </c>
      <c r="C288" s="502"/>
      <c r="D288" s="190"/>
      <c r="E288" s="183"/>
    </row>
    <row r="289" spans="1:5" ht="12.75">
      <c r="A289" s="552" t="s">
        <v>812</v>
      </c>
      <c r="B289" s="290" t="s">
        <v>401</v>
      </c>
      <c r="C289" s="502">
        <f>C290+C291+C292+C293</f>
        <v>133345</v>
      </c>
      <c r="D289" s="502">
        <f>D290+D291+D292+D293</f>
        <v>379</v>
      </c>
      <c r="E289" s="190">
        <f>E290+E291+E292+E293</f>
        <v>0</v>
      </c>
    </row>
    <row r="290" spans="1:5" ht="12.75">
      <c r="A290" s="552" t="s">
        <v>813</v>
      </c>
      <c r="B290" s="290" t="s">
        <v>395</v>
      </c>
      <c r="C290" s="502"/>
      <c r="D290" s="190"/>
      <c r="E290" s="183"/>
    </row>
    <row r="291" spans="1:5" ht="12.75">
      <c r="A291" s="552" t="s">
        <v>814</v>
      </c>
      <c r="B291" s="561" t="s">
        <v>396</v>
      </c>
      <c r="C291" s="502"/>
      <c r="D291" s="190">
        <f>'6 7_sz_melléklet'!E34</f>
        <v>379</v>
      </c>
      <c r="E291" s="183"/>
    </row>
    <row r="292" spans="1:5" ht="12.75">
      <c r="A292" s="552" t="s">
        <v>815</v>
      </c>
      <c r="B292" s="290" t="s">
        <v>397</v>
      </c>
      <c r="C292" s="502">
        <f>' 8 10 sz. melléklet'!E32</f>
        <v>133345</v>
      </c>
      <c r="D292" s="190"/>
      <c r="E292" s="183"/>
    </row>
    <row r="293" spans="1:5" ht="12.75">
      <c r="A293" s="552" t="s">
        <v>816</v>
      </c>
      <c r="B293" s="290" t="s">
        <v>398</v>
      </c>
      <c r="C293" s="339"/>
      <c r="D293" s="194"/>
      <c r="E293" s="183"/>
    </row>
    <row r="294" spans="1:5" ht="13.5" thickBot="1">
      <c r="A294" s="617" t="s">
        <v>817</v>
      </c>
      <c r="B294" s="292" t="s">
        <v>399</v>
      </c>
      <c r="C294" s="503"/>
      <c r="D294" s="195"/>
      <c r="E294" s="183"/>
    </row>
    <row r="295" spans="1:5" ht="13.5" thickBot="1">
      <c r="A295" s="969" t="s">
        <v>818</v>
      </c>
      <c r="B295" s="970" t="s">
        <v>14</v>
      </c>
      <c r="C295" s="1004">
        <f>C284+C285+C286+C287+C289+C294</f>
        <v>140010</v>
      </c>
      <c r="D295" s="1004">
        <f>D284+D285+D286+D287+D289+D294</f>
        <v>379</v>
      </c>
      <c r="E295" s="1005">
        <f>E284+E285+E286+E287+E289+E294</f>
        <v>11000</v>
      </c>
    </row>
    <row r="296" spans="1:5" ht="13.5" thickTop="1">
      <c r="A296" s="553" t="s">
        <v>819</v>
      </c>
      <c r="B296" s="562" t="s">
        <v>407</v>
      </c>
      <c r="C296" s="504"/>
      <c r="D296" s="193"/>
      <c r="E296" s="185"/>
    </row>
    <row r="297" spans="1:5" ht="12.75">
      <c r="A297" s="552" t="s">
        <v>820</v>
      </c>
      <c r="B297" s="290" t="s">
        <v>974</v>
      </c>
      <c r="C297" s="502"/>
      <c r="D297" s="190">
        <f>'33_sz_ melléklet'!C55</f>
        <v>2733168</v>
      </c>
      <c r="E297" s="183">
        <f>'33_sz_ melléklet'!C47</f>
        <v>79000</v>
      </c>
    </row>
    <row r="298" spans="1:5" ht="12.75">
      <c r="A298" s="552" t="s">
        <v>821</v>
      </c>
      <c r="B298" s="290" t="s">
        <v>975</v>
      </c>
      <c r="C298" s="502"/>
      <c r="D298" s="190"/>
      <c r="E298" s="183"/>
    </row>
    <row r="299" spans="1:5" ht="12.75">
      <c r="A299" s="552" t="s">
        <v>822</v>
      </c>
      <c r="B299" s="290" t="s">
        <v>400</v>
      </c>
      <c r="C299" s="502">
        <f>C300+C301+C302</f>
        <v>0</v>
      </c>
      <c r="D299" s="502">
        <f>D300+D301+D302</f>
        <v>28853</v>
      </c>
      <c r="E299" s="190">
        <f>E300+E301+E302</f>
        <v>0</v>
      </c>
    </row>
    <row r="300" spans="1:5" ht="12.75">
      <c r="A300" s="552" t="s">
        <v>823</v>
      </c>
      <c r="B300" s="290" t="s">
        <v>402</v>
      </c>
      <c r="C300" s="502"/>
      <c r="D300" s="190"/>
      <c r="E300" s="183"/>
    </row>
    <row r="301" spans="1:5" ht="12.75">
      <c r="A301" s="552" t="s">
        <v>824</v>
      </c>
      <c r="B301" s="290" t="s">
        <v>452</v>
      </c>
      <c r="C301" s="502"/>
      <c r="D301" s="190">
        <f>' 8 10 sz. melléklet'!E55</f>
        <v>28853</v>
      </c>
      <c r="E301" s="183"/>
    </row>
    <row r="302" spans="1:5" ht="12.75">
      <c r="A302" s="552" t="s">
        <v>826</v>
      </c>
      <c r="B302" s="290" t="s">
        <v>403</v>
      </c>
      <c r="C302" s="502"/>
      <c r="D302" s="190"/>
      <c r="E302" s="183"/>
    </row>
    <row r="303" spans="1:5" ht="12.75">
      <c r="A303" s="552" t="s">
        <v>827</v>
      </c>
      <c r="B303" s="290" t="s">
        <v>404</v>
      </c>
      <c r="C303" s="502"/>
      <c r="D303" s="190"/>
      <c r="E303" s="183"/>
    </row>
    <row r="304" spans="1:5" ht="13.5" thickBot="1">
      <c r="A304" s="617" t="s">
        <v>828</v>
      </c>
      <c r="B304" s="292" t="s">
        <v>405</v>
      </c>
      <c r="C304" s="503">
        <f>-C287</f>
        <v>0</v>
      </c>
      <c r="D304" s="503">
        <f>-D287</f>
        <v>0</v>
      </c>
      <c r="E304" s="195">
        <f>-E287</f>
        <v>4747</v>
      </c>
    </row>
    <row r="305" spans="1:5" ht="13.5" thickBot="1">
      <c r="A305" s="969" t="s">
        <v>829</v>
      </c>
      <c r="B305" s="970" t="s">
        <v>15</v>
      </c>
      <c r="C305" s="1004">
        <f>C297+C298+C299+C303+C304</f>
        <v>0</v>
      </c>
      <c r="D305" s="1004">
        <f>D297+D298+D299+D303+D304</f>
        <v>2762021</v>
      </c>
      <c r="E305" s="1005">
        <f>E297+E298+E299+E303+E304</f>
        <v>83747</v>
      </c>
    </row>
    <row r="306" spans="1:5" ht="26.25" thickTop="1">
      <c r="A306" s="553" t="s">
        <v>830</v>
      </c>
      <c r="B306" s="918" t="s">
        <v>408</v>
      </c>
      <c r="C306" s="504"/>
      <c r="D306" s="193"/>
      <c r="E306" s="185"/>
    </row>
    <row r="307" spans="1:5" ht="12.75">
      <c r="A307" s="552" t="s">
        <v>831</v>
      </c>
      <c r="B307" s="563" t="s">
        <v>409</v>
      </c>
      <c r="C307" s="502"/>
      <c r="D307" s="190"/>
      <c r="E307" s="183"/>
    </row>
    <row r="308" spans="1:5" ht="12.75">
      <c r="A308" s="552" t="s">
        <v>832</v>
      </c>
      <c r="B308" s="564" t="s">
        <v>410</v>
      </c>
      <c r="C308" s="339"/>
      <c r="D308" s="194"/>
      <c r="E308" s="183"/>
    </row>
    <row r="309" spans="1:5" ht="13.5" thickBot="1">
      <c r="A309" s="617" t="s">
        <v>833</v>
      </c>
      <c r="B309" s="565" t="s">
        <v>411</v>
      </c>
      <c r="C309" s="503"/>
      <c r="D309" s="195"/>
      <c r="E309" s="183"/>
    </row>
    <row r="310" spans="1:5" ht="26.25" thickBot="1">
      <c r="A310" s="969" t="s">
        <v>834</v>
      </c>
      <c r="B310" s="997" t="s">
        <v>412</v>
      </c>
      <c r="C310" s="995">
        <f>C307+C308+C309</f>
        <v>0</v>
      </c>
      <c r="D310" s="995">
        <f>D307+D308+D309</f>
        <v>0</v>
      </c>
      <c r="E310" s="996">
        <f>E307+E308+E309</f>
        <v>0</v>
      </c>
    </row>
    <row r="311" spans="1:5" ht="13.5" thickTop="1">
      <c r="A311" s="553" t="s">
        <v>835</v>
      </c>
      <c r="B311" s="707" t="s">
        <v>413</v>
      </c>
      <c r="C311" s="504"/>
      <c r="D311" s="193"/>
      <c r="E311" s="185"/>
    </row>
    <row r="312" spans="1:5" ht="12.75">
      <c r="A312" s="553" t="s">
        <v>836</v>
      </c>
      <c r="B312" s="291" t="s">
        <v>414</v>
      </c>
      <c r="C312" s="339"/>
      <c r="D312" s="194"/>
      <c r="E312" s="186"/>
    </row>
    <row r="313" spans="1:5" ht="12.75">
      <c r="A313" s="553" t="s">
        <v>837</v>
      </c>
      <c r="B313" s="291" t="s">
        <v>25</v>
      </c>
      <c r="C313" s="502"/>
      <c r="D313" s="190"/>
      <c r="E313" s="186"/>
    </row>
    <row r="314" spans="1:5" ht="12.75">
      <c r="A314" s="553" t="s">
        <v>838</v>
      </c>
      <c r="B314" s="155" t="s">
        <v>914</v>
      </c>
      <c r="C314" s="502"/>
      <c r="D314" s="190"/>
      <c r="E314" s="186"/>
    </row>
    <row r="315" spans="1:5" ht="13.5" thickBot="1">
      <c r="A315" s="952" t="s">
        <v>839</v>
      </c>
      <c r="B315" s="291" t="s">
        <v>416</v>
      </c>
      <c r="C315" s="503"/>
      <c r="D315" s="195"/>
      <c r="E315" s="186"/>
    </row>
    <row r="316" spans="1:5" ht="13.5" thickBot="1">
      <c r="A316" s="969" t="s">
        <v>840</v>
      </c>
      <c r="B316" s="977" t="s">
        <v>419</v>
      </c>
      <c r="C316" s="995">
        <f>C312+C313+C314+C315</f>
        <v>0</v>
      </c>
      <c r="D316" s="995">
        <f>D312+D313+D314+D315</f>
        <v>0</v>
      </c>
      <c r="E316" s="996">
        <f>E312+E313+E314+E315</f>
        <v>0</v>
      </c>
    </row>
    <row r="317" spans="1:5" ht="27" thickBot="1" thickTop="1">
      <c r="A317" s="1007" t="s">
        <v>841</v>
      </c>
      <c r="B317" s="991" t="s">
        <v>415</v>
      </c>
      <c r="C317" s="999">
        <f>C295+C305+C310+C316</f>
        <v>140010</v>
      </c>
      <c r="D317" s="999">
        <f>D295+D305+D310+D316</f>
        <v>2762400</v>
      </c>
      <c r="E317" s="1000">
        <f>E295+E305+E310+E316</f>
        <v>94747</v>
      </c>
    </row>
    <row r="318" spans="1:5" ht="13.5" thickTop="1">
      <c r="A318" s="553" t="s">
        <v>842</v>
      </c>
      <c r="B318" s="958" t="s">
        <v>976</v>
      </c>
      <c r="C318" s="998"/>
      <c r="D318" s="193"/>
      <c r="E318" s="185"/>
    </row>
    <row r="319" spans="1:5" ht="12.75">
      <c r="A319" s="552" t="s">
        <v>843</v>
      </c>
      <c r="B319" s="566" t="s">
        <v>417</v>
      </c>
      <c r="C319" s="507"/>
      <c r="D319" s="190"/>
      <c r="E319" s="183"/>
    </row>
    <row r="320" spans="1:5" ht="13.5" thickBot="1">
      <c r="A320" s="617" t="s">
        <v>844</v>
      </c>
      <c r="B320" s="962" t="s">
        <v>418</v>
      </c>
      <c r="C320" s="503"/>
      <c r="D320" s="195"/>
      <c r="E320" s="187"/>
    </row>
    <row r="321" spans="1:5" ht="13.5" thickBot="1">
      <c r="A321" s="969" t="s">
        <v>845</v>
      </c>
      <c r="B321" s="982" t="s">
        <v>979</v>
      </c>
      <c r="C321" s="995">
        <f>C319+C320</f>
        <v>0</v>
      </c>
      <c r="D321" s="995">
        <f>D319+D320</f>
        <v>0</v>
      </c>
      <c r="E321" s="996">
        <f>E319+E320</f>
        <v>0</v>
      </c>
    </row>
    <row r="322" spans="1:5" ht="13.5" thickTop="1">
      <c r="A322" s="553" t="s">
        <v>846</v>
      </c>
      <c r="B322" s="1001" t="s">
        <v>977</v>
      </c>
      <c r="C322" s="506"/>
      <c r="D322" s="196"/>
      <c r="E322" s="188"/>
    </row>
    <row r="323" spans="1:5" ht="12.75">
      <c r="A323" s="553" t="s">
        <v>847</v>
      </c>
      <c r="B323" s="959" t="s">
        <v>417</v>
      </c>
      <c r="C323" s="506"/>
      <c r="D323" s="196"/>
      <c r="E323" s="188"/>
    </row>
    <row r="324" spans="1:5" ht="13.5" thickBot="1">
      <c r="A324" s="617" t="s">
        <v>848</v>
      </c>
      <c r="B324" s="567" t="s">
        <v>418</v>
      </c>
      <c r="C324" s="503"/>
      <c r="D324" s="195"/>
      <c r="E324" s="187"/>
    </row>
    <row r="325" spans="1:5" ht="13.5" thickBot="1">
      <c r="A325" s="969" t="s">
        <v>849</v>
      </c>
      <c r="B325" s="1003" t="s">
        <v>942</v>
      </c>
      <c r="C325" s="1004">
        <f>C323+C324</f>
        <v>0</v>
      </c>
      <c r="D325" s="1004">
        <f>D323+D324</f>
        <v>0</v>
      </c>
      <c r="E325" s="1005">
        <f>E323+E324</f>
        <v>0</v>
      </c>
    </row>
    <row r="326" spans="1:5" ht="23.25" thickBot="1" thickTop="1">
      <c r="A326" s="553" t="s">
        <v>869</v>
      </c>
      <c r="B326" s="985" t="s">
        <v>978</v>
      </c>
      <c r="C326" s="1002"/>
      <c r="D326" s="510"/>
      <c r="E326" s="382"/>
    </row>
    <row r="327" spans="1:5" ht="12.75">
      <c r="A327" s="552" t="s">
        <v>870</v>
      </c>
      <c r="B327" s="568" t="s">
        <v>420</v>
      </c>
      <c r="C327" s="366"/>
      <c r="D327" s="367"/>
      <c r="E327" s="368"/>
    </row>
    <row r="328" spans="1:5" ht="13.5" thickBot="1">
      <c r="A328" s="617" t="s">
        <v>871</v>
      </c>
      <c r="B328" s="569" t="s">
        <v>421</v>
      </c>
      <c r="C328" s="961"/>
      <c r="D328" s="191"/>
      <c r="E328" s="184"/>
    </row>
    <row r="329" spans="1:5" ht="13.5" thickBot="1">
      <c r="A329" s="969" t="s">
        <v>872</v>
      </c>
      <c r="B329" s="1006" t="s">
        <v>943</v>
      </c>
      <c r="C329" s="1004">
        <f>C327+C328</f>
        <v>0</v>
      </c>
      <c r="D329" s="1004">
        <f>D327+D328</f>
        <v>0</v>
      </c>
      <c r="E329" s="1005">
        <f>E327+E328</f>
        <v>0</v>
      </c>
    </row>
    <row r="330" spans="1:5" ht="14.25" thickBot="1" thickTop="1">
      <c r="A330" s="987" t="s">
        <v>873</v>
      </c>
      <c r="B330" s="988" t="s">
        <v>982</v>
      </c>
      <c r="C330" s="999">
        <f>C317+C321+C325+C329</f>
        <v>140010</v>
      </c>
      <c r="D330" s="999">
        <f>D317+D321+D325+D329</f>
        <v>2762400</v>
      </c>
      <c r="E330" s="1000">
        <f>E317+E321+E325+E329</f>
        <v>94747</v>
      </c>
    </row>
    <row r="331" spans="1:5" ht="24" thickBot="1" thickTop="1">
      <c r="A331" s="582" t="s">
        <v>874</v>
      </c>
      <c r="B331" s="1019" t="s">
        <v>984</v>
      </c>
      <c r="C331" s="192"/>
      <c r="D331" s="1020"/>
      <c r="E331" s="192"/>
    </row>
    <row r="333" spans="1:5" ht="12.75">
      <c r="A333" s="1568">
        <v>7</v>
      </c>
      <c r="B333" s="1545"/>
      <c r="C333" s="1545"/>
      <c r="D333" s="1545"/>
      <c r="E333" s="1545"/>
    </row>
    <row r="334" spans="1:5" ht="12.75">
      <c r="A334" s="1546" t="s">
        <v>1334</v>
      </c>
      <c r="B334" s="1546"/>
      <c r="C334" s="1546"/>
      <c r="D334" s="1546"/>
      <c r="E334" s="1546"/>
    </row>
    <row r="335" spans="2:5" ht="15.75">
      <c r="B335" s="1566" t="s">
        <v>988</v>
      </c>
      <c r="C335" s="1566"/>
      <c r="D335" s="1566"/>
      <c r="E335" s="1566"/>
    </row>
    <row r="336" spans="2:5" ht="13.5" thickBot="1">
      <c r="B336" s="1"/>
      <c r="C336" s="1"/>
      <c r="D336" s="1"/>
      <c r="E336" s="25" t="s">
        <v>16</v>
      </c>
    </row>
    <row r="337" spans="1:5" ht="39.75" thickBot="1">
      <c r="A337" s="587" t="s">
        <v>801</v>
      </c>
      <c r="B337" s="960" t="s">
        <v>22</v>
      </c>
      <c r="C337" s="547" t="s">
        <v>1229</v>
      </c>
      <c r="D337" s="548" t="s">
        <v>426</v>
      </c>
      <c r="E337" s="578" t="s">
        <v>1208</v>
      </c>
    </row>
    <row r="338" spans="1:5" ht="12.75">
      <c r="A338" s="963" t="s">
        <v>802</v>
      </c>
      <c r="B338" s="964" t="s">
        <v>803</v>
      </c>
      <c r="C338" s="1015" t="s">
        <v>804</v>
      </c>
      <c r="D338" s="1015" t="s">
        <v>805</v>
      </c>
      <c r="E338" s="1022" t="s">
        <v>805</v>
      </c>
    </row>
    <row r="339" spans="1:5" ht="12.75">
      <c r="A339" s="553" t="s">
        <v>806</v>
      </c>
      <c r="B339" s="560" t="s">
        <v>406</v>
      </c>
      <c r="C339" s="502"/>
      <c r="D339" s="502"/>
      <c r="E339" s="190"/>
    </row>
    <row r="340" spans="1:5" ht="12.75">
      <c r="A340" s="552" t="s">
        <v>807</v>
      </c>
      <c r="B340" s="247" t="s">
        <v>11</v>
      </c>
      <c r="C340" s="502"/>
      <c r="D340" s="502"/>
      <c r="E340" s="190"/>
    </row>
    <row r="341" spans="1:5" ht="12.75">
      <c r="A341" s="552" t="s">
        <v>808</v>
      </c>
      <c r="B341" s="290" t="s">
        <v>12</v>
      </c>
      <c r="C341" s="502"/>
      <c r="D341" s="502"/>
      <c r="E341" s="190"/>
    </row>
    <row r="342" spans="1:5" ht="12.75">
      <c r="A342" s="552" t="s">
        <v>809</v>
      </c>
      <c r="B342" s="290" t="s">
        <v>13</v>
      </c>
      <c r="C342" s="502">
        <f>7870+2428</f>
        <v>10298</v>
      </c>
      <c r="D342" s="502">
        <f>53</f>
        <v>53</v>
      </c>
      <c r="E342" s="190"/>
    </row>
    <row r="343" spans="1:5" ht="12.75">
      <c r="A343" s="552" t="s">
        <v>810</v>
      </c>
      <c r="B343" s="290" t="s">
        <v>973</v>
      </c>
      <c r="C343" s="502">
        <v>-2428</v>
      </c>
      <c r="D343" s="502"/>
      <c r="E343" s="190"/>
    </row>
    <row r="344" spans="1:5" ht="12.75">
      <c r="A344" s="552" t="s">
        <v>811</v>
      </c>
      <c r="B344" s="290" t="s">
        <v>972</v>
      </c>
      <c r="C344" s="502"/>
      <c r="D344" s="502"/>
      <c r="E344" s="190"/>
    </row>
    <row r="345" spans="1:5" ht="12.75">
      <c r="A345" s="552" t="s">
        <v>812</v>
      </c>
      <c r="B345" s="290" t="s">
        <v>401</v>
      </c>
      <c r="C345" s="502">
        <f>C346+C347+C348+C349</f>
        <v>1000</v>
      </c>
      <c r="D345" s="502">
        <f>D346+D347+D348+D349</f>
        <v>87000</v>
      </c>
      <c r="E345" s="190">
        <f>E346+E347+E348+E349</f>
        <v>600</v>
      </c>
    </row>
    <row r="346" spans="1:5" ht="12.75">
      <c r="A346" s="552" t="s">
        <v>813</v>
      </c>
      <c r="B346" s="290" t="s">
        <v>395</v>
      </c>
      <c r="C346" s="502"/>
      <c r="D346" s="502"/>
      <c r="E346" s="190"/>
    </row>
    <row r="347" spans="1:5" ht="12.75">
      <c r="A347" s="552" t="s">
        <v>814</v>
      </c>
      <c r="B347" s="561" t="s">
        <v>396</v>
      </c>
      <c r="C347" s="502">
        <f>'6 7_sz_melléklet'!E35</f>
        <v>1000</v>
      </c>
      <c r="D347" s="502">
        <f>'6 7_sz_melléklet'!E29+'6 7_sz_melléklet'!E30+'6 7_sz_melléklet'!E31</f>
        <v>87000</v>
      </c>
      <c r="E347" s="190">
        <f>'6 7_sz_melléklet'!E36</f>
        <v>600</v>
      </c>
    </row>
    <row r="348" spans="1:5" ht="12.75">
      <c r="A348" s="552" t="s">
        <v>815</v>
      </c>
      <c r="B348" s="290" t="s">
        <v>397</v>
      </c>
      <c r="C348" s="502"/>
      <c r="D348" s="502"/>
      <c r="E348" s="190"/>
    </row>
    <row r="349" spans="1:5" ht="12.75">
      <c r="A349" s="552" t="s">
        <v>816</v>
      </c>
      <c r="B349" s="290" t="s">
        <v>398</v>
      </c>
      <c r="C349" s="339"/>
      <c r="D349" s="339"/>
      <c r="E349" s="190"/>
    </row>
    <row r="350" spans="1:5" ht="13.5" thickBot="1">
      <c r="A350" s="617" t="s">
        <v>817</v>
      </c>
      <c r="B350" s="292" t="s">
        <v>399</v>
      </c>
      <c r="C350" s="503"/>
      <c r="D350" s="503"/>
      <c r="E350" s="490"/>
    </row>
    <row r="351" spans="1:5" ht="13.5" thickBot="1">
      <c r="A351" s="969" t="s">
        <v>818</v>
      </c>
      <c r="B351" s="970" t="s">
        <v>14</v>
      </c>
      <c r="C351" s="1004">
        <f>C340+C341+C342+C343+C345+C350</f>
        <v>8870</v>
      </c>
      <c r="D351" s="1004">
        <f>D340+D341+D342+D343+D345+D350</f>
        <v>87053</v>
      </c>
      <c r="E351" s="1005">
        <f>E340+E341+E342+E343+E345+E350</f>
        <v>600</v>
      </c>
    </row>
    <row r="352" spans="1:5" ht="13.5" thickTop="1">
      <c r="A352" s="553" t="s">
        <v>819</v>
      </c>
      <c r="B352" s="562" t="s">
        <v>407</v>
      </c>
      <c r="C352" s="504"/>
      <c r="D352" s="193"/>
      <c r="E352" s="185"/>
    </row>
    <row r="353" spans="1:5" ht="12.75">
      <c r="A353" s="552" t="s">
        <v>820</v>
      </c>
      <c r="B353" s="290" t="s">
        <v>974</v>
      </c>
      <c r="C353" s="502">
        <f>'33_sz_ melléklet'!C51</f>
        <v>268323</v>
      </c>
      <c r="D353" s="190">
        <f>'33_sz_ melléklet'!C74</f>
        <v>107466</v>
      </c>
      <c r="E353" s="190"/>
    </row>
    <row r="354" spans="1:5" ht="12.75">
      <c r="A354" s="552" t="s">
        <v>821</v>
      </c>
      <c r="B354" s="290" t="s">
        <v>975</v>
      </c>
      <c r="C354" s="502">
        <f>'32_sz_ melléklet'!C31</f>
        <v>2861</v>
      </c>
      <c r="D354" s="190"/>
      <c r="E354" s="190"/>
    </row>
    <row r="355" spans="1:5" ht="12.75">
      <c r="A355" s="552" t="s">
        <v>822</v>
      </c>
      <c r="B355" s="290" t="s">
        <v>400</v>
      </c>
      <c r="C355" s="502">
        <f>C356+C357+C358</f>
        <v>1000</v>
      </c>
      <c r="D355" s="502">
        <f>D356+D357+D358</f>
        <v>87198</v>
      </c>
      <c r="E355" s="190">
        <f>E356+E357+E358</f>
        <v>0</v>
      </c>
    </row>
    <row r="356" spans="1:5" ht="12.75">
      <c r="A356" s="552" t="s">
        <v>823</v>
      </c>
      <c r="B356" s="290" t="s">
        <v>402</v>
      </c>
      <c r="C356" s="502"/>
      <c r="D356" s="190"/>
      <c r="E356" s="190"/>
    </row>
    <row r="357" spans="1:5" ht="12.75">
      <c r="A357" s="552" t="s">
        <v>824</v>
      </c>
      <c r="B357" s="290" t="s">
        <v>452</v>
      </c>
      <c r="C357" s="502">
        <f>' 8 10 sz. melléklet'!E58</f>
        <v>1000</v>
      </c>
      <c r="D357" s="190">
        <f>' 8 10 sz. melléklet'!E57+' 8 10 sz. melléklet'!E54</f>
        <v>87198</v>
      </c>
      <c r="E357" s="190"/>
    </row>
    <row r="358" spans="1:5" ht="12.75">
      <c r="A358" s="552" t="s">
        <v>826</v>
      </c>
      <c r="B358" s="290" t="s">
        <v>403</v>
      </c>
      <c r="C358" s="502"/>
      <c r="D358" s="190"/>
      <c r="E358" s="190"/>
    </row>
    <row r="359" spans="1:5" ht="12.75">
      <c r="A359" s="552" t="s">
        <v>827</v>
      </c>
      <c r="B359" s="290" t="s">
        <v>404</v>
      </c>
      <c r="C359" s="502"/>
      <c r="D359" s="190"/>
      <c r="E359" s="190"/>
    </row>
    <row r="360" spans="1:5" ht="13.5" thickBot="1">
      <c r="A360" s="617" t="s">
        <v>828</v>
      </c>
      <c r="B360" s="292" t="s">
        <v>405</v>
      </c>
      <c r="C360" s="505">
        <f>-C343</f>
        <v>2428</v>
      </c>
      <c r="D360" s="505">
        <f>-D343</f>
        <v>0</v>
      </c>
      <c r="E360" s="191">
        <f>-E343</f>
        <v>0</v>
      </c>
    </row>
    <row r="361" spans="1:5" ht="13.5" thickBot="1">
      <c r="A361" s="969" t="s">
        <v>829</v>
      </c>
      <c r="B361" s="970" t="s">
        <v>15</v>
      </c>
      <c r="C361" s="1004">
        <f>C353+C354+C355+C359+C360</f>
        <v>274612</v>
      </c>
      <c r="D361" s="1004">
        <f>D353+D354+D355+D359+D360</f>
        <v>194664</v>
      </c>
      <c r="E361" s="1005">
        <f>E353+E354+E355+E359+E360</f>
        <v>0</v>
      </c>
    </row>
    <row r="362" spans="1:5" ht="26.25" thickTop="1">
      <c r="A362" s="553" t="s">
        <v>830</v>
      </c>
      <c r="B362" s="918" t="s">
        <v>408</v>
      </c>
      <c r="C362" s="504"/>
      <c r="D362" s="193"/>
      <c r="E362" s="185"/>
    </row>
    <row r="363" spans="1:5" ht="12.75">
      <c r="A363" s="552" t="s">
        <v>831</v>
      </c>
      <c r="B363" s="563" t="s">
        <v>409</v>
      </c>
      <c r="C363" s="502"/>
      <c r="D363" s="190"/>
      <c r="E363" s="190"/>
    </row>
    <row r="364" spans="1:5" ht="12.75">
      <c r="A364" s="552" t="s">
        <v>832</v>
      </c>
      <c r="B364" s="564" t="s">
        <v>410</v>
      </c>
      <c r="C364" s="502"/>
      <c r="D364" s="190">
        <f>'11 12 sz_melléklet'!C38</f>
        <v>57200</v>
      </c>
      <c r="E364" s="190"/>
    </row>
    <row r="365" spans="1:5" ht="13.5" thickBot="1">
      <c r="A365" s="617" t="s">
        <v>833</v>
      </c>
      <c r="B365" s="565" t="s">
        <v>411</v>
      </c>
      <c r="C365" s="503"/>
      <c r="D365" s="195"/>
      <c r="E365" s="190"/>
    </row>
    <row r="366" spans="1:5" ht="26.25" thickBot="1">
      <c r="A366" s="969" t="s">
        <v>834</v>
      </c>
      <c r="B366" s="997" t="s">
        <v>412</v>
      </c>
      <c r="C366" s="1004">
        <f>C363+C364+C365</f>
        <v>0</v>
      </c>
      <c r="D366" s="1004">
        <f>D363+D364+D365</f>
        <v>57200</v>
      </c>
      <c r="E366" s="1005">
        <f>E363+E364+E365</f>
        <v>0</v>
      </c>
    </row>
    <row r="367" spans="1:5" ht="13.5" thickTop="1">
      <c r="A367" s="553" t="s">
        <v>835</v>
      </c>
      <c r="B367" s="707" t="s">
        <v>413</v>
      </c>
      <c r="C367" s="504"/>
      <c r="D367" s="193"/>
      <c r="E367" s="185"/>
    </row>
    <row r="368" spans="1:5" ht="12.75">
      <c r="A368" s="553" t="s">
        <v>836</v>
      </c>
      <c r="B368" s="291" t="s">
        <v>414</v>
      </c>
      <c r="C368" s="339"/>
      <c r="D368" s="194"/>
      <c r="E368" s="190"/>
    </row>
    <row r="369" spans="1:5" ht="12.75">
      <c r="A369" s="553" t="s">
        <v>837</v>
      </c>
      <c r="B369" s="291" t="s">
        <v>25</v>
      </c>
      <c r="C369" s="502"/>
      <c r="D369" s="190"/>
      <c r="E369" s="190"/>
    </row>
    <row r="370" spans="1:5" ht="12.75">
      <c r="A370" s="553" t="s">
        <v>838</v>
      </c>
      <c r="B370" s="155" t="s">
        <v>914</v>
      </c>
      <c r="C370" s="502"/>
      <c r="D370" s="190"/>
      <c r="E370" s="190"/>
    </row>
    <row r="371" spans="1:5" ht="13.5" thickBot="1">
      <c r="A371" s="952" t="s">
        <v>839</v>
      </c>
      <c r="B371" s="291" t="s">
        <v>416</v>
      </c>
      <c r="C371" s="503"/>
      <c r="D371" s="195"/>
      <c r="E371" s="190"/>
    </row>
    <row r="372" spans="1:5" ht="13.5" thickBot="1">
      <c r="A372" s="969" t="s">
        <v>840</v>
      </c>
      <c r="B372" s="977" t="s">
        <v>419</v>
      </c>
      <c r="C372" s="995">
        <f>C368+C369+C370+C371</f>
        <v>0</v>
      </c>
      <c r="D372" s="995">
        <f>D368+D369+D370+D371</f>
        <v>0</v>
      </c>
      <c r="E372" s="996">
        <f>E368+E369+E370+E371</f>
        <v>0</v>
      </c>
    </row>
    <row r="373" spans="1:5" ht="27" thickBot="1" thickTop="1">
      <c r="A373" s="1007" t="s">
        <v>841</v>
      </c>
      <c r="B373" s="991" t="s">
        <v>415</v>
      </c>
      <c r="C373" s="999">
        <f>C351+C361+C366+C372</f>
        <v>283482</v>
      </c>
      <c r="D373" s="999">
        <f>D351+D361+D366+D372</f>
        <v>338917</v>
      </c>
      <c r="E373" s="1000">
        <f>E351+E361+E366+E372</f>
        <v>600</v>
      </c>
    </row>
    <row r="374" spans="1:5" ht="13.5" thickTop="1">
      <c r="A374" s="553" t="s">
        <v>842</v>
      </c>
      <c r="B374" s="958" t="s">
        <v>976</v>
      </c>
      <c r="C374" s="998"/>
      <c r="D374" s="193"/>
      <c r="E374" s="185"/>
    </row>
    <row r="375" spans="1:5" ht="12.75">
      <c r="A375" s="552" t="s">
        <v>843</v>
      </c>
      <c r="B375" s="566" t="s">
        <v>417</v>
      </c>
      <c r="C375" s="507"/>
      <c r="D375" s="190"/>
      <c r="E375" s="190"/>
    </row>
    <row r="376" spans="1:5" ht="13.5" thickBot="1">
      <c r="A376" s="617" t="s">
        <v>844</v>
      </c>
      <c r="B376" s="962" t="s">
        <v>418</v>
      </c>
      <c r="C376" s="503"/>
      <c r="D376" s="195"/>
      <c r="E376" s="190"/>
    </row>
    <row r="377" spans="1:5" ht="13.5" thickBot="1">
      <c r="A377" s="969" t="s">
        <v>845</v>
      </c>
      <c r="B377" s="982" t="s">
        <v>979</v>
      </c>
      <c r="C377" s="995">
        <f>C375+C376</f>
        <v>0</v>
      </c>
      <c r="D377" s="995">
        <f>D375+D376</f>
        <v>0</v>
      </c>
      <c r="E377" s="996">
        <f>E375+E376</f>
        <v>0</v>
      </c>
    </row>
    <row r="378" spans="1:5" ht="13.5" thickTop="1">
      <c r="A378" s="553" t="s">
        <v>846</v>
      </c>
      <c r="B378" s="1001" t="s">
        <v>977</v>
      </c>
      <c r="C378" s="506"/>
      <c r="D378" s="196"/>
      <c r="E378" s="188"/>
    </row>
    <row r="379" spans="1:5" ht="12.75">
      <c r="A379" s="553" t="s">
        <v>847</v>
      </c>
      <c r="B379" s="959" t="s">
        <v>417</v>
      </c>
      <c r="C379" s="506"/>
      <c r="D379" s="196"/>
      <c r="E379" s="190"/>
    </row>
    <row r="380" spans="1:5" ht="13.5" thickBot="1">
      <c r="A380" s="617" t="s">
        <v>848</v>
      </c>
      <c r="B380" s="567" t="s">
        <v>418</v>
      </c>
      <c r="C380" s="503"/>
      <c r="D380" s="195"/>
      <c r="E380" s="190"/>
    </row>
    <row r="381" spans="1:5" ht="13.5" thickBot="1">
      <c r="A381" s="969" t="s">
        <v>849</v>
      </c>
      <c r="B381" s="1003" t="s">
        <v>942</v>
      </c>
      <c r="C381" s="1004">
        <f>C379+C380</f>
        <v>0</v>
      </c>
      <c r="D381" s="1004">
        <f>D379+D380</f>
        <v>0</v>
      </c>
      <c r="E381" s="1005">
        <f>E379+E380</f>
        <v>0</v>
      </c>
    </row>
    <row r="382" spans="1:5" ht="23.25" thickBot="1" thickTop="1">
      <c r="A382" s="553" t="s">
        <v>869</v>
      </c>
      <c r="B382" s="985" t="s">
        <v>978</v>
      </c>
      <c r="C382" s="1002"/>
      <c r="D382" s="510"/>
      <c r="E382" s="382"/>
    </row>
    <row r="383" spans="1:5" ht="12.75">
      <c r="A383" s="552" t="s">
        <v>870</v>
      </c>
      <c r="B383" s="568" t="s">
        <v>420</v>
      </c>
      <c r="C383" s="366"/>
      <c r="D383" s="367"/>
      <c r="E383" s="190"/>
    </row>
    <row r="384" spans="1:5" ht="13.5" thickBot="1">
      <c r="A384" s="617" t="s">
        <v>871</v>
      </c>
      <c r="B384" s="569" t="s">
        <v>421</v>
      </c>
      <c r="C384" s="961"/>
      <c r="D384" s="191"/>
      <c r="E384" s="190"/>
    </row>
    <row r="385" spans="1:5" ht="13.5" thickBot="1">
      <c r="A385" s="969" t="s">
        <v>872</v>
      </c>
      <c r="B385" s="1006" t="s">
        <v>943</v>
      </c>
      <c r="C385" s="1004">
        <f>C383+C384</f>
        <v>0</v>
      </c>
      <c r="D385" s="1004">
        <f>D383+D384</f>
        <v>0</v>
      </c>
      <c r="E385" s="1005">
        <f>E383+E384</f>
        <v>0</v>
      </c>
    </row>
    <row r="386" spans="1:5" ht="14.25" thickBot="1" thickTop="1">
      <c r="A386" s="987" t="s">
        <v>873</v>
      </c>
      <c r="B386" s="988" t="s">
        <v>982</v>
      </c>
      <c r="C386" s="999">
        <f>C373+C377+C381+C385</f>
        <v>283482</v>
      </c>
      <c r="D386" s="999">
        <f>D373+D377+D381+D385</f>
        <v>338917</v>
      </c>
      <c r="E386" s="1000">
        <f>E373+E377+E381+E385</f>
        <v>600</v>
      </c>
    </row>
    <row r="387" spans="1:5" ht="24" thickBot="1" thickTop="1">
      <c r="A387" s="582" t="s">
        <v>874</v>
      </c>
      <c r="B387" s="1019" t="s">
        <v>984</v>
      </c>
      <c r="C387" s="192"/>
      <c r="D387" s="1020"/>
      <c r="E387" s="490"/>
    </row>
    <row r="388" spans="1:5" ht="12.75">
      <c r="A388" s="580"/>
      <c r="B388" s="1299"/>
      <c r="C388" s="33"/>
      <c r="D388" s="33"/>
      <c r="E388" s="33"/>
    </row>
    <row r="389" spans="1:5" ht="12.75">
      <c r="A389" s="1568">
        <v>8</v>
      </c>
      <c r="B389" s="1545"/>
      <c r="C389" s="1545"/>
      <c r="D389" s="1545"/>
      <c r="E389" s="1545"/>
    </row>
    <row r="390" spans="1:5" ht="12.75">
      <c r="A390" s="1546" t="s">
        <v>1334</v>
      </c>
      <c r="B390" s="1546"/>
      <c r="C390" s="1546"/>
      <c r="D390" s="1546"/>
      <c r="E390" s="1546"/>
    </row>
    <row r="391" spans="2:5" ht="15.75">
      <c r="B391" s="1566" t="s">
        <v>988</v>
      </c>
      <c r="C391" s="1566"/>
      <c r="D391" s="1566"/>
      <c r="E391" s="1566"/>
    </row>
    <row r="392" spans="2:5" ht="13.5" thickBot="1">
      <c r="B392" s="1"/>
      <c r="C392" s="1"/>
      <c r="D392" s="1"/>
      <c r="E392" s="25" t="s">
        <v>16</v>
      </c>
    </row>
    <row r="393" spans="1:5" ht="27" thickBot="1">
      <c r="A393" s="587" t="s">
        <v>801</v>
      </c>
      <c r="B393" s="960" t="s">
        <v>22</v>
      </c>
      <c r="C393" s="547" t="s">
        <v>1220</v>
      </c>
      <c r="D393" s="548" t="s">
        <v>1221</v>
      </c>
      <c r="E393" s="548" t="s">
        <v>1219</v>
      </c>
    </row>
    <row r="394" spans="1:5" ht="12.75">
      <c r="A394" s="963" t="s">
        <v>802</v>
      </c>
      <c r="B394" s="964" t="s">
        <v>803</v>
      </c>
      <c r="C394" s="1015" t="s">
        <v>804</v>
      </c>
      <c r="D394" s="1015" t="s">
        <v>805</v>
      </c>
      <c r="E394" s="1022" t="s">
        <v>805</v>
      </c>
    </row>
    <row r="395" spans="1:5" ht="12.75">
      <c r="A395" s="553" t="s">
        <v>806</v>
      </c>
      <c r="B395" s="560" t="s">
        <v>406</v>
      </c>
      <c r="C395" s="502"/>
      <c r="D395" s="502"/>
      <c r="E395" s="190"/>
    </row>
    <row r="396" spans="1:5" ht="12.75">
      <c r="A396" s="552" t="s">
        <v>807</v>
      </c>
      <c r="B396" s="247" t="s">
        <v>11</v>
      </c>
      <c r="C396" s="502">
        <v>1599</v>
      </c>
      <c r="D396" s="502"/>
      <c r="E396" s="190"/>
    </row>
    <row r="397" spans="1:5" ht="12.75">
      <c r="A397" s="552" t="s">
        <v>808</v>
      </c>
      <c r="B397" s="290" t="s">
        <v>12</v>
      </c>
      <c r="C397" s="502">
        <v>432</v>
      </c>
      <c r="D397" s="502"/>
      <c r="E397" s="190"/>
    </row>
    <row r="398" spans="1:5" ht="12.75">
      <c r="A398" s="552" t="s">
        <v>809</v>
      </c>
      <c r="B398" s="290" t="s">
        <v>13</v>
      </c>
      <c r="C398" s="502">
        <v>1895</v>
      </c>
      <c r="D398" s="502">
        <v>676</v>
      </c>
      <c r="E398" s="190"/>
    </row>
    <row r="399" spans="1:5" ht="12.75">
      <c r="A399" s="552" t="s">
        <v>810</v>
      </c>
      <c r="B399" s="290" t="s">
        <v>973</v>
      </c>
      <c r="C399" s="502"/>
      <c r="D399" s="502"/>
      <c r="E399" s="190"/>
    </row>
    <row r="400" spans="1:5" ht="12.75">
      <c r="A400" s="552" t="s">
        <v>811</v>
      </c>
      <c r="B400" s="290" t="s">
        <v>972</v>
      </c>
      <c r="C400" s="502"/>
      <c r="D400" s="502"/>
      <c r="E400" s="190"/>
    </row>
    <row r="401" spans="1:5" ht="12.75">
      <c r="A401" s="552" t="s">
        <v>812</v>
      </c>
      <c r="B401" s="290" t="s">
        <v>401</v>
      </c>
      <c r="C401" s="502">
        <f>C402+C403+C404+C405</f>
        <v>23645</v>
      </c>
      <c r="D401" s="502">
        <f>D402+D403+D404+D405</f>
        <v>0</v>
      </c>
      <c r="E401" s="190">
        <f>E402+E403+E404+E405</f>
        <v>0</v>
      </c>
    </row>
    <row r="402" spans="1:5" ht="12.75">
      <c r="A402" s="552" t="s">
        <v>813</v>
      </c>
      <c r="B402" s="290" t="s">
        <v>395</v>
      </c>
      <c r="C402" s="502"/>
      <c r="D402" s="502"/>
      <c r="E402" s="190"/>
    </row>
    <row r="403" spans="1:5" ht="12.75">
      <c r="A403" s="552" t="s">
        <v>814</v>
      </c>
      <c r="B403" s="561" t="s">
        <v>396</v>
      </c>
      <c r="C403" s="502">
        <f>'6 7_sz_melléklet'!E24+'6 7_sz_melléklet'!E39</f>
        <v>23645</v>
      </c>
      <c r="D403" s="502">
        <f>'6 7_sz_melléklet'!E88+'6 7_sz_melléklet'!E89+'6 7_sz_melléklet'!E90</f>
        <v>0</v>
      </c>
      <c r="E403" s="190">
        <f>'6 7_sz_melléklet'!E95</f>
        <v>0</v>
      </c>
    </row>
    <row r="404" spans="1:5" ht="12.75">
      <c r="A404" s="552" t="s">
        <v>815</v>
      </c>
      <c r="B404" s="290" t="s">
        <v>397</v>
      </c>
      <c r="C404" s="502"/>
      <c r="D404" s="502"/>
      <c r="E404" s="190"/>
    </row>
    <row r="405" spans="1:5" ht="12.75">
      <c r="A405" s="552" t="s">
        <v>816</v>
      </c>
      <c r="B405" s="290" t="s">
        <v>398</v>
      </c>
      <c r="C405" s="339"/>
      <c r="D405" s="339"/>
      <c r="E405" s="190"/>
    </row>
    <row r="406" spans="1:5" ht="13.5" thickBot="1">
      <c r="A406" s="617" t="s">
        <v>817</v>
      </c>
      <c r="B406" s="292" t="s">
        <v>399</v>
      </c>
      <c r="C406" s="503"/>
      <c r="D406" s="503"/>
      <c r="E406" s="490"/>
    </row>
    <row r="407" spans="1:5" ht="13.5" thickBot="1">
      <c r="A407" s="969" t="s">
        <v>818</v>
      </c>
      <c r="B407" s="970" t="s">
        <v>14</v>
      </c>
      <c r="C407" s="1004">
        <f>C396+C397+C398+C399+C401+C406</f>
        <v>27571</v>
      </c>
      <c r="D407" s="1004">
        <f>D396+D397+D398+D399+D401+D406</f>
        <v>676</v>
      </c>
      <c r="E407" s="1005">
        <f>E396+E397+E398+E399+E401+E406</f>
        <v>0</v>
      </c>
    </row>
    <row r="408" spans="1:5" ht="13.5" thickTop="1">
      <c r="A408" s="553" t="s">
        <v>819</v>
      </c>
      <c r="B408" s="562" t="s">
        <v>407</v>
      </c>
      <c r="C408" s="504"/>
      <c r="D408" s="193"/>
      <c r="E408" s="185"/>
    </row>
    <row r="409" spans="1:5" ht="12.75">
      <c r="A409" s="552" t="s">
        <v>820</v>
      </c>
      <c r="B409" s="290" t="s">
        <v>974</v>
      </c>
      <c r="C409" s="502">
        <f>'33_sz_ melléklet'!C77</f>
        <v>1019</v>
      </c>
      <c r="D409" s="190">
        <f>'33_sz_ melléklet'!C133</f>
        <v>0</v>
      </c>
      <c r="E409" s="190">
        <f>'33_sz_ melléklet'!C36</f>
        <v>49311</v>
      </c>
    </row>
    <row r="410" spans="1:5" ht="12.75">
      <c r="A410" s="552" t="s">
        <v>821</v>
      </c>
      <c r="B410" s="290" t="s">
        <v>975</v>
      </c>
      <c r="C410" s="502"/>
      <c r="D410" s="190"/>
      <c r="E410" s="190"/>
    </row>
    <row r="411" spans="1:5" ht="12.75">
      <c r="A411" s="552" t="s">
        <v>822</v>
      </c>
      <c r="B411" s="290" t="s">
        <v>400</v>
      </c>
      <c r="C411" s="339">
        <f>C412+C413+C414</f>
        <v>0</v>
      </c>
      <c r="D411" s="339">
        <f>D412+D413+D414</f>
        <v>0</v>
      </c>
      <c r="E411" s="190">
        <f>E412+E413+E414</f>
        <v>0</v>
      </c>
    </row>
    <row r="412" spans="1:5" ht="12.75">
      <c r="A412" s="552" t="s">
        <v>823</v>
      </c>
      <c r="B412" s="290" t="s">
        <v>402</v>
      </c>
      <c r="C412" s="502"/>
      <c r="D412" s="190"/>
      <c r="E412" s="190"/>
    </row>
    <row r="413" spans="1:5" ht="12.75">
      <c r="A413" s="552" t="s">
        <v>824</v>
      </c>
      <c r="B413" s="290" t="s">
        <v>452</v>
      </c>
      <c r="C413" s="502">
        <f>' 8 10 sz. melléklet'!E114</f>
        <v>0</v>
      </c>
      <c r="D413" s="190">
        <f>' 8 10 sz. melléklet'!E113+' 8 10 sz. melléklet'!E110</f>
        <v>0</v>
      </c>
      <c r="E413" s="190"/>
    </row>
    <row r="414" spans="1:5" ht="12.75">
      <c r="A414" s="552" t="s">
        <v>826</v>
      </c>
      <c r="B414" s="290" t="s">
        <v>403</v>
      </c>
      <c r="C414" s="502"/>
      <c r="D414" s="190"/>
      <c r="E414" s="190"/>
    </row>
    <row r="415" spans="1:5" ht="12.75">
      <c r="A415" s="552" t="s">
        <v>827</v>
      </c>
      <c r="B415" s="290" t="s">
        <v>404</v>
      </c>
      <c r="C415" s="502"/>
      <c r="D415" s="190"/>
      <c r="E415" s="190"/>
    </row>
    <row r="416" spans="1:5" ht="13.5" thickBot="1">
      <c r="A416" s="617" t="s">
        <v>828</v>
      </c>
      <c r="B416" s="292" t="s">
        <v>405</v>
      </c>
      <c r="C416" s="505">
        <f>-C399</f>
        <v>0</v>
      </c>
      <c r="D416" s="505">
        <f>-D399</f>
        <v>0</v>
      </c>
      <c r="E416" s="191">
        <f>-E399</f>
        <v>0</v>
      </c>
    </row>
    <row r="417" spans="1:5" ht="13.5" thickBot="1">
      <c r="A417" s="969" t="s">
        <v>829</v>
      </c>
      <c r="B417" s="970" t="s">
        <v>15</v>
      </c>
      <c r="C417" s="1004">
        <f>C409+C410+C411+C415+C416</f>
        <v>1019</v>
      </c>
      <c r="D417" s="1004">
        <f>D409+D410+D411+D415+D416</f>
        <v>0</v>
      </c>
      <c r="E417" s="1005">
        <f>E409+E410+E411+E415+E416</f>
        <v>49311</v>
      </c>
    </row>
    <row r="418" spans="1:5" ht="26.25" thickTop="1">
      <c r="A418" s="553" t="s">
        <v>830</v>
      </c>
      <c r="B418" s="918" t="s">
        <v>408</v>
      </c>
      <c r="C418" s="504"/>
      <c r="D418" s="193"/>
      <c r="E418" s="185"/>
    </row>
    <row r="419" spans="1:5" ht="12.75">
      <c r="A419" s="552" t="s">
        <v>831</v>
      </c>
      <c r="B419" s="563" t="s">
        <v>409</v>
      </c>
      <c r="C419" s="502"/>
      <c r="D419" s="190"/>
      <c r="E419" s="190"/>
    </row>
    <row r="420" spans="1:5" ht="12.75">
      <c r="A420" s="552" t="s">
        <v>832</v>
      </c>
      <c r="B420" s="564" t="s">
        <v>410</v>
      </c>
      <c r="C420" s="339"/>
      <c r="D420" s="194"/>
      <c r="E420" s="190"/>
    </row>
    <row r="421" spans="1:5" ht="13.5" thickBot="1">
      <c r="A421" s="617" t="s">
        <v>833</v>
      </c>
      <c r="B421" s="565" t="s">
        <v>411</v>
      </c>
      <c r="C421" s="503"/>
      <c r="D421" s="195"/>
      <c r="E421" s="190"/>
    </row>
    <row r="422" spans="1:5" ht="26.25" thickBot="1">
      <c r="A422" s="969" t="s">
        <v>834</v>
      </c>
      <c r="B422" s="997" t="s">
        <v>412</v>
      </c>
      <c r="C422" s="995">
        <f>C419+C420+C421</f>
        <v>0</v>
      </c>
      <c r="D422" s="995">
        <f>D419+D420+D421</f>
        <v>0</v>
      </c>
      <c r="E422" s="996">
        <f>E419+E420+E421</f>
        <v>0</v>
      </c>
    </row>
    <row r="423" spans="1:5" ht="13.5" thickTop="1">
      <c r="A423" s="553" t="s">
        <v>835</v>
      </c>
      <c r="B423" s="707" t="s">
        <v>413</v>
      </c>
      <c r="C423" s="504"/>
      <c r="D423" s="193"/>
      <c r="E423" s="185"/>
    </row>
    <row r="424" spans="1:5" ht="12.75">
      <c r="A424" s="553" t="s">
        <v>836</v>
      </c>
      <c r="B424" s="291" t="s">
        <v>414</v>
      </c>
      <c r="C424" s="339"/>
      <c r="D424" s="194"/>
      <c r="E424" s="190"/>
    </row>
    <row r="425" spans="1:5" ht="12.75">
      <c r="A425" s="553" t="s">
        <v>837</v>
      </c>
      <c r="B425" s="291" t="s">
        <v>25</v>
      </c>
      <c r="C425" s="502"/>
      <c r="D425" s="190"/>
      <c r="E425" s="190"/>
    </row>
    <row r="426" spans="1:5" ht="12.75">
      <c r="A426" s="553" t="s">
        <v>838</v>
      </c>
      <c r="B426" s="155" t="s">
        <v>914</v>
      </c>
      <c r="C426" s="502"/>
      <c r="D426" s="190"/>
      <c r="E426" s="190"/>
    </row>
    <row r="427" spans="1:5" ht="13.5" thickBot="1">
      <c r="A427" s="952" t="s">
        <v>839</v>
      </c>
      <c r="B427" s="291" t="s">
        <v>416</v>
      </c>
      <c r="C427" s="503"/>
      <c r="D427" s="195"/>
      <c r="E427" s="190"/>
    </row>
    <row r="428" spans="1:5" ht="13.5" thickBot="1">
      <c r="A428" s="969" t="s">
        <v>840</v>
      </c>
      <c r="B428" s="977" t="s">
        <v>419</v>
      </c>
      <c r="C428" s="995">
        <f>C424+C425+C426+C427</f>
        <v>0</v>
      </c>
      <c r="D428" s="995">
        <f>D424+D425+D426+D427</f>
        <v>0</v>
      </c>
      <c r="E428" s="996">
        <f>E424+E425+E426+E427</f>
        <v>0</v>
      </c>
    </row>
    <row r="429" spans="1:5" ht="27" thickBot="1" thickTop="1">
      <c r="A429" s="1007" t="s">
        <v>841</v>
      </c>
      <c r="B429" s="991" t="s">
        <v>415</v>
      </c>
      <c r="C429" s="999">
        <f>C407+C417+C422+C428</f>
        <v>28590</v>
      </c>
      <c r="D429" s="999">
        <f>D407+D417+D422+D428</f>
        <v>676</v>
      </c>
      <c r="E429" s="1000">
        <f>E407+E417+E422+E428</f>
        <v>49311</v>
      </c>
    </row>
    <row r="430" spans="1:5" ht="13.5" thickTop="1">
      <c r="A430" s="553" t="s">
        <v>842</v>
      </c>
      <c r="B430" s="958" t="s">
        <v>976</v>
      </c>
      <c r="C430" s="998"/>
      <c r="D430" s="193"/>
      <c r="E430" s="185"/>
    </row>
    <row r="431" spans="1:5" ht="12.75">
      <c r="A431" s="552" t="s">
        <v>843</v>
      </c>
      <c r="B431" s="566" t="s">
        <v>417</v>
      </c>
      <c r="C431" s="507"/>
      <c r="D431" s="190"/>
      <c r="E431" s="190"/>
    </row>
    <row r="432" spans="1:5" ht="13.5" thickBot="1">
      <c r="A432" s="617" t="s">
        <v>844</v>
      </c>
      <c r="B432" s="962" t="s">
        <v>418</v>
      </c>
      <c r="C432" s="503"/>
      <c r="D432" s="195"/>
      <c r="E432" s="190"/>
    </row>
    <row r="433" spans="1:5" ht="13.5" thickBot="1">
      <c r="A433" s="969" t="s">
        <v>845</v>
      </c>
      <c r="B433" s="982" t="s">
        <v>979</v>
      </c>
      <c r="C433" s="995">
        <f>C431+C432</f>
        <v>0</v>
      </c>
      <c r="D433" s="995">
        <f>D431+D432</f>
        <v>0</v>
      </c>
      <c r="E433" s="996">
        <f>E431+E432</f>
        <v>0</v>
      </c>
    </row>
    <row r="434" spans="1:5" ht="13.5" thickTop="1">
      <c r="A434" s="553" t="s">
        <v>846</v>
      </c>
      <c r="B434" s="1001" t="s">
        <v>977</v>
      </c>
      <c r="C434" s="506"/>
      <c r="D434" s="196"/>
      <c r="E434" s="188"/>
    </row>
    <row r="435" spans="1:5" ht="12.75">
      <c r="A435" s="553" t="s">
        <v>847</v>
      </c>
      <c r="B435" s="959" t="s">
        <v>417</v>
      </c>
      <c r="C435" s="506"/>
      <c r="D435" s="196"/>
      <c r="E435" s="190"/>
    </row>
    <row r="436" spans="1:5" ht="13.5" thickBot="1">
      <c r="A436" s="617" t="s">
        <v>848</v>
      </c>
      <c r="B436" s="567" t="s">
        <v>418</v>
      </c>
      <c r="C436" s="503"/>
      <c r="D436" s="195"/>
      <c r="E436" s="190"/>
    </row>
    <row r="437" spans="1:5" ht="13.5" thickBot="1">
      <c r="A437" s="969" t="s">
        <v>849</v>
      </c>
      <c r="B437" s="1003" t="s">
        <v>942</v>
      </c>
      <c r="C437" s="1004">
        <f>C435+C436</f>
        <v>0</v>
      </c>
      <c r="D437" s="1004">
        <f>D435+D436</f>
        <v>0</v>
      </c>
      <c r="E437" s="1005">
        <f>E435+E436</f>
        <v>0</v>
      </c>
    </row>
    <row r="438" spans="1:5" ht="23.25" thickBot="1" thickTop="1">
      <c r="A438" s="553" t="s">
        <v>869</v>
      </c>
      <c r="B438" s="985" t="s">
        <v>978</v>
      </c>
      <c r="C438" s="1002"/>
      <c r="D438" s="510"/>
      <c r="E438" s="382"/>
    </row>
    <row r="439" spans="1:5" ht="12.75">
      <c r="A439" s="552" t="s">
        <v>870</v>
      </c>
      <c r="B439" s="568" t="s">
        <v>420</v>
      </c>
      <c r="C439" s="366"/>
      <c r="D439" s="367"/>
      <c r="E439" s="190"/>
    </row>
    <row r="440" spans="1:5" ht="13.5" thickBot="1">
      <c r="A440" s="617" t="s">
        <v>871</v>
      </c>
      <c r="B440" s="569" t="s">
        <v>421</v>
      </c>
      <c r="C440" s="961"/>
      <c r="D440" s="191"/>
      <c r="E440" s="190"/>
    </row>
    <row r="441" spans="1:5" ht="13.5" thickBot="1">
      <c r="A441" s="969" t="s">
        <v>872</v>
      </c>
      <c r="B441" s="1006" t="s">
        <v>943</v>
      </c>
      <c r="C441" s="1004">
        <f>C439+C440</f>
        <v>0</v>
      </c>
      <c r="D441" s="1004">
        <f>D439+D440</f>
        <v>0</v>
      </c>
      <c r="E441" s="1005">
        <f>E439+E440</f>
        <v>0</v>
      </c>
    </row>
    <row r="442" spans="1:5" ht="14.25" thickBot="1" thickTop="1">
      <c r="A442" s="987" t="s">
        <v>873</v>
      </c>
      <c r="B442" s="988" t="s">
        <v>982</v>
      </c>
      <c r="C442" s="999">
        <f>C429+C433+C437+C441</f>
        <v>28590</v>
      </c>
      <c r="D442" s="999">
        <f>D429+D433+D437+D441</f>
        <v>676</v>
      </c>
      <c r="E442" s="1000">
        <f>E429+E433+E437+E441</f>
        <v>49311</v>
      </c>
    </row>
    <row r="443" spans="1:5" ht="24" thickBot="1" thickTop="1">
      <c r="A443" s="582" t="s">
        <v>874</v>
      </c>
      <c r="B443" s="1019" t="s">
        <v>984</v>
      </c>
      <c r="C443" s="192"/>
      <c r="D443" s="1020"/>
      <c r="E443" s="490"/>
    </row>
    <row r="444" spans="1:5" ht="12.75">
      <c r="A444" s="1568">
        <v>9</v>
      </c>
      <c r="B444" s="1545"/>
      <c r="C444" s="1545"/>
      <c r="D444" s="1545"/>
      <c r="E444" s="1545"/>
    </row>
    <row r="445" spans="1:5" ht="12.75">
      <c r="A445" s="1546" t="s">
        <v>1334</v>
      </c>
      <c r="B445" s="1546"/>
      <c r="C445" s="1546"/>
      <c r="D445" s="1546"/>
      <c r="E445" s="1546"/>
    </row>
    <row r="446" spans="2:5" ht="15.75">
      <c r="B446" s="1566" t="s">
        <v>988</v>
      </c>
      <c r="C446" s="1566"/>
      <c r="D446" s="1566"/>
      <c r="E446" s="1566"/>
    </row>
    <row r="447" spans="2:5" ht="13.5" thickBot="1">
      <c r="B447" s="1"/>
      <c r="C447" s="1"/>
      <c r="D447" s="1"/>
      <c r="E447" s="25" t="s">
        <v>16</v>
      </c>
    </row>
    <row r="448" spans="1:5" ht="27" thickBot="1">
      <c r="A448" s="587" t="s">
        <v>801</v>
      </c>
      <c r="B448" s="960" t="s">
        <v>22</v>
      </c>
      <c r="C448" s="547" t="s">
        <v>1210</v>
      </c>
      <c r="D448" s="548" t="s">
        <v>1245</v>
      </c>
      <c r="E448" s="578" t="s">
        <v>1430</v>
      </c>
    </row>
    <row r="449" spans="1:5" ht="12.75">
      <c r="A449" s="963" t="s">
        <v>802</v>
      </c>
      <c r="B449" s="964" t="s">
        <v>803</v>
      </c>
      <c r="C449" s="1015" t="s">
        <v>804</v>
      </c>
      <c r="D449" s="1015" t="s">
        <v>805</v>
      </c>
      <c r="E449" s="1022" t="s">
        <v>825</v>
      </c>
    </row>
    <row r="450" spans="1:5" ht="12.75">
      <c r="A450" s="553" t="s">
        <v>806</v>
      </c>
      <c r="B450" s="560" t="s">
        <v>406</v>
      </c>
      <c r="C450" s="502"/>
      <c r="D450" s="502"/>
      <c r="E450" s="190"/>
    </row>
    <row r="451" spans="1:5" ht="12.75">
      <c r="A451" s="552" t="s">
        <v>807</v>
      </c>
      <c r="B451" s="247" t="s">
        <v>11</v>
      </c>
      <c r="C451" s="502"/>
      <c r="D451" s="502"/>
      <c r="E451" s="190">
        <f>20300-6752-249</f>
        <v>13299</v>
      </c>
    </row>
    <row r="452" spans="1:5" ht="12.75">
      <c r="A452" s="552" t="s">
        <v>808</v>
      </c>
      <c r="B452" s="290" t="s">
        <v>12</v>
      </c>
      <c r="C452" s="502"/>
      <c r="D452" s="502"/>
      <c r="E452" s="190">
        <v>4604</v>
      </c>
    </row>
    <row r="453" spans="1:6" ht="12.75">
      <c r="A453" s="552" t="s">
        <v>809</v>
      </c>
      <c r="B453" s="290" t="s">
        <v>13</v>
      </c>
      <c r="C453" s="502">
        <v>1345</v>
      </c>
      <c r="D453" s="502">
        <v>0</v>
      </c>
      <c r="E453" s="190">
        <f>105374+9000-216</f>
        <v>114158</v>
      </c>
      <c r="F453" s="96"/>
    </row>
    <row r="454" spans="1:5" ht="12.75">
      <c r="A454" s="552" t="s">
        <v>810</v>
      </c>
      <c r="B454" s="290" t="s">
        <v>973</v>
      </c>
      <c r="C454" s="502"/>
      <c r="D454" s="502"/>
      <c r="E454" s="190">
        <f>-188+188</f>
        <v>0</v>
      </c>
    </row>
    <row r="455" spans="1:5" ht="12.75">
      <c r="A455" s="552" t="s">
        <v>811</v>
      </c>
      <c r="B455" s="290" t="s">
        <v>972</v>
      </c>
      <c r="C455" s="502"/>
      <c r="D455" s="502">
        <v>0</v>
      </c>
      <c r="E455" s="190">
        <v>16800</v>
      </c>
    </row>
    <row r="456" spans="1:5" ht="12.75">
      <c r="A456" s="552" t="s">
        <v>812</v>
      </c>
      <c r="B456" s="290" t="s">
        <v>401</v>
      </c>
      <c r="C456" s="502">
        <f>C457+C458+C459+C460</f>
        <v>0</v>
      </c>
      <c r="D456" s="502">
        <f>D457+D458+D459+D460</f>
        <v>0</v>
      </c>
      <c r="E456" s="190">
        <f>E457+E458+E459+E460</f>
        <v>14</v>
      </c>
    </row>
    <row r="457" spans="1:5" ht="12.75">
      <c r="A457" s="552" t="s">
        <v>813</v>
      </c>
      <c r="B457" s="290" t="s">
        <v>395</v>
      </c>
      <c r="C457" s="502"/>
      <c r="D457" s="502"/>
      <c r="E457" s="190">
        <f>'6 7_sz_melléklet'!E9</f>
        <v>14</v>
      </c>
    </row>
    <row r="458" spans="1:5" ht="12.75">
      <c r="A458" s="552" t="s">
        <v>814</v>
      </c>
      <c r="B458" s="561" t="s">
        <v>396</v>
      </c>
      <c r="C458" s="502"/>
      <c r="D458" s="502"/>
      <c r="E458" s="190"/>
    </row>
    <row r="459" spans="1:5" ht="12.75">
      <c r="A459" s="552" t="s">
        <v>815</v>
      </c>
      <c r="B459" s="290" t="s">
        <v>397</v>
      </c>
      <c r="C459" s="502"/>
      <c r="D459" s="502"/>
      <c r="E459" s="190"/>
    </row>
    <row r="460" spans="1:5" ht="12.75">
      <c r="A460" s="552" t="s">
        <v>816</v>
      </c>
      <c r="B460" s="290" t="s">
        <v>398</v>
      </c>
      <c r="C460" s="339"/>
      <c r="D460" s="339"/>
      <c r="E460" s="190"/>
    </row>
    <row r="461" spans="1:5" ht="13.5" thickBot="1">
      <c r="A461" s="617" t="s">
        <v>817</v>
      </c>
      <c r="B461" s="292" t="s">
        <v>399</v>
      </c>
      <c r="C461" s="503"/>
      <c r="D461" s="503"/>
      <c r="E461" s="190"/>
    </row>
    <row r="462" spans="1:5" ht="13.5" thickBot="1">
      <c r="A462" s="969" t="s">
        <v>818</v>
      </c>
      <c r="B462" s="970" t="s">
        <v>14</v>
      </c>
      <c r="C462" s="1004">
        <f>C451+C452+C453+C454+C456+C461</f>
        <v>1345</v>
      </c>
      <c r="D462" s="1004">
        <f>D451+D452+D453+D454+D456+D461</f>
        <v>0</v>
      </c>
      <c r="E462" s="1005">
        <f>E451+E452+E453+E454+E456+E461</f>
        <v>132075</v>
      </c>
    </row>
    <row r="463" spans="1:5" ht="13.5" thickTop="1">
      <c r="A463" s="553" t="s">
        <v>819</v>
      </c>
      <c r="B463" s="562" t="s">
        <v>407</v>
      </c>
      <c r="C463" s="504"/>
      <c r="D463" s="193"/>
      <c r="E463" s="193"/>
    </row>
    <row r="464" spans="1:5" ht="12.75">
      <c r="A464" s="552" t="s">
        <v>820</v>
      </c>
      <c r="B464" s="290" t="s">
        <v>974</v>
      </c>
      <c r="C464" s="502"/>
      <c r="D464" s="190"/>
      <c r="E464" s="190"/>
    </row>
    <row r="465" spans="1:5" ht="12.75">
      <c r="A465" s="552" t="s">
        <v>821</v>
      </c>
      <c r="B465" s="290" t="s">
        <v>975</v>
      </c>
      <c r="C465" s="502"/>
      <c r="D465" s="190"/>
      <c r="E465" s="190"/>
    </row>
    <row r="466" spans="1:5" ht="12.75">
      <c r="A466" s="552" t="s">
        <v>822</v>
      </c>
      <c r="B466" s="290" t="s">
        <v>400</v>
      </c>
      <c r="C466" s="339">
        <f>C467+C468+C469</f>
        <v>0</v>
      </c>
      <c r="D466" s="339">
        <f>D467+D468+D469</f>
        <v>0</v>
      </c>
      <c r="E466" s="194">
        <f>E467+E468+E469</f>
        <v>0</v>
      </c>
    </row>
    <row r="467" spans="1:5" ht="12.75">
      <c r="A467" s="552" t="s">
        <v>823</v>
      </c>
      <c r="B467" s="290" t="s">
        <v>402</v>
      </c>
      <c r="C467" s="502"/>
      <c r="D467" s="190"/>
      <c r="E467" s="190">
        <f>D467+C467+E300+D300+C300+E245+D245+C245+E189+D189+C189+E133+D133+C133+E78+D78+C78+E23+D23+C23+C356+D356+E356+C412+D412+E412</f>
        <v>0</v>
      </c>
    </row>
    <row r="468" spans="1:5" ht="12.75">
      <c r="A468" s="552" t="s">
        <v>824</v>
      </c>
      <c r="B468" s="290" t="s">
        <v>452</v>
      </c>
      <c r="C468" s="502"/>
      <c r="D468" s="190"/>
      <c r="E468" s="190"/>
    </row>
    <row r="469" spans="1:5" ht="12.75">
      <c r="A469" s="552" t="s">
        <v>826</v>
      </c>
      <c r="B469" s="290" t="s">
        <v>403</v>
      </c>
      <c r="C469" s="502"/>
      <c r="D469" s="190"/>
      <c r="E469" s="190"/>
    </row>
    <row r="470" spans="1:5" ht="12.75">
      <c r="A470" s="552" t="s">
        <v>827</v>
      </c>
      <c r="B470" s="290" t="s">
        <v>404</v>
      </c>
      <c r="C470" s="502"/>
      <c r="D470" s="190"/>
      <c r="E470" s="190"/>
    </row>
    <row r="471" spans="1:5" ht="13.5" thickBot="1">
      <c r="A471" s="617" t="s">
        <v>828</v>
      </c>
      <c r="B471" s="292" t="s">
        <v>405</v>
      </c>
      <c r="C471" s="503">
        <f>-C454</f>
        <v>0</v>
      </c>
      <c r="D471" s="503">
        <f>-D454</f>
        <v>0</v>
      </c>
      <c r="E471" s="195">
        <f>-E454</f>
        <v>0</v>
      </c>
    </row>
    <row r="472" spans="1:5" ht="13.5" thickBot="1">
      <c r="A472" s="969" t="s">
        <v>829</v>
      </c>
      <c r="B472" s="970" t="s">
        <v>15</v>
      </c>
      <c r="C472" s="1004">
        <f>C464+C465+C466+C470+C471</f>
        <v>0</v>
      </c>
      <c r="D472" s="1004">
        <f>D464+D465+D466+D470+D471</f>
        <v>0</v>
      </c>
      <c r="E472" s="1005">
        <f>E464+E465+E466+E470+E471</f>
        <v>0</v>
      </c>
    </row>
    <row r="473" spans="1:5" ht="26.25" thickTop="1">
      <c r="A473" s="553" t="s">
        <v>830</v>
      </c>
      <c r="B473" s="918" t="s">
        <v>408</v>
      </c>
      <c r="C473" s="504"/>
      <c r="D473" s="193"/>
      <c r="E473" s="193"/>
    </row>
    <row r="474" spans="1:5" ht="12.75">
      <c r="A474" s="552" t="s">
        <v>831</v>
      </c>
      <c r="B474" s="563" t="s">
        <v>409</v>
      </c>
      <c r="C474" s="502"/>
      <c r="D474" s="190"/>
      <c r="E474" s="190"/>
    </row>
    <row r="475" spans="1:5" ht="12.75">
      <c r="A475" s="552" t="s">
        <v>832</v>
      </c>
      <c r="B475" s="564" t="s">
        <v>410</v>
      </c>
      <c r="C475" s="339"/>
      <c r="D475" s="194"/>
      <c r="E475" s="190"/>
    </row>
    <row r="476" spans="1:5" ht="13.5" thickBot="1">
      <c r="A476" s="617" t="s">
        <v>833</v>
      </c>
      <c r="B476" s="565" t="s">
        <v>411</v>
      </c>
      <c r="C476" s="503"/>
      <c r="D476" s="195"/>
      <c r="E476" s="190"/>
    </row>
    <row r="477" spans="1:5" ht="26.25" thickBot="1">
      <c r="A477" s="969" t="s">
        <v>834</v>
      </c>
      <c r="B477" s="997" t="s">
        <v>412</v>
      </c>
      <c r="C477" s="1004">
        <f>C474+C475+C476</f>
        <v>0</v>
      </c>
      <c r="D477" s="1004">
        <f>D474+D475+D476</f>
        <v>0</v>
      </c>
      <c r="E477" s="1005">
        <f>E474+E475+E476</f>
        <v>0</v>
      </c>
    </row>
    <row r="478" spans="1:5" ht="13.5" thickTop="1">
      <c r="A478" s="553" t="s">
        <v>835</v>
      </c>
      <c r="B478" s="707" t="s">
        <v>413</v>
      </c>
      <c r="C478" s="504"/>
      <c r="D478" s="193"/>
      <c r="E478" s="193"/>
    </row>
    <row r="479" spans="1:5" ht="12.75">
      <c r="A479" s="553" t="s">
        <v>836</v>
      </c>
      <c r="B479" s="291" t="s">
        <v>414</v>
      </c>
      <c r="C479" s="339"/>
      <c r="D479" s="194"/>
      <c r="E479" s="190"/>
    </row>
    <row r="480" spans="1:5" ht="12.75">
      <c r="A480" s="553" t="s">
        <v>837</v>
      </c>
      <c r="B480" s="291" t="s">
        <v>25</v>
      </c>
      <c r="C480" s="502"/>
      <c r="D480" s="190"/>
      <c r="E480" s="190"/>
    </row>
    <row r="481" spans="1:5" ht="12.75">
      <c r="A481" s="553" t="s">
        <v>838</v>
      </c>
      <c r="B481" s="155" t="s">
        <v>914</v>
      </c>
      <c r="C481" s="502"/>
      <c r="D481" s="190"/>
      <c r="E481" s="190"/>
    </row>
    <row r="482" spans="1:5" ht="13.5" thickBot="1">
      <c r="A482" s="952" t="s">
        <v>839</v>
      </c>
      <c r="B482" s="291" t="s">
        <v>416</v>
      </c>
      <c r="C482" s="503"/>
      <c r="D482" s="195"/>
      <c r="E482" s="190"/>
    </row>
    <row r="483" spans="1:5" ht="13.5" thickBot="1">
      <c r="A483" s="969" t="s">
        <v>840</v>
      </c>
      <c r="B483" s="977" t="s">
        <v>419</v>
      </c>
      <c r="C483" s="995">
        <f>C479+C480+C481+C482</f>
        <v>0</v>
      </c>
      <c r="D483" s="995">
        <f>D479+D480+D481+D482</f>
        <v>0</v>
      </c>
      <c r="E483" s="996">
        <f>E479+E480+E481+E482</f>
        <v>0</v>
      </c>
    </row>
    <row r="484" spans="1:5" ht="27" thickBot="1" thickTop="1">
      <c r="A484" s="1007" t="s">
        <v>841</v>
      </c>
      <c r="B484" s="991" t="s">
        <v>415</v>
      </c>
      <c r="C484" s="999">
        <f>C462+C472+C477+C483</f>
        <v>1345</v>
      </c>
      <c r="D484" s="999">
        <f>D462+D472+D477+D483</f>
        <v>0</v>
      </c>
      <c r="E484" s="1000">
        <f>E462+E472+E477+E483</f>
        <v>132075</v>
      </c>
    </row>
    <row r="485" spans="1:5" ht="13.5" thickTop="1">
      <c r="A485" s="553" t="s">
        <v>842</v>
      </c>
      <c r="B485" s="958" t="s">
        <v>976</v>
      </c>
      <c r="C485" s="998"/>
      <c r="D485" s="193"/>
      <c r="E485" s="193"/>
    </row>
    <row r="486" spans="1:5" ht="12.75">
      <c r="A486" s="552" t="s">
        <v>843</v>
      </c>
      <c r="B486" s="566" t="s">
        <v>417</v>
      </c>
      <c r="C486" s="507"/>
      <c r="D486" s="190"/>
      <c r="E486" s="190"/>
    </row>
    <row r="487" spans="1:5" ht="13.5" thickBot="1">
      <c r="A487" s="617" t="s">
        <v>844</v>
      </c>
      <c r="B487" s="962" t="s">
        <v>418</v>
      </c>
      <c r="C487" s="503"/>
      <c r="D487" s="195"/>
      <c r="E487" s="190"/>
    </row>
    <row r="488" spans="1:5" ht="13.5" thickBot="1">
      <c r="A488" s="969" t="s">
        <v>845</v>
      </c>
      <c r="B488" s="982" t="s">
        <v>979</v>
      </c>
      <c r="C488" s="995">
        <f>C486+C487</f>
        <v>0</v>
      </c>
      <c r="D488" s="995">
        <f>D486+D487</f>
        <v>0</v>
      </c>
      <c r="E488" s="996">
        <f>E486+E487</f>
        <v>0</v>
      </c>
    </row>
    <row r="489" spans="1:5" ht="13.5" thickTop="1">
      <c r="A489" s="553" t="s">
        <v>846</v>
      </c>
      <c r="B489" s="1001" t="s">
        <v>977</v>
      </c>
      <c r="C489" s="506"/>
      <c r="D489" s="196"/>
      <c r="E489" s="196"/>
    </row>
    <row r="490" spans="1:5" ht="12.75">
      <c r="A490" s="553" t="s">
        <v>847</v>
      </c>
      <c r="B490" s="959" t="s">
        <v>417</v>
      </c>
      <c r="C490" s="506"/>
      <c r="D490" s="196"/>
      <c r="E490" s="190"/>
    </row>
    <row r="491" spans="1:5" ht="13.5" thickBot="1">
      <c r="A491" s="617" t="s">
        <v>848</v>
      </c>
      <c r="B491" s="567" t="s">
        <v>418</v>
      </c>
      <c r="C491" s="503"/>
      <c r="D491" s="195"/>
      <c r="E491" s="190">
        <v>100032</v>
      </c>
    </row>
    <row r="492" spans="1:5" ht="13.5" thickBot="1">
      <c r="A492" s="969" t="s">
        <v>849</v>
      </c>
      <c r="B492" s="1003" t="s">
        <v>942</v>
      </c>
      <c r="C492" s="1004">
        <f>C490+C491</f>
        <v>0</v>
      </c>
      <c r="D492" s="1004">
        <f>D490+D491</f>
        <v>0</v>
      </c>
      <c r="E492" s="1005">
        <f>E490+E491</f>
        <v>100032</v>
      </c>
    </row>
    <row r="493" spans="1:5" ht="23.25" thickBot="1" thickTop="1">
      <c r="A493" s="553" t="s">
        <v>869</v>
      </c>
      <c r="B493" s="985" t="s">
        <v>978</v>
      </c>
      <c r="C493" s="1002"/>
      <c r="D493" s="510"/>
      <c r="E493" s="510"/>
    </row>
    <row r="494" spans="1:5" ht="12.75">
      <c r="A494" s="552" t="s">
        <v>870</v>
      </c>
      <c r="B494" s="568" t="s">
        <v>420</v>
      </c>
      <c r="C494" s="366"/>
      <c r="D494" s="367"/>
      <c r="E494" s="1023"/>
    </row>
    <row r="495" spans="1:5" ht="13.5" thickBot="1">
      <c r="A495" s="617" t="s">
        <v>871</v>
      </c>
      <c r="B495" s="569" t="s">
        <v>421</v>
      </c>
      <c r="C495" s="961"/>
      <c r="D495" s="191"/>
      <c r="E495" s="190"/>
    </row>
    <row r="496" spans="1:5" ht="13.5" thickBot="1">
      <c r="A496" s="969" t="s">
        <v>872</v>
      </c>
      <c r="B496" s="1006" t="s">
        <v>943</v>
      </c>
      <c r="C496" s="1004">
        <f>C494+C495</f>
        <v>0</v>
      </c>
      <c r="D496" s="1004">
        <f>D494+D495</f>
        <v>0</v>
      </c>
      <c r="E496" s="1005">
        <f>E494+E495</f>
        <v>0</v>
      </c>
    </row>
    <row r="497" spans="1:5" ht="14.25" thickBot="1" thickTop="1">
      <c r="A497" s="987" t="s">
        <v>873</v>
      </c>
      <c r="B497" s="988" t="s">
        <v>982</v>
      </c>
      <c r="C497" s="999">
        <f>C484+C488+C492+C496</f>
        <v>1345</v>
      </c>
      <c r="D497" s="999">
        <f>D484+D488+D492+D496</f>
        <v>0</v>
      </c>
      <c r="E497" s="1000">
        <f>E484+E488+E492+E496</f>
        <v>232107</v>
      </c>
    </row>
    <row r="498" spans="1:5" ht="24" thickBot="1" thickTop="1">
      <c r="A498" s="582" t="s">
        <v>874</v>
      </c>
      <c r="B498" s="1019" t="s">
        <v>984</v>
      </c>
      <c r="C498" s="192"/>
      <c r="D498" s="1020">
        <f>'13_sz_ melléklet'!F73</f>
        <v>2280991</v>
      </c>
      <c r="E498" s="490"/>
    </row>
    <row r="499" spans="1:5" ht="12.75">
      <c r="A499" s="580"/>
      <c r="B499" s="1299"/>
      <c r="C499" s="33"/>
      <c r="D499" s="33"/>
      <c r="E499" s="33"/>
    </row>
    <row r="500" spans="1:5" ht="12.75">
      <c r="A500" s="1568">
        <v>10</v>
      </c>
      <c r="B500" s="1545"/>
      <c r="C500" s="1545"/>
      <c r="D500" s="1545"/>
      <c r="E500" s="1545"/>
    </row>
    <row r="501" spans="1:5" ht="12.75">
      <c r="A501" s="1546" t="s">
        <v>1334</v>
      </c>
      <c r="B501" s="1546"/>
      <c r="C501" s="1546"/>
      <c r="D501" s="1546"/>
      <c r="E501" s="1546"/>
    </row>
    <row r="502" spans="2:5" ht="15.75">
      <c r="B502" s="1566" t="s">
        <v>988</v>
      </c>
      <c r="C502" s="1566"/>
      <c r="D502" s="1566"/>
      <c r="E502" s="1566"/>
    </row>
    <row r="503" spans="2:5" ht="13.5" thickBot="1">
      <c r="B503" s="1"/>
      <c r="C503" s="1"/>
      <c r="D503" s="1"/>
      <c r="E503" s="25" t="s">
        <v>16</v>
      </c>
    </row>
    <row r="504" spans="1:5" ht="27" thickBot="1">
      <c r="A504" s="587" t="s">
        <v>801</v>
      </c>
      <c r="B504" s="960" t="s">
        <v>22</v>
      </c>
      <c r="C504" s="41" t="s">
        <v>1431</v>
      </c>
      <c r="D504" s="41" t="s">
        <v>39</v>
      </c>
      <c r="E504" s="41"/>
    </row>
    <row r="505" spans="1:5" ht="12.75">
      <c r="A505" s="963" t="s">
        <v>802</v>
      </c>
      <c r="B505" s="964" t="s">
        <v>803</v>
      </c>
      <c r="C505" s="992" t="s">
        <v>804</v>
      </c>
      <c r="D505" s="993" t="s">
        <v>805</v>
      </c>
      <c r="E505" s="994" t="s">
        <v>825</v>
      </c>
    </row>
    <row r="506" spans="1:5" ht="12.75">
      <c r="A506" s="553" t="s">
        <v>806</v>
      </c>
      <c r="B506" s="560" t="s">
        <v>406</v>
      </c>
      <c r="C506" s="502"/>
      <c r="D506" s="190"/>
      <c r="E506" s="183"/>
    </row>
    <row r="507" spans="1:5" ht="12.75">
      <c r="A507" s="552" t="s">
        <v>807</v>
      </c>
      <c r="B507" s="247" t="s">
        <v>11</v>
      </c>
      <c r="C507" s="502"/>
      <c r="D507" s="190">
        <f aca="true" t="shared" si="0" ref="D507:D517">C507+E451+D451+C451+E396+D396+C396+E340+D340+C340+E284+D284+C284+E229+D229+C229+E173+D173+C173+E117+D117+C117+E62+D62+C62+E7+D7+C7</f>
        <v>96774</v>
      </c>
      <c r="E507" s="183"/>
    </row>
    <row r="508" spans="1:5" ht="12.75">
      <c r="A508" s="552" t="s">
        <v>808</v>
      </c>
      <c r="B508" s="290" t="s">
        <v>12</v>
      </c>
      <c r="C508" s="502"/>
      <c r="D508" s="190">
        <f t="shared" si="0"/>
        <v>27468</v>
      </c>
      <c r="E508" s="183"/>
    </row>
    <row r="509" spans="1:5" ht="12.75">
      <c r="A509" s="552" t="s">
        <v>809</v>
      </c>
      <c r="B509" s="290" t="s">
        <v>13</v>
      </c>
      <c r="C509" s="502"/>
      <c r="D509" s="190">
        <f t="shared" si="0"/>
        <v>496012</v>
      </c>
      <c r="E509" s="183"/>
    </row>
    <row r="510" spans="1:5" ht="12.75">
      <c r="A510" s="552" t="s">
        <v>810</v>
      </c>
      <c r="B510" s="290" t="s">
        <v>973</v>
      </c>
      <c r="C510" s="502"/>
      <c r="D510" s="190">
        <f t="shared" si="0"/>
        <v>-109446</v>
      </c>
      <c r="E510" s="183"/>
    </row>
    <row r="511" spans="1:5" ht="12.75">
      <c r="A511" s="552" t="s">
        <v>811</v>
      </c>
      <c r="B511" s="290" t="s">
        <v>972</v>
      </c>
      <c r="C511" s="502"/>
      <c r="D511" s="190">
        <f t="shared" si="0"/>
        <v>16800</v>
      </c>
      <c r="E511" s="183"/>
    </row>
    <row r="512" spans="1:5" ht="12.75">
      <c r="A512" s="552" t="s">
        <v>812</v>
      </c>
      <c r="B512" s="290" t="s">
        <v>401</v>
      </c>
      <c r="C512" s="502">
        <f>C513+C514+C515+C516</f>
        <v>0</v>
      </c>
      <c r="D512" s="190">
        <f t="shared" si="0"/>
        <v>460080</v>
      </c>
      <c r="E512" s="190">
        <f>E513+E514+E515+E516</f>
        <v>0</v>
      </c>
    </row>
    <row r="513" spans="1:5" ht="12.75">
      <c r="A513" s="552" t="s">
        <v>813</v>
      </c>
      <c r="B513" s="290" t="s">
        <v>395</v>
      </c>
      <c r="C513" s="502"/>
      <c r="D513" s="190">
        <f t="shared" si="0"/>
        <v>40824</v>
      </c>
      <c r="E513" s="183"/>
    </row>
    <row r="514" spans="1:5" ht="12.75">
      <c r="A514" s="552" t="s">
        <v>814</v>
      </c>
      <c r="B514" s="561" t="s">
        <v>396</v>
      </c>
      <c r="C514" s="502"/>
      <c r="D514" s="190">
        <f t="shared" si="0"/>
        <v>285911</v>
      </c>
      <c r="E514" s="183"/>
    </row>
    <row r="515" spans="1:5" ht="12.75">
      <c r="A515" s="552" t="s">
        <v>815</v>
      </c>
      <c r="B515" s="290" t="s">
        <v>397</v>
      </c>
      <c r="C515" s="502"/>
      <c r="D515" s="190">
        <f t="shared" si="0"/>
        <v>133345</v>
      </c>
      <c r="E515" s="183"/>
    </row>
    <row r="516" spans="1:5" ht="12.75">
      <c r="A516" s="552" t="s">
        <v>816</v>
      </c>
      <c r="B516" s="290" t="s">
        <v>398</v>
      </c>
      <c r="C516" s="339"/>
      <c r="D516" s="190">
        <f t="shared" si="0"/>
        <v>0</v>
      </c>
      <c r="E516" s="183"/>
    </row>
    <row r="517" spans="1:5" ht="13.5" thickBot="1">
      <c r="A517" s="617" t="s">
        <v>817</v>
      </c>
      <c r="B517" s="292" t="s">
        <v>399</v>
      </c>
      <c r="C517" s="503"/>
      <c r="D517" s="190">
        <f t="shared" si="0"/>
        <v>0</v>
      </c>
      <c r="E517" s="183"/>
    </row>
    <row r="518" spans="1:5" ht="13.5" thickBot="1">
      <c r="A518" s="969" t="s">
        <v>818</v>
      </c>
      <c r="B518" s="970" t="s">
        <v>14</v>
      </c>
      <c r="C518" s="1004">
        <f>C507+C508+C509+C510+C512+C517</f>
        <v>0</v>
      </c>
      <c r="D518" s="1004">
        <f>D507+D508+D509+D510+D512+D517</f>
        <v>970888</v>
      </c>
      <c r="E518" s="996">
        <f>E507+E508+E509+E510+E512+E517</f>
        <v>0</v>
      </c>
    </row>
    <row r="519" spans="1:5" ht="13.5" thickTop="1">
      <c r="A519" s="553" t="s">
        <v>819</v>
      </c>
      <c r="B519" s="562" t="s">
        <v>407</v>
      </c>
      <c r="C519" s="504"/>
      <c r="D519" s="193"/>
      <c r="E519" s="193"/>
    </row>
    <row r="520" spans="1:5" ht="12.75">
      <c r="A520" s="552" t="s">
        <v>820</v>
      </c>
      <c r="B520" s="290" t="s">
        <v>974</v>
      </c>
      <c r="C520" s="502"/>
      <c r="D520" s="190">
        <f>C520+E464+D464+C464+E409+D409+C409+E353+D353+C353+E297+D297+C297+E242+D242+C242+E186+D186+C186+E130+D130+C130+E75+D75+C75+E20+D20+C20</f>
        <v>3596950</v>
      </c>
      <c r="E520" s="190"/>
    </row>
    <row r="521" spans="1:5" ht="12.75">
      <c r="A521" s="552" t="s">
        <v>821</v>
      </c>
      <c r="B521" s="290" t="s">
        <v>975</v>
      </c>
      <c r="C521" s="502"/>
      <c r="D521" s="190">
        <f>C521+E465+D465+C465+E410+D410+C410+E354+D354+C354+E298+D298+C298+E243+D243+C243+E187+D187+C187+E131+D131+C131+E76+D76+C76+E21+D21+C21</f>
        <v>161629</v>
      </c>
      <c r="E521" s="190"/>
    </row>
    <row r="522" spans="1:5" ht="12.75">
      <c r="A522" s="552" t="s">
        <v>822</v>
      </c>
      <c r="B522" s="290" t="s">
        <v>400</v>
      </c>
      <c r="C522" s="339">
        <f>C523+C524+C525</f>
        <v>0</v>
      </c>
      <c r="D522" s="339">
        <f>D523+D524+D525</f>
        <v>122351</v>
      </c>
      <c r="E522" s="194">
        <f>E523+E524+E525</f>
        <v>0</v>
      </c>
    </row>
    <row r="523" spans="1:5" ht="12.75">
      <c r="A523" s="552" t="s">
        <v>823</v>
      </c>
      <c r="B523" s="290" t="s">
        <v>402</v>
      </c>
      <c r="C523" s="502"/>
      <c r="D523" s="190">
        <f>C523+E467+D467+C467+E412+D412+C412+E356+D356+C356+E300+D300+C300+E245+D245+C245+E189+D189+C189+E133+D133+C133+E78+D78+C78+E23+D23+C23</f>
        <v>0</v>
      </c>
      <c r="E523" s="190"/>
    </row>
    <row r="524" spans="1:5" ht="12.75">
      <c r="A524" s="552" t="s">
        <v>824</v>
      </c>
      <c r="B524" s="290" t="s">
        <v>452</v>
      </c>
      <c r="C524" s="502"/>
      <c r="D524" s="190">
        <f>C524+E468+D468+C468+E413+D413+C413+E357+D357+C357+E301+D301+C301+E246+D246+C246+E190+D190+C190+E134+D134+C134+E79+D79+C79+E24+D24+C24</f>
        <v>122351</v>
      </c>
      <c r="E524" s="190"/>
    </row>
    <row r="525" spans="1:5" ht="12.75">
      <c r="A525" s="552" t="s">
        <v>826</v>
      </c>
      <c r="B525" s="290" t="s">
        <v>403</v>
      </c>
      <c r="C525" s="502"/>
      <c r="D525" s="190">
        <f>C525+E469+D469+C469+E414+D414+C414+E358+D358+C358+E302+D302+C302+E247+D247+C247+E191+D191+C191+E135+D135+C135+E80+D80+C80+E25+D25+C25</f>
        <v>0</v>
      </c>
      <c r="E525" s="190"/>
    </row>
    <row r="526" spans="1:5" ht="12.75">
      <c r="A526" s="552" t="s">
        <v>827</v>
      </c>
      <c r="B526" s="290" t="s">
        <v>404</v>
      </c>
      <c r="C526" s="502"/>
      <c r="D526" s="190">
        <f>C526+E470+D470+C470+E415+D415+C415+E359+D359+C359+E303+D303+C303+E248+D248+C248+E192+D192+C192+E136+D136+C136+E81+D81+C81+E26+D26+C26</f>
        <v>1250</v>
      </c>
      <c r="E526" s="190"/>
    </row>
    <row r="527" spans="1:5" ht="13.5" thickBot="1">
      <c r="A527" s="617" t="s">
        <v>828</v>
      </c>
      <c r="B527" s="292" t="s">
        <v>405</v>
      </c>
      <c r="C527" s="505">
        <f>-C510</f>
        <v>0</v>
      </c>
      <c r="D527" s="503">
        <f>-D510</f>
        <v>109446</v>
      </c>
      <c r="E527" s="1026">
        <f>-E510</f>
        <v>0</v>
      </c>
    </row>
    <row r="528" spans="1:5" ht="13.5" thickBot="1">
      <c r="A528" s="969" t="s">
        <v>829</v>
      </c>
      <c r="B528" s="970" t="s">
        <v>15</v>
      </c>
      <c r="C528" s="1004">
        <f>C520+C521+C522+C526+C527</f>
        <v>0</v>
      </c>
      <c r="D528" s="1004">
        <f>D520+D521+D522+D526+D527</f>
        <v>3991626</v>
      </c>
      <c r="E528" s="996">
        <f>E520+E521+E522+E526+E527</f>
        <v>0</v>
      </c>
    </row>
    <row r="529" spans="1:5" ht="26.25" thickTop="1">
      <c r="A529" s="553" t="s">
        <v>830</v>
      </c>
      <c r="B529" s="918" t="s">
        <v>408</v>
      </c>
      <c r="C529" s="504"/>
      <c r="D529" s="193"/>
      <c r="E529" s="185"/>
    </row>
    <row r="530" spans="1:5" ht="12.75">
      <c r="A530" s="552" t="s">
        <v>831</v>
      </c>
      <c r="B530" s="563" t="s">
        <v>409</v>
      </c>
      <c r="C530" s="502"/>
      <c r="D530" s="190">
        <f>C530+E474+D474+C474+E419+D419+C419+E363+D363+C363+E307+D307+C307+E252+D252+C252+E196+D196+C196+E140+D140+C140+E85+D85+C85+E30+D30+C30</f>
        <v>0</v>
      </c>
      <c r="E530" s="183"/>
    </row>
    <row r="531" spans="1:5" ht="12.75">
      <c r="A531" s="552" t="s">
        <v>832</v>
      </c>
      <c r="B531" s="564" t="s">
        <v>410</v>
      </c>
      <c r="C531" s="339"/>
      <c r="D531" s="190">
        <f>C531+E475+D475+C475+E420+D420+C420+E364+D364+C364+E308+D308+C308+E253+D253+C253+E197+D197+C197+E141+D141+C141+E86+D86+C86+E31+D31+C31</f>
        <v>62200</v>
      </c>
      <c r="E531" s="183"/>
    </row>
    <row r="532" spans="1:5" ht="13.5" thickBot="1">
      <c r="A532" s="617" t="s">
        <v>833</v>
      </c>
      <c r="B532" s="565" t="s">
        <v>411</v>
      </c>
      <c r="C532" s="503"/>
      <c r="D532" s="190">
        <f>C532+E476+D476+C476+E421+D421+C421+E365+D365+C365+E309+D309+C309+E254+D254+C254+E198+D198+C198+E142+D142+C142+E87+D87+C87+E32+D32+C32</f>
        <v>0</v>
      </c>
      <c r="E532" s="183"/>
    </row>
    <row r="533" spans="1:5" ht="26.25" thickBot="1">
      <c r="A533" s="969" t="s">
        <v>834</v>
      </c>
      <c r="B533" s="997" t="s">
        <v>412</v>
      </c>
      <c r="C533" s="1004">
        <f>C530+C531+C532</f>
        <v>0</v>
      </c>
      <c r="D533" s="1004">
        <f>D530+D531+D532</f>
        <v>62200</v>
      </c>
      <c r="E533" s="996">
        <f>E530+E531+E532</f>
        <v>0</v>
      </c>
    </row>
    <row r="534" spans="1:5" ht="13.5" thickTop="1">
      <c r="A534" s="553" t="s">
        <v>835</v>
      </c>
      <c r="B534" s="707" t="s">
        <v>413</v>
      </c>
      <c r="C534" s="504"/>
      <c r="D534" s="193"/>
      <c r="E534" s="185"/>
    </row>
    <row r="535" spans="1:5" ht="12.75">
      <c r="A535" s="553" t="s">
        <v>836</v>
      </c>
      <c r="B535" s="291" t="s">
        <v>414</v>
      </c>
      <c r="C535" s="339"/>
      <c r="D535" s="190">
        <f>C535+E479+D479+C479+E424+D424+C424+E368+D368+C368+E312+D312+C312+E257+D257+C257+E201+D201+C201+E145+D145+C145+E90+D90+C90+E35+D35+C35</f>
        <v>0</v>
      </c>
      <c r="E535" s="186"/>
    </row>
    <row r="536" spans="1:5" ht="12.75">
      <c r="A536" s="553" t="s">
        <v>837</v>
      </c>
      <c r="B536" s="291" t="s">
        <v>25</v>
      </c>
      <c r="C536" s="502">
        <f>'34 sz melléklet'!C39</f>
        <v>563725</v>
      </c>
      <c r="D536" s="190">
        <f>C536+E480+D480+C480+E425+D425+C425+E369+D369+C369+E313+D313+C313+E258+D258+C258+E202+D202+C202+E146+D146+C146+E91+D91+C91+E36+D36+C36</f>
        <v>563725</v>
      </c>
      <c r="E536" s="186"/>
    </row>
    <row r="537" spans="1:5" ht="12.75">
      <c r="A537" s="553" t="s">
        <v>838</v>
      </c>
      <c r="B537" s="155" t="s">
        <v>914</v>
      </c>
      <c r="C537" s="502">
        <f>20000-5136-1600-442</f>
        <v>12822</v>
      </c>
      <c r="D537" s="190">
        <f>C537+E481+D481+C481+E426+D426+C426+E370+D370+C370+E314+D314+C314+E259+D259+C259+E203+D203+C203+E147+D147+C147+E92+D92+C92+E37+D37+C37</f>
        <v>12822</v>
      </c>
      <c r="E537" s="186"/>
    </row>
    <row r="538" spans="1:5" ht="13.5" thickBot="1">
      <c r="A538" s="952" t="s">
        <v>839</v>
      </c>
      <c r="B538" s="291" t="s">
        <v>416</v>
      </c>
      <c r="C538" s="503"/>
      <c r="D538" s="190">
        <f>C538+E482+D482+C482+E427+D427+C427+E371+D371+C371+E315+D315+C315+E260+D260+C260+E204+D204+C204+E148+D148+C148+E93+D93+C93+E38+D38+C38</f>
        <v>0</v>
      </c>
      <c r="E538" s="186"/>
    </row>
    <row r="539" spans="1:5" ht="13.5" thickBot="1">
      <c r="A539" s="969" t="s">
        <v>840</v>
      </c>
      <c r="B539" s="977" t="s">
        <v>419</v>
      </c>
      <c r="C539" s="1004">
        <f>C535+C536+C537+C538</f>
        <v>576547</v>
      </c>
      <c r="D539" s="1004">
        <f>D535+D536+D537+D538</f>
        <v>576547</v>
      </c>
      <c r="E539" s="996">
        <f>E535+E536+E537+E538</f>
        <v>0</v>
      </c>
    </row>
    <row r="540" spans="1:5" ht="27" thickBot="1" thickTop="1">
      <c r="A540" s="1007" t="s">
        <v>841</v>
      </c>
      <c r="B540" s="991" t="s">
        <v>415</v>
      </c>
      <c r="C540" s="999">
        <f>C518+C528+C533+C539</f>
        <v>576547</v>
      </c>
      <c r="D540" s="999">
        <f>D518+D528+D533+D539</f>
        <v>5601261</v>
      </c>
      <c r="E540" s="1000">
        <f>E518+E528+E533+E539</f>
        <v>0</v>
      </c>
    </row>
    <row r="541" spans="1:5" ht="13.5" thickTop="1">
      <c r="A541" s="553" t="s">
        <v>842</v>
      </c>
      <c r="B541" s="958" t="s">
        <v>976</v>
      </c>
      <c r="C541" s="998"/>
      <c r="D541" s="193"/>
      <c r="E541" s="185"/>
    </row>
    <row r="542" spans="1:5" ht="12.75">
      <c r="A542" s="552" t="s">
        <v>843</v>
      </c>
      <c r="B542" s="566" t="s">
        <v>417</v>
      </c>
      <c r="C542" s="507"/>
      <c r="D542" s="190">
        <f>C542+E486+D486+C486+E431+D431+C431+E375+D375+C375+E319+D319+C319+E264+D264+C264+E208+D208+C208+E152+D152+C152+E97+D97+C97+E42+D42+C42</f>
        <v>0</v>
      </c>
      <c r="E542" s="183"/>
    </row>
    <row r="543" spans="1:5" ht="13.5" thickBot="1">
      <c r="A543" s="617" t="s">
        <v>844</v>
      </c>
      <c r="B543" s="962" t="s">
        <v>418</v>
      </c>
      <c r="C543" s="503"/>
      <c r="D543" s="190">
        <f>C543+E487+D487+C487+E432+D432+C432+E376+D376+C376+E320+D320+C320+E265+D265+C265+E209+D209+C209+E153+D153+C153+E98+D98+C98+E43+D43+C43</f>
        <v>0</v>
      </c>
      <c r="E543" s="187"/>
    </row>
    <row r="544" spans="1:5" ht="13.5" thickBot="1">
      <c r="A544" s="969" t="s">
        <v>845</v>
      </c>
      <c r="B544" s="982" t="s">
        <v>979</v>
      </c>
      <c r="C544" s="995">
        <f>C542+C543</f>
        <v>0</v>
      </c>
      <c r="D544" s="995">
        <f>D542+D543</f>
        <v>0</v>
      </c>
      <c r="E544" s="996">
        <f>E542+E543</f>
        <v>0</v>
      </c>
    </row>
    <row r="545" spans="1:5" ht="13.5" thickTop="1">
      <c r="A545" s="553" t="s">
        <v>846</v>
      </c>
      <c r="B545" s="1001" t="s">
        <v>977</v>
      </c>
      <c r="C545" s="506"/>
      <c r="D545" s="196"/>
      <c r="E545" s="188"/>
    </row>
    <row r="546" spans="1:5" ht="12.75">
      <c r="A546" s="553" t="s">
        <v>847</v>
      </c>
      <c r="B546" s="959" t="s">
        <v>417</v>
      </c>
      <c r="C546" s="506"/>
      <c r="D546" s="190">
        <f>C546+E490+D490+C490+E435+D435+C435+E379+D379+C379+E323+D323+C323+E268+D268+C268+E212+D212+C212+E156+D156+C156+E101+D101+C101+E46+D46+C46</f>
        <v>0</v>
      </c>
      <c r="E546" s="188"/>
    </row>
    <row r="547" spans="1:5" ht="13.5" thickBot="1">
      <c r="A547" s="617" t="s">
        <v>848</v>
      </c>
      <c r="B547" s="567" t="s">
        <v>418</v>
      </c>
      <c r="C547" s="503"/>
      <c r="D547" s="190">
        <f>C547+E491+D491+C491+E436+D436+C436+E380+D380+C380+E324+D324+C324+E269+D269+C269+E213+D213+C213+E157+D157+C157+E102+D102+C102+E47+D47+C47</f>
        <v>100032</v>
      </c>
      <c r="E547" s="187"/>
    </row>
    <row r="548" spans="1:5" ht="13.5" thickBot="1">
      <c r="A548" s="969" t="s">
        <v>849</v>
      </c>
      <c r="B548" s="1003" t="s">
        <v>942</v>
      </c>
      <c r="C548" s="1004">
        <f>C546+C547</f>
        <v>0</v>
      </c>
      <c r="D548" s="1004">
        <f>D546+D547</f>
        <v>100032</v>
      </c>
      <c r="E548" s="1005">
        <f>E546+E547</f>
        <v>0</v>
      </c>
    </row>
    <row r="549" spans="1:5" ht="23.25" thickBot="1" thickTop="1">
      <c r="A549" s="553" t="s">
        <v>869</v>
      </c>
      <c r="B549" s="985" t="s">
        <v>978</v>
      </c>
      <c r="C549" s="1002"/>
      <c r="D549" s="510"/>
      <c r="E549" s="382"/>
    </row>
    <row r="550" spans="1:5" ht="12.75">
      <c r="A550" s="552" t="s">
        <v>870</v>
      </c>
      <c r="B550" s="568" t="s">
        <v>420</v>
      </c>
      <c r="C550" s="366"/>
      <c r="D550" s="190">
        <f>C550+E494+D494+C494+E439+D439+C439+E383+D383+C383+E327+D327+C327+E272+D272+C272+E216+D216+C216+E160+D160+C160+E105+D105+C105+E50+D50+C50</f>
        <v>0</v>
      </c>
      <c r="E550" s="368"/>
    </row>
    <row r="551" spans="1:5" ht="13.5" thickBot="1">
      <c r="A551" s="617" t="s">
        <v>871</v>
      </c>
      <c r="B551" s="569" t="s">
        <v>421</v>
      </c>
      <c r="C551" s="961"/>
      <c r="D551" s="190">
        <f>C551+E495+D495+C495+E440+D440+C440+E384+D384+C384+E328+D328+C328+E273+D273+C273+E217+D217+C217+E161+D161+C161+E106+D106+C106+E51+D51+C51</f>
        <v>14604</v>
      </c>
      <c r="E551" s="184"/>
    </row>
    <row r="552" spans="1:5" ht="13.5" thickBot="1">
      <c r="A552" s="969" t="s">
        <v>872</v>
      </c>
      <c r="B552" s="1006" t="s">
        <v>943</v>
      </c>
      <c r="C552" s="1004">
        <f>C550+C551</f>
        <v>0</v>
      </c>
      <c r="D552" s="1004">
        <f>D550+D551</f>
        <v>14604</v>
      </c>
      <c r="E552" s="1005">
        <f>E550+E551</f>
        <v>0</v>
      </c>
    </row>
    <row r="553" spans="1:5" ht="14.25" thickBot="1" thickTop="1">
      <c r="A553" s="987" t="s">
        <v>873</v>
      </c>
      <c r="B553" s="988" t="s">
        <v>982</v>
      </c>
      <c r="C553" s="999">
        <f>C540+C544+C548+C552</f>
        <v>576547</v>
      </c>
      <c r="D553" s="1000">
        <f>D540+D544+D548+D552</f>
        <v>5715897</v>
      </c>
      <c r="E553" s="1000">
        <f>E540+E544+E548+E552</f>
        <v>0</v>
      </c>
    </row>
    <row r="554" spans="1:5" ht="24" thickBot="1" thickTop="1">
      <c r="A554" s="582" t="s">
        <v>874</v>
      </c>
      <c r="B554" s="1019" t="s">
        <v>984</v>
      </c>
      <c r="C554" s="192"/>
      <c r="D554" s="1707">
        <f>C554+E498+D498+C498+E443+D443+C443+E387+D387+C387+E331+D331+C331+E276+D276+C276+E220+D220+C220+E164+D164+C164+E109+D109+C109+E54+D54+C54</f>
        <v>2280991</v>
      </c>
      <c r="E554" s="192"/>
    </row>
  </sheetData>
  <sheetProtection/>
  <mergeCells count="29">
    <mergeCell ref="A111:E111"/>
    <mergeCell ref="B112:E112"/>
    <mergeCell ref="A166:E166"/>
    <mergeCell ref="A56:E56"/>
    <mergeCell ref="B57:E57"/>
    <mergeCell ref="A1:E1"/>
    <mergeCell ref="B2:E2"/>
    <mergeCell ref="A55:E55"/>
    <mergeCell ref="A110:E110"/>
    <mergeCell ref="A167:E167"/>
    <mergeCell ref="B168:E168"/>
    <mergeCell ref="A222:E222"/>
    <mergeCell ref="A501:E501"/>
    <mergeCell ref="B502:E502"/>
    <mergeCell ref="A223:E223"/>
    <mergeCell ref="B224:E224"/>
    <mergeCell ref="A277:E277"/>
    <mergeCell ref="A278:E278"/>
    <mergeCell ref="B279:E279"/>
    <mergeCell ref="A445:E445"/>
    <mergeCell ref="B446:E446"/>
    <mergeCell ref="A500:E500"/>
    <mergeCell ref="A444:E444"/>
    <mergeCell ref="A333:E333"/>
    <mergeCell ref="A334:E334"/>
    <mergeCell ref="A389:E389"/>
    <mergeCell ref="A390:E390"/>
    <mergeCell ref="B391:E391"/>
    <mergeCell ref="B335:E335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546" t="s">
        <v>1335</v>
      </c>
      <c r="B1" s="1546"/>
      <c r="C1" s="1546"/>
      <c r="D1" s="1546"/>
      <c r="E1" s="1546"/>
      <c r="F1" s="205"/>
      <c r="G1" s="205"/>
    </row>
    <row r="2" spans="1:7" ht="12.75">
      <c r="A2" s="1569" t="s">
        <v>989</v>
      </c>
      <c r="B2" s="1545"/>
      <c r="C2" s="1545"/>
      <c r="D2" s="1545"/>
      <c r="E2" s="1545"/>
      <c r="F2" s="40"/>
      <c r="G2" s="40"/>
    </row>
    <row r="3" spans="1:7" ht="12.75">
      <c r="A3" s="1569" t="s">
        <v>21</v>
      </c>
      <c r="B3" s="1570"/>
      <c r="C3" s="1570"/>
      <c r="D3" s="1570"/>
      <c r="E3" s="1570"/>
      <c r="F3" s="40"/>
      <c r="G3" s="40"/>
    </row>
    <row r="4" spans="1:7" ht="13.5" thickBot="1">
      <c r="A4" s="205"/>
      <c r="B4" s="710"/>
      <c r="C4" s="710"/>
      <c r="D4" s="710"/>
      <c r="E4" s="25" t="s">
        <v>16</v>
      </c>
      <c r="F4" s="25"/>
      <c r="G4" s="710"/>
    </row>
    <row r="5" spans="1:5" ht="36.75" customHeight="1" thickBot="1">
      <c r="A5" s="587" t="s">
        <v>801</v>
      </c>
      <c r="B5" s="960" t="s">
        <v>22</v>
      </c>
      <c r="C5" s="578" t="s">
        <v>23</v>
      </c>
      <c r="D5" s="202" t="s">
        <v>24</v>
      </c>
      <c r="E5" s="202" t="s">
        <v>858</v>
      </c>
    </row>
    <row r="6" spans="1:5" ht="12" customHeight="1">
      <c r="A6" s="963" t="s">
        <v>802</v>
      </c>
      <c r="B6" s="964" t="s">
        <v>803</v>
      </c>
      <c r="C6" s="992" t="s">
        <v>804</v>
      </c>
      <c r="D6" s="993" t="s">
        <v>805</v>
      </c>
      <c r="E6" s="1022" t="s">
        <v>825</v>
      </c>
    </row>
    <row r="7" spans="1:5" ht="12.75">
      <c r="A7" s="553" t="s">
        <v>806</v>
      </c>
      <c r="B7" s="560" t="s">
        <v>406</v>
      </c>
      <c r="C7" s="502"/>
      <c r="D7" s="190"/>
      <c r="E7" s="190"/>
    </row>
    <row r="8" spans="1:5" ht="12.75">
      <c r="A8" s="552" t="s">
        <v>807</v>
      </c>
      <c r="B8" s="247" t="s">
        <v>11</v>
      </c>
      <c r="C8" s="502">
        <v>38757</v>
      </c>
      <c r="D8" s="190">
        <f>161056+2947+4574-13595+520+1417</f>
        <v>156919</v>
      </c>
      <c r="E8" s="190">
        <v>15171</v>
      </c>
    </row>
    <row r="9" spans="1:5" ht="12.75">
      <c r="A9" s="552" t="s">
        <v>808</v>
      </c>
      <c r="B9" s="290" t="s">
        <v>12</v>
      </c>
      <c r="C9" s="502">
        <v>10387</v>
      </c>
      <c r="D9" s="190">
        <f>44144+777+1235-4558+140+382</f>
        <v>42120</v>
      </c>
      <c r="E9" s="190">
        <v>4104</v>
      </c>
    </row>
    <row r="10" spans="1:5" ht="12.75">
      <c r="A10" s="552" t="s">
        <v>809</v>
      </c>
      <c r="B10" s="290" t="s">
        <v>13</v>
      </c>
      <c r="C10" s="502">
        <f>4362+170</f>
        <v>4532</v>
      </c>
      <c r="D10" s="190">
        <f>84016+49044-20000</f>
        <v>113060</v>
      </c>
      <c r="E10" s="190">
        <v>907</v>
      </c>
    </row>
    <row r="11" spans="1:5" ht="12.75">
      <c r="A11" s="552" t="s">
        <v>810</v>
      </c>
      <c r="B11" s="290" t="s">
        <v>973</v>
      </c>
      <c r="C11" s="502"/>
      <c r="D11" s="190"/>
      <c r="E11" s="190"/>
    </row>
    <row r="12" spans="1:5" ht="12.75">
      <c r="A12" s="552" t="s">
        <v>811</v>
      </c>
      <c r="B12" s="290" t="s">
        <v>972</v>
      </c>
      <c r="C12" s="502"/>
      <c r="D12" s="190"/>
      <c r="E12" s="190"/>
    </row>
    <row r="13" spans="1:5" ht="12.75">
      <c r="A13" s="552" t="s">
        <v>812</v>
      </c>
      <c r="B13" s="290" t="s">
        <v>401</v>
      </c>
      <c r="C13" s="502">
        <f>C14+C15+C16+C17</f>
        <v>0</v>
      </c>
      <c r="D13" s="502">
        <f>D14+D15+D16+D17</f>
        <v>0</v>
      </c>
      <c r="E13" s="190">
        <f>E14+E15+E16+E17</f>
        <v>0</v>
      </c>
    </row>
    <row r="14" spans="1:5" ht="12.75">
      <c r="A14" s="552" t="s">
        <v>813</v>
      </c>
      <c r="B14" s="290" t="s">
        <v>395</v>
      </c>
      <c r="C14" s="502"/>
      <c r="D14" s="190"/>
      <c r="E14" s="190"/>
    </row>
    <row r="15" spans="1:5" s="20" customFormat="1" ht="12.75">
      <c r="A15" s="552" t="s">
        <v>814</v>
      </c>
      <c r="B15" s="561" t="s">
        <v>396</v>
      </c>
      <c r="C15" s="502"/>
      <c r="D15" s="190"/>
      <c r="E15" s="190"/>
    </row>
    <row r="16" spans="1:5" ht="12" customHeight="1">
      <c r="A16" s="552" t="s">
        <v>815</v>
      </c>
      <c r="B16" s="290" t="s">
        <v>397</v>
      </c>
      <c r="C16" s="502"/>
      <c r="D16" s="190"/>
      <c r="E16" s="190"/>
    </row>
    <row r="17" spans="1:5" ht="12.75">
      <c r="A17" s="552" t="s">
        <v>816</v>
      </c>
      <c r="B17" s="290" t="s">
        <v>398</v>
      </c>
      <c r="C17" s="339"/>
      <c r="D17" s="194"/>
      <c r="E17" s="190"/>
    </row>
    <row r="18" spans="1:5" ht="13.5" thickBot="1">
      <c r="A18" s="617" t="s">
        <v>817</v>
      </c>
      <c r="B18" s="292" t="s">
        <v>399</v>
      </c>
      <c r="C18" s="503"/>
      <c r="D18" s="195"/>
      <c r="E18" s="190"/>
    </row>
    <row r="19" spans="1:5" ht="15" customHeight="1" thickBot="1">
      <c r="A19" s="969" t="s">
        <v>818</v>
      </c>
      <c r="B19" s="970" t="s">
        <v>14</v>
      </c>
      <c r="C19" s="1004">
        <f>C8+C9+C10+C11+C13+C18</f>
        <v>53676</v>
      </c>
      <c r="D19" s="1004">
        <f>D8+D9+D10+D11+D13+D18</f>
        <v>312099</v>
      </c>
      <c r="E19" s="1005">
        <f>E8+E9+E10+E11+E13+E18</f>
        <v>20182</v>
      </c>
    </row>
    <row r="20" spans="1:5" ht="13.5" thickTop="1">
      <c r="A20" s="553" t="s">
        <v>819</v>
      </c>
      <c r="B20" s="562" t="s">
        <v>407</v>
      </c>
      <c r="C20" s="504"/>
      <c r="D20" s="193"/>
      <c r="E20" s="193"/>
    </row>
    <row r="21" spans="1:5" s="20" customFormat="1" ht="12.75">
      <c r="A21" s="552" t="s">
        <v>820</v>
      </c>
      <c r="B21" s="290" t="s">
        <v>974</v>
      </c>
      <c r="C21" s="502"/>
      <c r="D21" s="190">
        <f>'33_sz_ melléklet'!C31</f>
        <v>374</v>
      </c>
      <c r="E21" s="190"/>
    </row>
    <row r="22" spans="1:5" ht="12.75">
      <c r="A22" s="552" t="s">
        <v>821</v>
      </c>
      <c r="B22" s="290" t="s">
        <v>975</v>
      </c>
      <c r="C22" s="502"/>
      <c r="D22" s="190"/>
      <c r="E22" s="190"/>
    </row>
    <row r="23" spans="1:5" ht="12.75">
      <c r="A23" s="552" t="s">
        <v>822</v>
      </c>
      <c r="B23" s="290" t="s">
        <v>400</v>
      </c>
      <c r="C23" s="339">
        <f>C24+C25+C26</f>
        <v>0</v>
      </c>
      <c r="D23" s="339">
        <f>D24+D25+D26</f>
        <v>0</v>
      </c>
      <c r="E23" s="194">
        <f>E24+E25+E26</f>
        <v>0</v>
      </c>
    </row>
    <row r="24" spans="1:5" ht="12.75">
      <c r="A24" s="552" t="s">
        <v>823</v>
      </c>
      <c r="B24" s="290" t="s">
        <v>402</v>
      </c>
      <c r="C24" s="502"/>
      <c r="D24" s="190"/>
      <c r="E24" s="190"/>
    </row>
    <row r="25" spans="1:5" ht="12.75">
      <c r="A25" s="552" t="s">
        <v>824</v>
      </c>
      <c r="B25" s="290" t="s">
        <v>452</v>
      </c>
      <c r="C25" s="502"/>
      <c r="D25" s="190"/>
      <c r="E25" s="190"/>
    </row>
    <row r="26" spans="1:5" ht="12.75">
      <c r="A26" s="552" t="s">
        <v>826</v>
      </c>
      <c r="B26" s="290" t="s">
        <v>403</v>
      </c>
      <c r="C26" s="502"/>
      <c r="D26" s="190"/>
      <c r="E26" s="190"/>
    </row>
    <row r="27" spans="1:5" ht="12.75">
      <c r="A27" s="552" t="s">
        <v>827</v>
      </c>
      <c r="B27" s="290" t="s">
        <v>404</v>
      </c>
      <c r="C27" s="502"/>
      <c r="D27" s="190"/>
      <c r="E27" s="190"/>
    </row>
    <row r="28" spans="1:5" ht="13.5" thickBot="1">
      <c r="A28" s="617" t="s">
        <v>828</v>
      </c>
      <c r="B28" s="292" t="s">
        <v>405</v>
      </c>
      <c r="C28" s="505"/>
      <c r="D28" s="191"/>
      <c r="E28" s="1026"/>
    </row>
    <row r="29" spans="1:5" ht="13.5" thickBot="1">
      <c r="A29" s="969" t="s">
        <v>829</v>
      </c>
      <c r="B29" s="970" t="s">
        <v>15</v>
      </c>
      <c r="C29" s="1004">
        <f>C21+C22+C23+C27+C28</f>
        <v>0</v>
      </c>
      <c r="D29" s="1004">
        <f>D21+D22+D23+D27+D28</f>
        <v>374</v>
      </c>
      <c r="E29" s="1005">
        <f>E21+E22+E23+E27+E28</f>
        <v>0</v>
      </c>
    </row>
    <row r="30" spans="1:5" ht="24.75" customHeight="1" thickTop="1">
      <c r="A30" s="553" t="s">
        <v>830</v>
      </c>
      <c r="B30" s="918" t="s">
        <v>408</v>
      </c>
      <c r="C30" s="504"/>
      <c r="D30" s="193"/>
      <c r="E30" s="193"/>
    </row>
    <row r="31" spans="1:5" ht="12.75">
      <c r="A31" s="552" t="s">
        <v>831</v>
      </c>
      <c r="B31" s="563" t="s">
        <v>409</v>
      </c>
      <c r="C31" s="502"/>
      <c r="D31" s="190"/>
      <c r="E31" s="190"/>
    </row>
    <row r="32" spans="1:5" ht="15" customHeight="1">
      <c r="A32" s="552" t="s">
        <v>832</v>
      </c>
      <c r="B32" s="564" t="s">
        <v>410</v>
      </c>
      <c r="C32" s="339"/>
      <c r="D32" s="194"/>
      <c r="E32" s="190"/>
    </row>
    <row r="33" spans="1:5" ht="13.5" thickBot="1">
      <c r="A33" s="617" t="s">
        <v>833</v>
      </c>
      <c r="B33" s="565" t="s">
        <v>411</v>
      </c>
      <c r="C33" s="503"/>
      <c r="D33" s="195"/>
      <c r="E33" s="490"/>
    </row>
    <row r="34" spans="1:5" ht="26.25" thickBot="1">
      <c r="A34" s="969" t="s">
        <v>834</v>
      </c>
      <c r="B34" s="997" t="s">
        <v>412</v>
      </c>
      <c r="C34" s="995">
        <f>C31+C32+C33</f>
        <v>0</v>
      </c>
      <c r="D34" s="995">
        <f>D31+D32+D33</f>
        <v>0</v>
      </c>
      <c r="E34" s="996">
        <f>E31+E32+E33</f>
        <v>0</v>
      </c>
    </row>
    <row r="35" spans="1:5" ht="15" customHeight="1" thickTop="1">
      <c r="A35" s="553" t="s">
        <v>835</v>
      </c>
      <c r="B35" s="707" t="s">
        <v>413</v>
      </c>
      <c r="C35" s="504"/>
      <c r="D35" s="193"/>
      <c r="E35" s="193"/>
    </row>
    <row r="36" spans="1:5" ht="15" customHeight="1">
      <c r="A36" s="553" t="s">
        <v>836</v>
      </c>
      <c r="B36" s="291" t="s">
        <v>414</v>
      </c>
      <c r="C36" s="339"/>
      <c r="D36" s="194"/>
      <c r="E36" s="194"/>
    </row>
    <row r="37" spans="1:5" ht="12.75">
      <c r="A37" s="553" t="s">
        <v>837</v>
      </c>
      <c r="B37" s="291" t="s">
        <v>25</v>
      </c>
      <c r="C37" s="502"/>
      <c r="D37" s="190"/>
      <c r="E37" s="194"/>
    </row>
    <row r="38" spans="1:5" ht="12.75">
      <c r="A38" s="553" t="s">
        <v>838</v>
      </c>
      <c r="B38" s="155" t="s">
        <v>914</v>
      </c>
      <c r="C38" s="502"/>
      <c r="D38" s="190"/>
      <c r="E38" s="194"/>
    </row>
    <row r="39" spans="1:5" ht="13.5" thickBot="1">
      <c r="A39" s="952" t="s">
        <v>839</v>
      </c>
      <c r="B39" s="291" t="s">
        <v>416</v>
      </c>
      <c r="C39" s="503"/>
      <c r="D39" s="195"/>
      <c r="E39" s="194"/>
    </row>
    <row r="40" spans="1:5" ht="13.5" thickBot="1">
      <c r="A40" s="969" t="s">
        <v>840</v>
      </c>
      <c r="B40" s="977" t="s">
        <v>419</v>
      </c>
      <c r="C40" s="995">
        <f>C36+C37+C38+C39</f>
        <v>0</v>
      </c>
      <c r="D40" s="995">
        <f>D36+D37+D38+D39</f>
        <v>0</v>
      </c>
      <c r="E40" s="996">
        <f>E36+E37+E38+E39</f>
        <v>0</v>
      </c>
    </row>
    <row r="41" spans="1:5" ht="27" thickBot="1" thickTop="1">
      <c r="A41" s="1007" t="s">
        <v>841</v>
      </c>
      <c r="B41" s="991" t="s">
        <v>415</v>
      </c>
      <c r="C41" s="999">
        <f>C40+C34+C29+C19</f>
        <v>53676</v>
      </c>
      <c r="D41" s="999">
        <f>D40+D34+D29+D19</f>
        <v>312473</v>
      </c>
      <c r="E41" s="1000">
        <f>E40+E34+E29+E19</f>
        <v>20182</v>
      </c>
    </row>
    <row r="42" spans="1:5" s="20" customFormat="1" ht="13.5" thickTop="1">
      <c r="A42" s="553" t="s">
        <v>842</v>
      </c>
      <c r="B42" s="958" t="s">
        <v>976</v>
      </c>
      <c r="C42" s="998"/>
      <c r="D42" s="193"/>
      <c r="E42" s="193"/>
    </row>
    <row r="43" spans="1:5" ht="13.5" customHeight="1">
      <c r="A43" s="552" t="s">
        <v>843</v>
      </c>
      <c r="B43" s="566" t="s">
        <v>417</v>
      </c>
      <c r="C43" s="507"/>
      <c r="D43" s="190"/>
      <c r="E43" s="190"/>
    </row>
    <row r="44" spans="1:5" ht="13.5" thickBot="1">
      <c r="A44" s="617" t="s">
        <v>844</v>
      </c>
      <c r="B44" s="962" t="s">
        <v>418</v>
      </c>
      <c r="C44" s="503"/>
      <c r="D44" s="195"/>
      <c r="E44" s="490"/>
    </row>
    <row r="45" spans="1:5" ht="12.75" customHeight="1" thickBot="1">
      <c r="A45" s="969" t="s">
        <v>845</v>
      </c>
      <c r="B45" s="982" t="s">
        <v>979</v>
      </c>
      <c r="C45" s="995">
        <f>C43+C44</f>
        <v>0</v>
      </c>
      <c r="D45" s="995">
        <f>D43+D44</f>
        <v>0</v>
      </c>
      <c r="E45" s="996">
        <f>E43+E44</f>
        <v>0</v>
      </c>
    </row>
    <row r="46" spans="1:5" ht="13.5" thickTop="1">
      <c r="A46" s="553" t="s">
        <v>846</v>
      </c>
      <c r="B46" s="1001" t="s">
        <v>977</v>
      </c>
      <c r="C46" s="506"/>
      <c r="D46" s="196"/>
      <c r="E46" s="196"/>
    </row>
    <row r="47" spans="1:5" ht="12.75">
      <c r="A47" s="553" t="s">
        <v>847</v>
      </c>
      <c r="B47" s="959" t="s">
        <v>417</v>
      </c>
      <c r="C47" s="506"/>
      <c r="D47" s="196"/>
      <c r="E47" s="196"/>
    </row>
    <row r="48" spans="1:5" ht="13.5" thickBot="1">
      <c r="A48" s="617" t="s">
        <v>848</v>
      </c>
      <c r="B48" s="567" t="s">
        <v>418</v>
      </c>
      <c r="C48" s="503"/>
      <c r="D48" s="195"/>
      <c r="E48" s="195"/>
    </row>
    <row r="49" spans="1:5" ht="13.5" thickBot="1">
      <c r="A49" s="969" t="s">
        <v>849</v>
      </c>
      <c r="B49" s="1003" t="s">
        <v>942</v>
      </c>
      <c r="C49" s="1004">
        <f>C47+C48</f>
        <v>0</v>
      </c>
      <c r="D49" s="1004">
        <f>D47+D48</f>
        <v>0</v>
      </c>
      <c r="E49" s="1005">
        <f>E47+E48</f>
        <v>0</v>
      </c>
    </row>
    <row r="50" spans="1:5" ht="27" customHeight="1" thickBot="1" thickTop="1">
      <c r="A50" s="553" t="s">
        <v>869</v>
      </c>
      <c r="B50" s="985" t="s">
        <v>978</v>
      </c>
      <c r="C50" s="1002"/>
      <c r="D50" s="510"/>
      <c r="E50" s="510"/>
    </row>
    <row r="51" spans="1:5" ht="12.75">
      <c r="A51" s="552" t="s">
        <v>870</v>
      </c>
      <c r="B51" s="568" t="s">
        <v>420</v>
      </c>
      <c r="C51" s="366"/>
      <c r="D51" s="367"/>
      <c r="E51" s="367"/>
    </row>
    <row r="52" spans="1:5" ht="13.5" thickBot="1">
      <c r="A52" s="617" t="s">
        <v>871</v>
      </c>
      <c r="B52" s="569" t="s">
        <v>421</v>
      </c>
      <c r="C52" s="961"/>
      <c r="D52" s="191"/>
      <c r="E52" s="191"/>
    </row>
    <row r="53" spans="1:5" ht="15.75" customHeight="1" thickBot="1">
      <c r="A53" s="969" t="s">
        <v>872</v>
      </c>
      <c r="B53" s="1006" t="s">
        <v>943</v>
      </c>
      <c r="C53" s="1004">
        <f>C51+C52</f>
        <v>0</v>
      </c>
      <c r="D53" s="1004">
        <f>D51+D52</f>
        <v>0</v>
      </c>
      <c r="E53" s="1005">
        <f>E51+E52</f>
        <v>0</v>
      </c>
    </row>
    <row r="54" spans="1:5" ht="20.25" customHeight="1" thickBot="1" thickTop="1">
      <c r="A54" s="1037" t="s">
        <v>873</v>
      </c>
      <c r="B54" s="1038" t="s">
        <v>982</v>
      </c>
      <c r="C54" s="1039">
        <f>C41+C45+C49+C53</f>
        <v>53676</v>
      </c>
      <c r="D54" s="1039">
        <f>D41+D45+D49+D53</f>
        <v>312473</v>
      </c>
      <c r="E54" s="1028">
        <f>E41+E45+E49+E53</f>
        <v>20182</v>
      </c>
    </row>
    <row r="55" spans="1:5" ht="9" customHeight="1">
      <c r="A55" s="580"/>
      <c r="B55" s="1027"/>
      <c r="C55" s="49"/>
      <c r="D55" s="49"/>
      <c r="E55" s="49"/>
    </row>
    <row r="56" spans="1:5" ht="13.5" customHeight="1">
      <c r="A56" s="1545">
        <v>2</v>
      </c>
      <c r="B56" s="1545"/>
      <c r="C56" s="1545"/>
      <c r="D56" s="1545"/>
      <c r="E56" s="1545"/>
    </row>
    <row r="57" spans="1:5" ht="12.75">
      <c r="A57" s="1546" t="s">
        <v>1335</v>
      </c>
      <c r="B57" s="1546"/>
      <c r="C57" s="1546"/>
      <c r="D57" s="1546"/>
      <c r="E57" s="1546"/>
    </row>
    <row r="58" spans="1:5" ht="12.75">
      <c r="A58" s="1569" t="s">
        <v>989</v>
      </c>
      <c r="B58" s="1545"/>
      <c r="C58" s="1545"/>
      <c r="D58" s="1545"/>
      <c r="E58" s="1545"/>
    </row>
    <row r="59" spans="1:5" ht="12.75">
      <c r="A59" s="1569" t="s">
        <v>21</v>
      </c>
      <c r="B59" s="1570"/>
      <c r="C59" s="1570"/>
      <c r="D59" s="1570"/>
      <c r="E59" s="1570"/>
    </row>
    <row r="60" spans="1:5" ht="13.5" thickBot="1">
      <c r="A60" s="205"/>
      <c r="B60" s="710"/>
      <c r="C60" s="710"/>
      <c r="D60" s="710"/>
      <c r="E60" s="25" t="s">
        <v>16</v>
      </c>
    </row>
    <row r="61" spans="1:5" ht="27" thickBot="1">
      <c r="A61" s="587" t="s">
        <v>801</v>
      </c>
      <c r="B61" s="960" t="s">
        <v>22</v>
      </c>
      <c r="C61" s="1025" t="s">
        <v>26</v>
      </c>
      <c r="D61" s="578" t="s">
        <v>1023</v>
      </c>
      <c r="E61" s="667" t="s">
        <v>1386</v>
      </c>
    </row>
    <row r="62" spans="1:5" ht="12.75">
      <c r="A62" s="963" t="s">
        <v>802</v>
      </c>
      <c r="B62" s="964" t="s">
        <v>803</v>
      </c>
      <c r="C62" s="992" t="s">
        <v>804</v>
      </c>
      <c r="D62" s="1016" t="s">
        <v>805</v>
      </c>
      <c r="E62" s="1022" t="s">
        <v>825</v>
      </c>
    </row>
    <row r="63" spans="1:5" ht="14.25" customHeight="1">
      <c r="A63" s="553" t="s">
        <v>806</v>
      </c>
      <c r="B63" s="560" t="s">
        <v>406</v>
      </c>
      <c r="C63" s="502"/>
      <c r="D63" s="190"/>
      <c r="E63" s="190"/>
    </row>
    <row r="64" spans="1:5" ht="12" customHeight="1">
      <c r="A64" s="552" t="s">
        <v>807</v>
      </c>
      <c r="B64" s="247" t="s">
        <v>11</v>
      </c>
      <c r="C64" s="502">
        <f>18403</f>
        <v>18403</v>
      </c>
      <c r="D64" s="190">
        <f>395+3399</f>
        <v>3794</v>
      </c>
      <c r="E64" s="190"/>
    </row>
    <row r="65" spans="1:5" ht="12.75">
      <c r="A65" s="552" t="s">
        <v>808</v>
      </c>
      <c r="B65" s="290" t="s">
        <v>12</v>
      </c>
      <c r="C65" s="502">
        <f>5122</f>
        <v>5122</v>
      </c>
      <c r="D65" s="190">
        <f>202+912</f>
        <v>1114</v>
      </c>
      <c r="E65" s="190">
        <v>17194</v>
      </c>
    </row>
    <row r="66" spans="1:5" ht="12.75">
      <c r="A66" s="552" t="s">
        <v>809</v>
      </c>
      <c r="B66" s="290" t="s">
        <v>13</v>
      </c>
      <c r="C66" s="502">
        <v>808</v>
      </c>
      <c r="D66" s="190">
        <f>303</f>
        <v>303</v>
      </c>
      <c r="E66" s="190">
        <f>480+130</f>
        <v>610</v>
      </c>
    </row>
    <row r="67" spans="1:5" ht="12.75">
      <c r="A67" s="552" t="s">
        <v>810</v>
      </c>
      <c r="B67" s="290" t="s">
        <v>973</v>
      </c>
      <c r="C67" s="502"/>
      <c r="D67" s="190"/>
      <c r="E67" s="190"/>
    </row>
    <row r="68" spans="1:5" ht="12.75">
      <c r="A68" s="552" t="s">
        <v>811</v>
      </c>
      <c r="B68" s="290" t="s">
        <v>972</v>
      </c>
      <c r="C68" s="502"/>
      <c r="D68" s="190"/>
      <c r="E68" s="190"/>
    </row>
    <row r="69" spans="1:5" ht="12.75">
      <c r="A69" s="552" t="s">
        <v>812</v>
      </c>
      <c r="B69" s="290" t="s">
        <v>401</v>
      </c>
      <c r="C69" s="502">
        <f>C70+C71+C72+C73</f>
        <v>0</v>
      </c>
      <c r="D69" s="190">
        <f>D70+D71+D72+D73</f>
        <v>0</v>
      </c>
      <c r="E69" s="190">
        <f>E70+E71+E72+E73</f>
        <v>253114</v>
      </c>
    </row>
    <row r="70" spans="1:5" ht="12.75">
      <c r="A70" s="552" t="s">
        <v>813</v>
      </c>
      <c r="B70" s="290" t="s">
        <v>395</v>
      </c>
      <c r="C70" s="502"/>
      <c r="D70" s="190"/>
      <c r="E70" s="190"/>
    </row>
    <row r="71" spans="1:5" ht="12.75">
      <c r="A71" s="552" t="s">
        <v>814</v>
      </c>
      <c r="B71" s="561" t="s">
        <v>396</v>
      </c>
      <c r="C71" s="502"/>
      <c r="D71" s="190"/>
      <c r="E71" s="190"/>
    </row>
    <row r="72" spans="1:5" ht="12.75">
      <c r="A72" s="552" t="s">
        <v>815</v>
      </c>
      <c r="B72" s="290" t="s">
        <v>397</v>
      </c>
      <c r="C72" s="502"/>
      <c r="D72" s="190"/>
      <c r="E72" s="190">
        <f>' 8 10 sz. melléklet'!D32</f>
        <v>253114</v>
      </c>
    </row>
    <row r="73" spans="1:5" s="20" customFormat="1" ht="12.75">
      <c r="A73" s="552" t="s">
        <v>816</v>
      </c>
      <c r="B73" s="290" t="s">
        <v>398</v>
      </c>
      <c r="C73" s="339"/>
      <c r="D73" s="194"/>
      <c r="E73" s="190"/>
    </row>
    <row r="74" spans="1:5" ht="13.5" thickBot="1">
      <c r="A74" s="617" t="s">
        <v>817</v>
      </c>
      <c r="B74" s="292" t="s">
        <v>399</v>
      </c>
      <c r="C74" s="503"/>
      <c r="D74" s="490"/>
      <c r="E74" s="190"/>
    </row>
    <row r="75" spans="1:5" ht="13.5" thickBot="1">
      <c r="A75" s="969" t="s">
        <v>818</v>
      </c>
      <c r="B75" s="970" t="s">
        <v>14</v>
      </c>
      <c r="C75" s="1004">
        <f>C64+C65+C66+C67+C74</f>
        <v>24333</v>
      </c>
      <c r="D75" s="1004">
        <f>D64+D65+D66+D67+D74</f>
        <v>5211</v>
      </c>
      <c r="E75" s="1005">
        <f>E64+E65+E66+E67+E69+E74</f>
        <v>270918</v>
      </c>
    </row>
    <row r="76" spans="1:5" ht="13.5" thickTop="1">
      <c r="A76" s="553" t="s">
        <v>819</v>
      </c>
      <c r="B76" s="562" t="s">
        <v>407</v>
      </c>
      <c r="C76" s="504"/>
      <c r="D76" s="193"/>
      <c r="E76" s="193"/>
    </row>
    <row r="77" spans="1:5" ht="12.75" customHeight="1">
      <c r="A77" s="552" t="s">
        <v>820</v>
      </c>
      <c r="B77" s="290" t="s">
        <v>974</v>
      </c>
      <c r="C77" s="502"/>
      <c r="D77" s="190"/>
      <c r="E77" s="190">
        <v>0</v>
      </c>
    </row>
    <row r="78" spans="1:5" ht="12.75">
      <c r="A78" s="552" t="s">
        <v>821</v>
      </c>
      <c r="B78" s="290" t="s">
        <v>975</v>
      </c>
      <c r="C78" s="502"/>
      <c r="D78" s="190"/>
      <c r="E78" s="190">
        <v>0</v>
      </c>
    </row>
    <row r="79" spans="1:5" ht="12.75">
      <c r="A79" s="552" t="s">
        <v>822</v>
      </c>
      <c r="B79" s="290" t="s">
        <v>400</v>
      </c>
      <c r="C79" s="339">
        <f>C80+C81+C82</f>
        <v>0</v>
      </c>
      <c r="D79" s="339">
        <f>D80+D81+D82</f>
        <v>0</v>
      </c>
      <c r="E79" s="194">
        <f>E80+E81+E82</f>
        <v>0</v>
      </c>
    </row>
    <row r="80" spans="1:5" ht="12.75">
      <c r="A80" s="552" t="s">
        <v>823</v>
      </c>
      <c r="B80" s="290" t="s">
        <v>402</v>
      </c>
      <c r="C80" s="502"/>
      <c r="D80" s="190"/>
      <c r="E80" s="190">
        <v>0</v>
      </c>
    </row>
    <row r="81" spans="1:5" s="20" customFormat="1" ht="12.75">
      <c r="A81" s="552" t="s">
        <v>824</v>
      </c>
      <c r="B81" s="290" t="s">
        <v>452</v>
      </c>
      <c r="C81" s="502"/>
      <c r="D81" s="190"/>
      <c r="E81" s="190">
        <v>0</v>
      </c>
    </row>
    <row r="82" spans="1:5" ht="11.25" customHeight="1">
      <c r="A82" s="552" t="s">
        <v>826</v>
      </c>
      <c r="B82" s="290" t="s">
        <v>403</v>
      </c>
      <c r="C82" s="502"/>
      <c r="D82" s="190"/>
      <c r="E82" s="190">
        <v>0</v>
      </c>
    </row>
    <row r="83" spans="1:5" ht="12.75">
      <c r="A83" s="552" t="s">
        <v>827</v>
      </c>
      <c r="B83" s="290" t="s">
        <v>404</v>
      </c>
      <c r="C83" s="502"/>
      <c r="D83" s="190"/>
      <c r="E83" s="190">
        <v>0</v>
      </c>
    </row>
    <row r="84" spans="1:5" ht="13.5" thickBot="1">
      <c r="A84" s="617" t="s">
        <v>828</v>
      </c>
      <c r="B84" s="292" t="s">
        <v>405</v>
      </c>
      <c r="C84" s="505">
        <f>-C67</f>
        <v>0</v>
      </c>
      <c r="D84" s="505">
        <f>-D67</f>
        <v>0</v>
      </c>
      <c r="E84" s="1026">
        <f>-E67</f>
        <v>0</v>
      </c>
    </row>
    <row r="85" spans="1:5" ht="13.5" thickBot="1">
      <c r="A85" s="969" t="s">
        <v>829</v>
      </c>
      <c r="B85" s="970" t="s">
        <v>15</v>
      </c>
      <c r="C85" s="995">
        <f>C77+C78+C79+C83+C84</f>
        <v>0</v>
      </c>
      <c r="D85" s="995">
        <f>D77+D78+D79+D83+D84</f>
        <v>0</v>
      </c>
      <c r="E85" s="996">
        <f>E77+E78+E79+E83+E84</f>
        <v>0</v>
      </c>
    </row>
    <row r="86" spans="1:5" s="20" customFormat="1" ht="26.25" thickTop="1">
      <c r="A86" s="553" t="s">
        <v>830</v>
      </c>
      <c r="B86" s="918" t="s">
        <v>408</v>
      </c>
      <c r="C86" s="504"/>
      <c r="D86" s="193"/>
      <c r="E86" s="193"/>
    </row>
    <row r="87" spans="1:5" ht="12.75">
      <c r="A87" s="552" t="s">
        <v>831</v>
      </c>
      <c r="B87" s="563" t="s">
        <v>409</v>
      </c>
      <c r="C87" s="502"/>
      <c r="D87" s="190"/>
      <c r="E87" s="190"/>
    </row>
    <row r="88" spans="1:5" ht="13.5" customHeight="1">
      <c r="A88" s="552" t="s">
        <v>832</v>
      </c>
      <c r="B88" s="564" t="s">
        <v>410</v>
      </c>
      <c r="C88" s="339"/>
      <c r="D88" s="194"/>
      <c r="E88" s="190"/>
    </row>
    <row r="89" spans="1:5" ht="13.5" thickBot="1">
      <c r="A89" s="617" t="s">
        <v>833</v>
      </c>
      <c r="B89" s="565" t="s">
        <v>411</v>
      </c>
      <c r="C89" s="503"/>
      <c r="D89" s="195"/>
      <c r="E89" s="190"/>
    </row>
    <row r="90" spans="1:5" ht="26.25" thickBot="1">
      <c r="A90" s="969" t="s">
        <v>834</v>
      </c>
      <c r="B90" s="997" t="s">
        <v>412</v>
      </c>
      <c r="C90" s="995">
        <f>C87+C88+C89</f>
        <v>0</v>
      </c>
      <c r="D90" s="995">
        <f>D87+D88+D89</f>
        <v>0</v>
      </c>
      <c r="E90" s="996">
        <f>E87+E88+E89</f>
        <v>0</v>
      </c>
    </row>
    <row r="91" spans="1:5" s="20" customFormat="1" ht="13.5" thickTop="1">
      <c r="A91" s="553" t="s">
        <v>835</v>
      </c>
      <c r="B91" s="707" t="s">
        <v>413</v>
      </c>
      <c r="C91" s="504"/>
      <c r="D91" s="193"/>
      <c r="E91" s="193"/>
    </row>
    <row r="92" spans="1:5" ht="13.5" customHeight="1">
      <c r="A92" s="553" t="s">
        <v>836</v>
      </c>
      <c r="B92" s="291" t="s">
        <v>414</v>
      </c>
      <c r="C92" s="339"/>
      <c r="D92" s="194"/>
      <c r="E92" s="190"/>
    </row>
    <row r="93" spans="1:5" ht="15" customHeight="1">
      <c r="A93" s="553" t="s">
        <v>837</v>
      </c>
      <c r="B93" s="291" t="s">
        <v>25</v>
      </c>
      <c r="C93" s="502"/>
      <c r="D93" s="190"/>
      <c r="E93" s="190"/>
    </row>
    <row r="94" spans="1:5" ht="15" customHeight="1">
      <c r="A94" s="553" t="s">
        <v>838</v>
      </c>
      <c r="B94" s="155" t="s">
        <v>914</v>
      </c>
      <c r="C94" s="502"/>
      <c r="D94" s="190"/>
      <c r="E94" s="190"/>
    </row>
    <row r="95" spans="1:5" s="20" customFormat="1" ht="13.5" thickBot="1">
      <c r="A95" s="952" t="s">
        <v>839</v>
      </c>
      <c r="B95" s="291" t="s">
        <v>416</v>
      </c>
      <c r="C95" s="503"/>
      <c r="D95" s="195"/>
      <c r="E95" s="190"/>
    </row>
    <row r="96" spans="1:5" ht="17.25" customHeight="1" thickBot="1">
      <c r="A96" s="969" t="s">
        <v>840</v>
      </c>
      <c r="B96" s="977" t="s">
        <v>419</v>
      </c>
      <c r="C96" s="995">
        <f>C92+C93+C94+C95</f>
        <v>0</v>
      </c>
      <c r="D96" s="995">
        <f>D92+D93+D94+D95</f>
        <v>0</v>
      </c>
      <c r="E96" s="996">
        <f>E92+E93+E94+E95</f>
        <v>0</v>
      </c>
    </row>
    <row r="97" spans="1:5" ht="27" thickBot="1" thickTop="1">
      <c r="A97" s="1007" t="s">
        <v>841</v>
      </c>
      <c r="B97" s="991" t="s">
        <v>415</v>
      </c>
      <c r="C97" s="999">
        <f>C75+C85+C90+C96</f>
        <v>24333</v>
      </c>
      <c r="D97" s="999">
        <f>D75+D85+D90+D96</f>
        <v>5211</v>
      </c>
      <c r="E97" s="1000">
        <f>E75+E85+E90+E96</f>
        <v>270918</v>
      </c>
    </row>
    <row r="98" spans="1:5" ht="13.5" thickTop="1">
      <c r="A98" s="553" t="s">
        <v>842</v>
      </c>
      <c r="B98" s="958" t="s">
        <v>976</v>
      </c>
      <c r="C98" s="998"/>
      <c r="D98" s="193"/>
      <c r="E98" s="193"/>
    </row>
    <row r="99" spans="1:5" s="20" customFormat="1" ht="12.75">
      <c r="A99" s="552" t="s">
        <v>843</v>
      </c>
      <c r="B99" s="566" t="s">
        <v>417</v>
      </c>
      <c r="C99" s="507"/>
      <c r="D99" s="190"/>
      <c r="E99" s="190"/>
    </row>
    <row r="100" spans="1:5" ht="13.5" thickBot="1">
      <c r="A100" s="617" t="s">
        <v>844</v>
      </c>
      <c r="B100" s="962" t="s">
        <v>418</v>
      </c>
      <c r="C100" s="503"/>
      <c r="D100" s="195"/>
      <c r="E100" s="190"/>
    </row>
    <row r="101" spans="1:5" ht="14.25" customHeight="1" thickBot="1">
      <c r="A101" s="969" t="s">
        <v>845</v>
      </c>
      <c r="B101" s="982" t="s">
        <v>979</v>
      </c>
      <c r="C101" s="995">
        <f>C99+C100</f>
        <v>0</v>
      </c>
      <c r="D101" s="995">
        <f>D99+D100</f>
        <v>0</v>
      </c>
      <c r="E101" s="996">
        <f>E99+E100</f>
        <v>0</v>
      </c>
    </row>
    <row r="102" spans="1:5" s="20" customFormat="1" ht="13.5" thickTop="1">
      <c r="A102" s="553" t="s">
        <v>846</v>
      </c>
      <c r="B102" s="1001" t="s">
        <v>977</v>
      </c>
      <c r="C102" s="506"/>
      <c r="D102" s="196"/>
      <c r="E102" s="196"/>
    </row>
    <row r="103" spans="1:5" ht="12" customHeight="1">
      <c r="A103" s="553" t="s">
        <v>847</v>
      </c>
      <c r="B103" s="959" t="s">
        <v>417</v>
      </c>
      <c r="C103" s="506"/>
      <c r="D103" s="196"/>
      <c r="E103" s="190"/>
    </row>
    <row r="104" spans="1:5" ht="13.5" thickBot="1">
      <c r="A104" s="617" t="s">
        <v>848</v>
      </c>
      <c r="B104" s="567" t="s">
        <v>418</v>
      </c>
      <c r="C104" s="503"/>
      <c r="D104" s="195"/>
      <c r="E104" s="190"/>
    </row>
    <row r="105" spans="1:5" ht="13.5" thickBot="1">
      <c r="A105" s="969" t="s">
        <v>849</v>
      </c>
      <c r="B105" s="1003" t="s">
        <v>942</v>
      </c>
      <c r="C105" s="1004">
        <f>C103+C104</f>
        <v>0</v>
      </c>
      <c r="D105" s="1004">
        <f>D103+D104</f>
        <v>0</v>
      </c>
      <c r="E105" s="1005">
        <f>E103+E104</f>
        <v>0</v>
      </c>
    </row>
    <row r="106" spans="1:5" ht="23.25" thickBot="1" thickTop="1">
      <c r="A106" s="553" t="s">
        <v>869</v>
      </c>
      <c r="B106" s="985" t="s">
        <v>978</v>
      </c>
      <c r="C106" s="1002"/>
      <c r="D106" s="510"/>
      <c r="E106" s="510"/>
    </row>
    <row r="107" spans="1:5" ht="12.75">
      <c r="A107" s="552" t="s">
        <v>870</v>
      </c>
      <c r="B107" s="568" t="s">
        <v>420</v>
      </c>
      <c r="C107" s="366"/>
      <c r="D107" s="367"/>
      <c r="E107" s="190"/>
    </row>
    <row r="108" spans="1:5" ht="15" customHeight="1" thickBot="1">
      <c r="A108" s="617" t="s">
        <v>871</v>
      </c>
      <c r="B108" s="569" t="s">
        <v>421</v>
      </c>
      <c r="C108" s="961"/>
      <c r="D108" s="191"/>
      <c r="E108" s="190"/>
    </row>
    <row r="109" spans="1:5" ht="13.5" thickBot="1">
      <c r="A109" s="969" t="s">
        <v>872</v>
      </c>
      <c r="B109" s="1006" t="s">
        <v>943</v>
      </c>
      <c r="C109" s="1004">
        <f>C107+C108</f>
        <v>0</v>
      </c>
      <c r="D109" s="1004">
        <f>D107+D108</f>
        <v>0</v>
      </c>
      <c r="E109" s="1005">
        <f>E107+E108</f>
        <v>0</v>
      </c>
    </row>
    <row r="110" spans="1:5" ht="21.75" customHeight="1" thickBot="1" thickTop="1">
      <c r="A110" s="987" t="s">
        <v>873</v>
      </c>
      <c r="B110" s="988" t="s">
        <v>982</v>
      </c>
      <c r="C110" s="999">
        <f>C97+C101+C105+C109</f>
        <v>24333</v>
      </c>
      <c r="D110" s="999">
        <f>D97+D101+D105+D109</f>
        <v>5211</v>
      </c>
      <c r="E110" s="1028">
        <f>E97+E101+E105+E109</f>
        <v>270918</v>
      </c>
    </row>
    <row r="111" spans="1:5" ht="13.5" thickTop="1">
      <c r="A111" s="1545">
        <v>3</v>
      </c>
      <c r="B111" s="1545"/>
      <c r="C111" s="1545"/>
      <c r="D111" s="1545"/>
      <c r="E111" s="1545"/>
    </row>
    <row r="112" spans="1:5" ht="12.75">
      <c r="A112" s="1546" t="s">
        <v>1335</v>
      </c>
      <c r="B112" s="1546"/>
      <c r="C112" s="1546"/>
      <c r="D112" s="1546"/>
      <c r="E112" s="1546"/>
    </row>
    <row r="113" spans="1:5" ht="16.5" customHeight="1">
      <c r="A113" s="1569" t="s">
        <v>989</v>
      </c>
      <c r="B113" s="1545"/>
      <c r="C113" s="1545"/>
      <c r="D113" s="1545"/>
      <c r="E113" s="1545"/>
    </row>
    <row r="114" spans="1:5" ht="18" customHeight="1">
      <c r="A114" s="1569" t="s">
        <v>21</v>
      </c>
      <c r="B114" s="1570"/>
      <c r="C114" s="1570"/>
      <c r="D114" s="1570"/>
      <c r="E114" s="1570"/>
    </row>
    <row r="115" spans="1:5" ht="12" customHeight="1" thickBot="1">
      <c r="A115" s="205"/>
      <c r="B115" s="710"/>
      <c r="C115" s="710"/>
      <c r="D115" s="710"/>
      <c r="E115" s="25" t="s">
        <v>16</v>
      </c>
    </row>
    <row r="116" spans="1:5" ht="27" thickBot="1">
      <c r="A116" s="587" t="s">
        <v>801</v>
      </c>
      <c r="B116" s="960" t="s">
        <v>22</v>
      </c>
      <c r="C116" s="667" t="s">
        <v>1432</v>
      </c>
      <c r="D116" s="578" t="s">
        <v>674</v>
      </c>
      <c r="E116" s="667"/>
    </row>
    <row r="117" spans="1:5" ht="12.75">
      <c r="A117" s="963" t="s">
        <v>802</v>
      </c>
      <c r="B117" s="964" t="s">
        <v>803</v>
      </c>
      <c r="C117" s="992" t="s">
        <v>804</v>
      </c>
      <c r="D117" s="1016" t="s">
        <v>805</v>
      </c>
      <c r="E117" s="1022" t="s">
        <v>825</v>
      </c>
    </row>
    <row r="118" spans="1:5" ht="12.75">
      <c r="A118" s="553" t="s">
        <v>806</v>
      </c>
      <c r="B118" s="560" t="s">
        <v>406</v>
      </c>
      <c r="C118" s="502"/>
      <c r="D118" s="190"/>
      <c r="E118" s="190"/>
    </row>
    <row r="119" spans="1:5" ht="12.75">
      <c r="A119" s="552" t="s">
        <v>807</v>
      </c>
      <c r="B119" s="247" t="s">
        <v>11</v>
      </c>
      <c r="C119" s="502"/>
      <c r="D119" s="190">
        <f>C8+D8+E8+C64+D64+E64+C119</f>
        <v>233044</v>
      </c>
      <c r="E119" s="190"/>
    </row>
    <row r="120" spans="1:5" ht="12" customHeight="1">
      <c r="A120" s="552" t="s">
        <v>808</v>
      </c>
      <c r="B120" s="290" t="s">
        <v>12</v>
      </c>
      <c r="C120" s="502"/>
      <c r="D120" s="190">
        <f>C9+D9+E9+C65+D65+E65+C120</f>
        <v>80041</v>
      </c>
      <c r="E120" s="190"/>
    </row>
    <row r="121" spans="1:5" ht="12" customHeight="1">
      <c r="A121" s="552" t="s">
        <v>809</v>
      </c>
      <c r="B121" s="290" t="s">
        <v>13</v>
      </c>
      <c r="C121" s="502">
        <v>300</v>
      </c>
      <c r="D121" s="190">
        <f>C10+D10+E10+C66+D66+E66+C121</f>
        <v>120520</v>
      </c>
      <c r="E121" s="190"/>
    </row>
    <row r="122" spans="1:5" ht="12.75">
      <c r="A122" s="552" t="s">
        <v>810</v>
      </c>
      <c r="B122" s="290" t="s">
        <v>973</v>
      </c>
      <c r="C122" s="502"/>
      <c r="D122" s="190">
        <f>C11+D11+E11+C67+D67+E67+C122</f>
        <v>0</v>
      </c>
      <c r="E122" s="190"/>
    </row>
    <row r="123" spans="1:5" ht="12.75">
      <c r="A123" s="552" t="s">
        <v>811</v>
      </c>
      <c r="B123" s="290" t="s">
        <v>972</v>
      </c>
      <c r="C123" s="502"/>
      <c r="D123" s="190">
        <f>C12+D12+E12+C68+D68+E68+C123</f>
        <v>0</v>
      </c>
      <c r="E123" s="190"/>
    </row>
    <row r="124" spans="1:5" ht="12.75">
      <c r="A124" s="552" t="s">
        <v>812</v>
      </c>
      <c r="B124" s="290" t="s">
        <v>401</v>
      </c>
      <c r="C124" s="502">
        <f>C125+C126+C127+C128</f>
        <v>0</v>
      </c>
      <c r="D124" s="502">
        <f>D125+D126+D127+D128</f>
        <v>253114</v>
      </c>
      <c r="E124" s="190"/>
    </row>
    <row r="125" spans="1:5" ht="12.75">
      <c r="A125" s="552" t="s">
        <v>813</v>
      </c>
      <c r="B125" s="290" t="s">
        <v>395</v>
      </c>
      <c r="C125" s="502"/>
      <c r="D125" s="190">
        <f>C14+D14+E14+C70+D70+E70+C125</f>
        <v>0</v>
      </c>
      <c r="E125" s="190"/>
    </row>
    <row r="126" spans="1:5" ht="12.75">
      <c r="A126" s="552" t="s">
        <v>814</v>
      </c>
      <c r="B126" s="561" t="s">
        <v>396</v>
      </c>
      <c r="C126" s="502"/>
      <c r="D126" s="190">
        <f>C15+D15+E15+C71+D71+E71+C126</f>
        <v>0</v>
      </c>
      <c r="E126" s="190"/>
    </row>
    <row r="127" spans="1:5" ht="12.75">
      <c r="A127" s="552" t="s">
        <v>815</v>
      </c>
      <c r="B127" s="290" t="s">
        <v>397</v>
      </c>
      <c r="C127" s="502"/>
      <c r="D127" s="190">
        <f>C16+D16+E16+C72+D72+E72+C127</f>
        <v>253114</v>
      </c>
      <c r="E127" s="190"/>
    </row>
    <row r="128" spans="1:5" ht="12.75">
      <c r="A128" s="552" t="s">
        <v>816</v>
      </c>
      <c r="B128" s="290" t="s">
        <v>398</v>
      </c>
      <c r="C128" s="502"/>
      <c r="D128" s="190">
        <f>C17+D17+E17+C73+D73+E73+C128</f>
        <v>0</v>
      </c>
      <c r="E128" s="190"/>
    </row>
    <row r="129" spans="1:5" ht="13.5" thickBot="1">
      <c r="A129" s="617" t="s">
        <v>817</v>
      </c>
      <c r="B129" s="292" t="s">
        <v>399</v>
      </c>
      <c r="C129" s="502"/>
      <c r="D129" s="190">
        <f>C18+D18+E18+C74+D74+E74+C129</f>
        <v>0</v>
      </c>
      <c r="E129" s="190"/>
    </row>
    <row r="130" spans="1:5" s="20" customFormat="1" ht="13.5" thickBot="1">
      <c r="A130" s="969" t="s">
        <v>818</v>
      </c>
      <c r="B130" s="970" t="s">
        <v>14</v>
      </c>
      <c r="C130" s="995">
        <f>C119+C120+C121+C122+C129+C124</f>
        <v>300</v>
      </c>
      <c r="D130" s="995">
        <f>D119+D120+D121+D122+D129+D124</f>
        <v>686719</v>
      </c>
      <c r="E130" s="996">
        <f>E119+E120+E121+E122+E129+E124</f>
        <v>0</v>
      </c>
    </row>
    <row r="131" spans="1:5" ht="13.5" thickTop="1">
      <c r="A131" s="553" t="s">
        <v>819</v>
      </c>
      <c r="B131" s="562" t="s">
        <v>407</v>
      </c>
      <c r="C131" s="504"/>
      <c r="D131" s="193"/>
      <c r="E131" s="193"/>
    </row>
    <row r="132" spans="1:5" ht="12.75">
      <c r="A132" s="552" t="s">
        <v>820</v>
      </c>
      <c r="B132" s="290" t="s">
        <v>974</v>
      </c>
      <c r="C132" s="502"/>
      <c r="D132" s="190">
        <f>C21+D21+E21+C77+D77+E77+C132</f>
        <v>374</v>
      </c>
      <c r="E132" s="190"/>
    </row>
    <row r="133" spans="1:5" ht="12.75">
      <c r="A133" s="552" t="s">
        <v>821</v>
      </c>
      <c r="B133" s="290" t="s">
        <v>975</v>
      </c>
      <c r="C133" s="502"/>
      <c r="D133" s="190">
        <f>C22+D22+E22+C78+D78+E78+C133</f>
        <v>0</v>
      </c>
      <c r="E133" s="190"/>
    </row>
    <row r="134" spans="1:5" ht="12" customHeight="1">
      <c r="A134" s="552" t="s">
        <v>822</v>
      </c>
      <c r="B134" s="290" t="s">
        <v>400</v>
      </c>
      <c r="C134" s="339">
        <f>C135+C136+C137</f>
        <v>0</v>
      </c>
      <c r="D134" s="339">
        <f>D135+D136+D137</f>
        <v>0</v>
      </c>
      <c r="E134" s="194">
        <f>E135+E136+E137</f>
        <v>0</v>
      </c>
    </row>
    <row r="135" spans="1:5" ht="12.75">
      <c r="A135" s="552" t="s">
        <v>823</v>
      </c>
      <c r="B135" s="290" t="s">
        <v>402</v>
      </c>
      <c r="C135" s="502"/>
      <c r="D135" s="190">
        <f>C24+D24+E24+C80+D80+E80+C135</f>
        <v>0</v>
      </c>
      <c r="E135" s="190"/>
    </row>
    <row r="136" spans="1:5" ht="12.75">
      <c r="A136" s="552" t="s">
        <v>824</v>
      </c>
      <c r="B136" s="290" t="s">
        <v>452</v>
      </c>
      <c r="C136" s="502"/>
      <c r="D136" s="190">
        <f>C25+D25+E25+C81+D81+E81+C136</f>
        <v>0</v>
      </c>
      <c r="E136" s="190"/>
    </row>
    <row r="137" spans="1:5" ht="12.75">
      <c r="A137" s="552" t="s">
        <v>826</v>
      </c>
      <c r="B137" s="290" t="s">
        <v>403</v>
      </c>
      <c r="C137" s="502"/>
      <c r="D137" s="190">
        <f>C26+D26+E26+C82+D82+E82+C137</f>
        <v>0</v>
      </c>
      <c r="E137" s="190"/>
    </row>
    <row r="138" spans="1:5" s="20" customFormat="1" ht="12.75">
      <c r="A138" s="552" t="s">
        <v>827</v>
      </c>
      <c r="B138" s="290" t="s">
        <v>404</v>
      </c>
      <c r="C138" s="502"/>
      <c r="D138" s="190">
        <f>C27+D27+E27+C83+D83+E83+C138</f>
        <v>0</v>
      </c>
      <c r="E138" s="190"/>
    </row>
    <row r="139" spans="1:5" ht="13.5" thickBot="1">
      <c r="A139" s="617" t="s">
        <v>828</v>
      </c>
      <c r="B139" s="292" t="s">
        <v>405</v>
      </c>
      <c r="C139" s="505">
        <f>-C122</f>
        <v>0</v>
      </c>
      <c r="D139" s="505">
        <f>-D122</f>
        <v>0</v>
      </c>
      <c r="E139" s="191">
        <f>-E122</f>
        <v>0</v>
      </c>
    </row>
    <row r="140" spans="1:5" ht="13.5" thickBot="1">
      <c r="A140" s="969" t="s">
        <v>829</v>
      </c>
      <c r="B140" s="970" t="s">
        <v>15</v>
      </c>
      <c r="C140" s="1004">
        <f>C132+C133+C134+C138+C139</f>
        <v>0</v>
      </c>
      <c r="D140" s="995">
        <f>D132+D133+D134+D138+D139</f>
        <v>374</v>
      </c>
      <c r="E140" s="996">
        <f>E132+E133+E134+E138+E139</f>
        <v>0</v>
      </c>
    </row>
    <row r="141" spans="1:5" ht="26.25" thickTop="1">
      <c r="A141" s="553" t="s">
        <v>830</v>
      </c>
      <c r="B141" s="918" t="s">
        <v>408</v>
      </c>
      <c r="C141" s="504"/>
      <c r="D141" s="193"/>
      <c r="E141" s="193"/>
    </row>
    <row r="142" spans="1:5" ht="12.75">
      <c r="A142" s="552" t="s">
        <v>831</v>
      </c>
      <c r="B142" s="563" t="s">
        <v>409</v>
      </c>
      <c r="C142" s="502"/>
      <c r="D142" s="190">
        <f>C31+D31+E31+C87+D87+E87+C142</f>
        <v>0</v>
      </c>
      <c r="E142" s="190">
        <f>D142+C142+E86+D86+C86</f>
        <v>0</v>
      </c>
    </row>
    <row r="143" spans="1:5" ht="12.75">
      <c r="A143" s="552" t="s">
        <v>832</v>
      </c>
      <c r="B143" s="564" t="s">
        <v>410</v>
      </c>
      <c r="C143" s="502"/>
      <c r="D143" s="190">
        <f>C32+D32+E32+C88+D88+E88+C143</f>
        <v>0</v>
      </c>
      <c r="E143" s="190">
        <f>D143+C143+E87+D87+C87</f>
        <v>0</v>
      </c>
    </row>
    <row r="144" spans="1:5" ht="12.75" customHeight="1" thickBot="1">
      <c r="A144" s="617" t="s">
        <v>833</v>
      </c>
      <c r="B144" s="565" t="s">
        <v>411</v>
      </c>
      <c r="C144" s="502"/>
      <c r="D144" s="195">
        <f>C33+D33+E33+C89+D89+E89+C144</f>
        <v>0</v>
      </c>
      <c r="E144" s="190">
        <f>D144+C144+E88+D88+C88</f>
        <v>0</v>
      </c>
    </row>
    <row r="145" spans="1:5" ht="24.75" customHeight="1" thickBot="1">
      <c r="A145" s="969" t="s">
        <v>834</v>
      </c>
      <c r="B145" s="997" t="s">
        <v>412</v>
      </c>
      <c r="C145" s="995">
        <f>C142+C143+C144</f>
        <v>0</v>
      </c>
      <c r="D145" s="996">
        <f>C34+D34+E34+C90+D90+E90+C145</f>
        <v>0</v>
      </c>
      <c r="E145" s="996">
        <f>E142+E143+E144</f>
        <v>0</v>
      </c>
    </row>
    <row r="146" spans="1:5" ht="13.5" thickTop="1">
      <c r="A146" s="553" t="s">
        <v>835</v>
      </c>
      <c r="B146" s="707" t="s">
        <v>413</v>
      </c>
      <c r="C146" s="504"/>
      <c r="D146" s="193"/>
      <c r="E146" s="193"/>
    </row>
    <row r="147" spans="1:5" ht="12.75">
      <c r="A147" s="553" t="s">
        <v>836</v>
      </c>
      <c r="B147" s="291" t="s">
        <v>414</v>
      </c>
      <c r="C147" s="502"/>
      <c r="D147" s="190">
        <f>C36+D36+E36+C92+D92+E92+C147</f>
        <v>0</v>
      </c>
      <c r="E147" s="190">
        <f>D147+C147+E91+D91+C91</f>
        <v>0</v>
      </c>
    </row>
    <row r="148" spans="1:5" s="20" customFormat="1" ht="12.75">
      <c r="A148" s="553" t="s">
        <v>837</v>
      </c>
      <c r="B148" s="291" t="s">
        <v>25</v>
      </c>
      <c r="C148" s="502"/>
      <c r="D148" s="190">
        <f>C37+D37+E37+C93+D93+E93+C148</f>
        <v>0</v>
      </c>
      <c r="E148" s="190">
        <f>D148+C148+E92+D92+C92</f>
        <v>0</v>
      </c>
    </row>
    <row r="149" spans="1:5" ht="12.75" customHeight="1">
      <c r="A149" s="553" t="s">
        <v>838</v>
      </c>
      <c r="B149" s="155" t="s">
        <v>914</v>
      </c>
      <c r="C149" s="502"/>
      <c r="D149" s="190">
        <f>C38+D38+E38+C94+D94+E94+C149</f>
        <v>0</v>
      </c>
      <c r="E149" s="190">
        <f>D149+C149+E93+D93+C93</f>
        <v>0</v>
      </c>
    </row>
    <row r="150" spans="1:5" ht="13.5" thickBot="1">
      <c r="A150" s="952" t="s">
        <v>839</v>
      </c>
      <c r="B150" s="291" t="s">
        <v>416</v>
      </c>
      <c r="C150" s="502"/>
      <c r="D150" s="190">
        <f>C39+D39+E39+C95+D95+E95+C150</f>
        <v>0</v>
      </c>
      <c r="E150" s="190">
        <f>D150+C150+E94+D94+C94</f>
        <v>0</v>
      </c>
    </row>
    <row r="151" spans="1:5" ht="18" customHeight="1" thickBot="1">
      <c r="A151" s="969" t="s">
        <v>840</v>
      </c>
      <c r="B151" s="977" t="s">
        <v>419</v>
      </c>
      <c r="C151" s="995">
        <f>C147+C148+C149+C150</f>
        <v>0</v>
      </c>
      <c r="D151" s="995">
        <f>D147+D148+D149+D150</f>
        <v>0</v>
      </c>
      <c r="E151" s="996">
        <f>E147+E148+E149+E150</f>
        <v>0</v>
      </c>
    </row>
    <row r="152" spans="1:5" s="20" customFormat="1" ht="27" thickBot="1" thickTop="1">
      <c r="A152" s="1007" t="s">
        <v>841</v>
      </c>
      <c r="B152" s="991" t="s">
        <v>415</v>
      </c>
      <c r="C152" s="999">
        <f>C130+C140+C145+C151</f>
        <v>300</v>
      </c>
      <c r="D152" s="999">
        <f>D130+D140+D145+D151</f>
        <v>687093</v>
      </c>
      <c r="E152" s="1000">
        <f>E130+E140+E145+E151</f>
        <v>0</v>
      </c>
    </row>
    <row r="153" spans="1:5" ht="12" customHeight="1" thickTop="1">
      <c r="A153" s="553" t="s">
        <v>842</v>
      </c>
      <c r="B153" s="958" t="s">
        <v>976</v>
      </c>
      <c r="C153" s="998"/>
      <c r="D153" s="193"/>
      <c r="E153" s="193"/>
    </row>
    <row r="154" spans="1:5" ht="12.75">
      <c r="A154" s="552" t="s">
        <v>843</v>
      </c>
      <c r="B154" s="566" t="s">
        <v>417</v>
      </c>
      <c r="C154" s="502"/>
      <c r="D154" s="190">
        <f>C43+D43+E43+C99+D99+E99+C154</f>
        <v>0</v>
      </c>
      <c r="E154" s="190">
        <f>D154+C154+E98+D98+C98</f>
        <v>0</v>
      </c>
    </row>
    <row r="155" spans="1:5" ht="13.5" thickBot="1">
      <c r="A155" s="617" t="s">
        <v>844</v>
      </c>
      <c r="B155" s="962" t="s">
        <v>418</v>
      </c>
      <c r="C155" s="502"/>
      <c r="D155" s="190">
        <f>C44+D44+E44+C100+D100+E100+C155</f>
        <v>0</v>
      </c>
      <c r="E155" s="190">
        <f>D155+C155+E99+D99+C99</f>
        <v>0</v>
      </c>
    </row>
    <row r="156" spans="1:5" ht="13.5" thickBot="1">
      <c r="A156" s="969" t="s">
        <v>845</v>
      </c>
      <c r="B156" s="982" t="s">
        <v>979</v>
      </c>
      <c r="C156" s="995">
        <f>C154+C155</f>
        <v>0</v>
      </c>
      <c r="D156" s="995">
        <f>D154+D155</f>
        <v>0</v>
      </c>
      <c r="E156" s="996">
        <f>E154+E155</f>
        <v>0</v>
      </c>
    </row>
    <row r="157" spans="1:5" ht="13.5" thickTop="1">
      <c r="A157" s="553" t="s">
        <v>846</v>
      </c>
      <c r="B157" s="1001" t="s">
        <v>977</v>
      </c>
      <c r="C157" s="506"/>
      <c r="D157" s="196"/>
      <c r="E157" s="196"/>
    </row>
    <row r="158" spans="1:5" ht="12.75">
      <c r="A158" s="553" t="s">
        <v>847</v>
      </c>
      <c r="B158" s="959" t="s">
        <v>417</v>
      </c>
      <c r="C158" s="502"/>
      <c r="D158" s="190">
        <f>C47+D47+E47+C103+D103+E103+C158</f>
        <v>0</v>
      </c>
      <c r="E158" s="190">
        <f>D158+C158+E102+D102+C102</f>
        <v>0</v>
      </c>
    </row>
    <row r="159" spans="1:5" s="20" customFormat="1" ht="13.5" thickBot="1">
      <c r="A159" s="617" t="s">
        <v>848</v>
      </c>
      <c r="B159" s="567" t="s">
        <v>418</v>
      </c>
      <c r="C159" s="502"/>
      <c r="D159" s="190">
        <f>C48+D48+E48+C104+D104+E104+C159</f>
        <v>0</v>
      </c>
      <c r="E159" s="190">
        <f>D159+C159+E103+D103+C103</f>
        <v>0</v>
      </c>
    </row>
    <row r="160" spans="1:5" ht="16.5" customHeight="1" thickBot="1">
      <c r="A160" s="969" t="s">
        <v>849</v>
      </c>
      <c r="B160" s="1003" t="s">
        <v>942</v>
      </c>
      <c r="C160" s="1004">
        <f>C158+C159</f>
        <v>0</v>
      </c>
      <c r="D160" s="1004">
        <f>D158+D159</f>
        <v>0</v>
      </c>
      <c r="E160" s="1005">
        <f>E158+E159</f>
        <v>0</v>
      </c>
    </row>
    <row r="161" spans="1:5" ht="23.25" thickBot="1" thickTop="1">
      <c r="A161" s="553" t="s">
        <v>869</v>
      </c>
      <c r="B161" s="985" t="s">
        <v>978</v>
      </c>
      <c r="C161" s="1002"/>
      <c r="D161" s="510"/>
      <c r="E161" s="510"/>
    </row>
    <row r="162" spans="1:5" ht="12.75">
      <c r="A162" s="552" t="s">
        <v>870</v>
      </c>
      <c r="B162" s="568" t="s">
        <v>420</v>
      </c>
      <c r="C162" s="502"/>
      <c r="D162" s="190">
        <f>C51+D51+E51+C107+D107+E107+C162</f>
        <v>0</v>
      </c>
      <c r="E162" s="190">
        <f>D162+C162+E106+D106+C106</f>
        <v>0</v>
      </c>
    </row>
    <row r="163" spans="1:5" s="20" customFormat="1" ht="13.5" thickBot="1">
      <c r="A163" s="617" t="s">
        <v>871</v>
      </c>
      <c r="B163" s="569" t="s">
        <v>421</v>
      </c>
      <c r="C163" s="502"/>
      <c r="D163" s="190">
        <f>C52+D52+E52+C108+D108+E108+C163</f>
        <v>0</v>
      </c>
      <c r="E163" s="190">
        <f>D163+C163+E107+D107+C107</f>
        <v>0</v>
      </c>
    </row>
    <row r="164" spans="1:5" ht="13.5" thickBot="1">
      <c r="A164" s="969" t="s">
        <v>872</v>
      </c>
      <c r="B164" s="1006" t="s">
        <v>943</v>
      </c>
      <c r="C164" s="1004">
        <f>C162+C163</f>
        <v>0</v>
      </c>
      <c r="D164" s="1004">
        <f>D162+D163</f>
        <v>0</v>
      </c>
      <c r="E164" s="1005">
        <f>E162+E163</f>
        <v>0</v>
      </c>
    </row>
    <row r="165" spans="1:5" s="20" customFormat="1" ht="20.25" customHeight="1" thickBot="1" thickTop="1">
      <c r="A165" s="1037" t="s">
        <v>873</v>
      </c>
      <c r="B165" s="1038" t="s">
        <v>982</v>
      </c>
      <c r="C165" s="1039">
        <f>C152+C156+C160+C164</f>
        <v>300</v>
      </c>
      <c r="D165" s="1039">
        <f>D152+D156+D160+D164</f>
        <v>687093</v>
      </c>
      <c r="E165" s="1028">
        <f>E152+E156+E160+E164</f>
        <v>0</v>
      </c>
    </row>
    <row r="166" s="20" customFormat="1" ht="12.75"/>
    <row r="170" ht="6.75" customHeight="1"/>
    <row r="171" ht="18" customHeight="1"/>
    <row r="172" ht="10.5" customHeight="1"/>
    <row r="177" ht="51" customHeight="1"/>
    <row r="178" ht="10.5" customHeight="1"/>
    <row r="179" ht="15.75" customHeight="1"/>
    <row r="180" ht="12" customHeight="1"/>
    <row r="188" s="20" customFormat="1" ht="12.75"/>
    <row r="189" ht="15" customHeight="1"/>
    <row r="191" ht="4.5" customHeight="1"/>
    <row r="193" ht="11.25" customHeight="1"/>
    <row r="195" ht="14.25" customHeight="1"/>
    <row r="197" ht="11.25" customHeight="1"/>
    <row r="202" ht="3.75" customHeight="1"/>
    <row r="207" ht="24.75" customHeight="1"/>
    <row r="208" ht="6" customHeight="1"/>
    <row r="210" ht="10.5" customHeight="1"/>
    <row r="211" ht="12.75" customHeight="1"/>
    <row r="215" ht="4.5" customHeight="1"/>
    <row r="217" s="20" customFormat="1" ht="6.75" customHeight="1"/>
    <row r="222" ht="7.5" customHeight="1"/>
    <row r="224" s="20" customFormat="1" ht="12.75"/>
    <row r="225" s="20" customFormat="1" ht="12.75"/>
    <row r="227" ht="9" customHeight="1"/>
    <row r="228" ht="19.5" customHeight="1"/>
    <row r="229" ht="19.5" customHeight="1"/>
    <row r="230" spans="1:2" ht="12" customHeight="1">
      <c r="A230" s="20"/>
      <c r="B230" s="20"/>
    </row>
    <row r="231" spans="1:2" ht="12.75">
      <c r="A231" s="20"/>
      <c r="B231" s="20"/>
    </row>
    <row r="232" spans="1:2" ht="12.75">
      <c r="A232" s="20"/>
      <c r="B232" s="20"/>
    </row>
    <row r="233" spans="1:2" ht="12.75">
      <c r="A233" s="20"/>
      <c r="B233" s="20"/>
    </row>
    <row r="234" ht="42" customHeight="1"/>
    <row r="235" ht="9.75" customHeight="1"/>
    <row r="239" ht="12" customHeight="1"/>
    <row r="248" ht="8.25" customHeight="1"/>
    <row r="251" spans="1:2" s="20" customFormat="1" ht="12.75">
      <c r="A251"/>
      <c r="B251"/>
    </row>
    <row r="252" ht="12" customHeight="1"/>
    <row r="258" ht="12.75" customHeight="1"/>
    <row r="259" spans="1:2" s="20" customFormat="1" ht="6" customHeight="1">
      <c r="A259"/>
      <c r="B259"/>
    </row>
    <row r="260" ht="26.25" customHeight="1"/>
    <row r="261" ht="10.5" customHeight="1"/>
    <row r="264" spans="1:2" s="20" customFormat="1" ht="12.75">
      <c r="A264"/>
      <c r="B264"/>
    </row>
    <row r="265" ht="6" customHeight="1"/>
    <row r="269" spans="1:2" s="20" customFormat="1" ht="12.75">
      <c r="A269"/>
      <c r="B269"/>
    </row>
    <row r="270" ht="12.75" customHeight="1"/>
    <row r="272" ht="8.25" customHeight="1"/>
    <row r="273" spans="1:2" s="20" customFormat="1" ht="12.75">
      <c r="A273"/>
      <c r="B273"/>
    </row>
    <row r="274" ht="8.25" customHeight="1"/>
    <row r="277" spans="1:2" s="20" customFormat="1" ht="12.75">
      <c r="A277"/>
      <c r="B277"/>
    </row>
    <row r="279" spans="1:2" s="20" customFormat="1" ht="4.5" customHeight="1">
      <c r="A279"/>
      <c r="B279"/>
    </row>
    <row r="284" spans="1:2" s="20" customFormat="1" ht="6" customHeight="1">
      <c r="A284"/>
      <c r="B284"/>
    </row>
    <row r="285" ht="18" customHeight="1"/>
    <row r="286" ht="14.25" customHeight="1"/>
    <row r="287" spans="1:2" s="20" customFormat="1" ht="12.75">
      <c r="A287"/>
      <c r="B287"/>
    </row>
    <row r="288" spans="1:2" s="20" customFormat="1" ht="12.75">
      <c r="A288"/>
      <c r="B288"/>
    </row>
    <row r="289" spans="1:2" s="20" customFormat="1" ht="12.75">
      <c r="A289"/>
      <c r="B289"/>
    </row>
    <row r="290" spans="1:2" s="20" customFormat="1" ht="12.75">
      <c r="A290"/>
      <c r="B290"/>
    </row>
    <row r="291" spans="1:2" s="20" customFormat="1" ht="39" customHeight="1">
      <c r="A291"/>
      <c r="B291"/>
    </row>
    <row r="292" spans="1:2" s="20" customFormat="1" ht="12.75">
      <c r="A292"/>
      <c r="B292"/>
    </row>
    <row r="293" spans="1:2" s="20" customFormat="1" ht="12.75">
      <c r="A293"/>
      <c r="B293"/>
    </row>
    <row r="294" spans="1:2" s="20" customFormat="1" ht="12.75">
      <c r="A294"/>
      <c r="B294"/>
    </row>
    <row r="295" spans="1:2" s="20" customFormat="1" ht="12.75">
      <c r="A295"/>
      <c r="B295"/>
    </row>
    <row r="296" spans="1:2" s="20" customFormat="1" ht="12.75">
      <c r="A296"/>
      <c r="B296"/>
    </row>
    <row r="297" spans="1:2" s="20" customFormat="1" ht="12.75">
      <c r="A297"/>
      <c r="B297"/>
    </row>
    <row r="298" spans="1:2" s="20" customFormat="1" ht="12.75">
      <c r="A298"/>
      <c r="B298"/>
    </row>
    <row r="299" spans="1:2" s="20" customFormat="1" ht="12.75">
      <c r="A299"/>
      <c r="B299"/>
    </row>
    <row r="300" spans="1:2" s="20" customFormat="1" ht="12.75">
      <c r="A300"/>
      <c r="B300"/>
    </row>
    <row r="301" spans="1:2" s="20" customFormat="1" ht="12.75">
      <c r="A301"/>
      <c r="B301"/>
    </row>
    <row r="302" spans="1:2" s="20" customFormat="1" ht="12.75">
      <c r="A302"/>
      <c r="B302"/>
    </row>
    <row r="303" spans="1:2" s="20" customFormat="1" ht="12.75">
      <c r="A303"/>
      <c r="B303"/>
    </row>
    <row r="304" spans="1:2" s="20" customFormat="1" ht="15.75" customHeight="1">
      <c r="A304"/>
      <c r="B304"/>
    </row>
    <row r="305" spans="1:2" s="20" customFormat="1" ht="6" customHeight="1">
      <c r="A305"/>
      <c r="B305"/>
    </row>
    <row r="306" spans="1:2" s="20" customFormat="1" ht="12.75">
      <c r="A306"/>
      <c r="B306"/>
    </row>
    <row r="307" spans="1:2" s="20" customFormat="1" ht="12.75">
      <c r="A307"/>
      <c r="B307"/>
    </row>
    <row r="308" spans="1:2" s="20" customFormat="1" ht="12.75">
      <c r="A308"/>
      <c r="B308"/>
    </row>
    <row r="309" spans="1:2" s="20" customFormat="1" ht="12.75">
      <c r="A309"/>
      <c r="B309"/>
    </row>
    <row r="310" spans="1:2" s="20" customFormat="1" ht="12.75">
      <c r="A310"/>
      <c r="B310"/>
    </row>
    <row r="311" spans="1:2" s="20" customFormat="1" ht="12.75">
      <c r="A311"/>
      <c r="B311"/>
    </row>
    <row r="312" spans="1:2" s="20" customFormat="1" ht="12.75">
      <c r="A312"/>
      <c r="B312"/>
    </row>
    <row r="313" spans="1:2" s="20" customFormat="1" ht="12.75">
      <c r="A313"/>
      <c r="B313"/>
    </row>
    <row r="314" spans="1:2" s="20" customFormat="1" ht="12.75">
      <c r="A314"/>
      <c r="B314"/>
    </row>
    <row r="315" spans="1:2" s="20" customFormat="1" ht="13.5" customHeight="1">
      <c r="A315"/>
      <c r="B315"/>
    </row>
    <row r="316" spans="1:2" s="20" customFormat="1" ht="7.5" customHeight="1">
      <c r="A316"/>
      <c r="B316"/>
    </row>
    <row r="317" spans="1:2" s="20" customFormat="1" ht="12.75">
      <c r="A317"/>
      <c r="B317"/>
    </row>
    <row r="318" spans="1:2" s="20" customFormat="1" ht="12.75">
      <c r="A318"/>
      <c r="B318"/>
    </row>
    <row r="319" spans="1:2" s="20" customFormat="1" ht="12.75">
      <c r="A319"/>
      <c r="B319"/>
    </row>
    <row r="320" spans="1:2" s="20" customFormat="1" ht="12.75">
      <c r="A320"/>
      <c r="B320"/>
    </row>
    <row r="321" spans="1:2" s="20" customFormat="1" ht="27.75" customHeight="1">
      <c r="A321"/>
      <c r="B321"/>
    </row>
    <row r="322" spans="1:2" s="20" customFormat="1" ht="5.25" customHeight="1">
      <c r="A322"/>
      <c r="B322"/>
    </row>
    <row r="323" spans="1:2" s="20" customFormat="1" ht="12.75">
      <c r="A323"/>
      <c r="B323"/>
    </row>
    <row r="324" spans="1:2" s="20" customFormat="1" ht="12.75">
      <c r="A324"/>
      <c r="B324"/>
    </row>
    <row r="325" spans="1:2" s="20" customFormat="1" ht="12.75">
      <c r="A325"/>
      <c r="B325"/>
    </row>
    <row r="326" spans="1:2" s="20" customFormat="1" ht="12.75">
      <c r="A326"/>
      <c r="B326"/>
    </row>
    <row r="327" spans="1:2" s="20" customFormat="1" ht="12.75">
      <c r="A327"/>
      <c r="B327"/>
    </row>
    <row r="328" spans="1:2" s="20" customFormat="1" ht="17.25" customHeight="1">
      <c r="A328"/>
      <c r="B328"/>
    </row>
    <row r="329" spans="1:2" s="20" customFormat="1" ht="6" customHeight="1">
      <c r="A329"/>
      <c r="B329"/>
    </row>
    <row r="330" spans="1:2" s="20" customFormat="1" ht="25.5" customHeight="1">
      <c r="A330"/>
      <c r="B330"/>
    </row>
    <row r="331" spans="1:2" s="20" customFormat="1" ht="4.5" customHeight="1">
      <c r="A331"/>
      <c r="B331"/>
    </row>
    <row r="332" spans="1:2" s="20" customFormat="1" ht="12.75">
      <c r="A332"/>
      <c r="B332"/>
    </row>
    <row r="333" spans="1:2" s="20" customFormat="1" ht="12.75">
      <c r="A333"/>
      <c r="B333"/>
    </row>
    <row r="334" spans="1:7" s="20" customFormat="1" ht="12.75">
      <c r="A334"/>
      <c r="B334"/>
      <c r="C334"/>
      <c r="D334"/>
      <c r="E334"/>
      <c r="F334"/>
      <c r="G334"/>
    </row>
    <row r="335" spans="1:7" s="20" customFormat="1" ht="18" customHeight="1">
      <c r="A335"/>
      <c r="B335"/>
      <c r="C335"/>
      <c r="D335"/>
      <c r="E335"/>
      <c r="F335"/>
      <c r="G335"/>
    </row>
    <row r="336" spans="1:7" s="20" customFormat="1" ht="4.5" customHeight="1">
      <c r="A336"/>
      <c r="B336"/>
      <c r="C336"/>
      <c r="D336"/>
      <c r="E336"/>
      <c r="F336"/>
      <c r="G336"/>
    </row>
    <row r="337" spans="1:7" s="20" customFormat="1" ht="12.75">
      <c r="A337"/>
      <c r="B337"/>
      <c r="C337"/>
      <c r="D337"/>
      <c r="E337"/>
      <c r="F337"/>
      <c r="G337"/>
    </row>
    <row r="338" spans="1:7" s="20" customFormat="1" ht="12.75">
      <c r="A338"/>
      <c r="B338"/>
      <c r="C338"/>
      <c r="D338"/>
      <c r="E338"/>
      <c r="F338"/>
      <c r="G338"/>
    </row>
    <row r="339" spans="1:7" s="20" customFormat="1" ht="12.75">
      <c r="A339"/>
      <c r="B339"/>
      <c r="C339"/>
      <c r="D339"/>
      <c r="E339"/>
      <c r="F339"/>
      <c r="G339"/>
    </row>
    <row r="340" spans="1:7" s="20" customFormat="1" ht="12.75" customHeight="1">
      <c r="A340"/>
      <c r="B340"/>
      <c r="C340"/>
      <c r="D340"/>
      <c r="E340"/>
      <c r="F340"/>
      <c r="G340"/>
    </row>
    <row r="341" spans="1:7" s="20" customFormat="1" ht="7.5" customHeight="1">
      <c r="A341"/>
      <c r="B341"/>
      <c r="C341"/>
      <c r="D341"/>
      <c r="E341"/>
      <c r="F341"/>
      <c r="G341"/>
    </row>
    <row r="342" spans="1:7" s="20" customFormat="1" ht="14.25" customHeight="1">
      <c r="A342"/>
      <c r="B342"/>
      <c r="C342"/>
      <c r="D342"/>
      <c r="E342"/>
      <c r="F342"/>
      <c r="G342"/>
    </row>
    <row r="343" spans="1:7" s="20" customFormat="1" ht="12.75">
      <c r="A343"/>
      <c r="B343"/>
      <c r="C343"/>
      <c r="D343"/>
      <c r="E343"/>
      <c r="F343"/>
      <c r="G343"/>
    </row>
    <row r="348" ht="24.75" customHeight="1"/>
    <row r="359" spans="2:7" ht="12.75">
      <c r="B359" s="1"/>
      <c r="C359" s="1"/>
      <c r="D359" s="1"/>
      <c r="E359" s="1"/>
      <c r="F359" s="1"/>
      <c r="G359" s="1"/>
    </row>
    <row r="360" spans="2:7" ht="12.75">
      <c r="B360" s="1"/>
      <c r="C360" s="1"/>
      <c r="D360" s="1"/>
      <c r="E360" s="1"/>
      <c r="F360" s="1"/>
      <c r="G360" s="1"/>
    </row>
    <row r="361" spans="2:7" ht="12.75" customHeight="1">
      <c r="B361" s="1"/>
      <c r="C361" s="1"/>
      <c r="D361" s="1"/>
      <c r="E361" s="1"/>
      <c r="F361" s="1"/>
      <c r="G361" s="1"/>
    </row>
    <row r="362" spans="2:7" ht="6" customHeight="1">
      <c r="B362" s="1"/>
      <c r="C362" s="1"/>
      <c r="D362" s="1"/>
      <c r="E362" s="1"/>
      <c r="F362" s="1"/>
      <c r="G362" s="1"/>
    </row>
    <row r="363" spans="2:7" ht="12.75">
      <c r="B363" s="1"/>
      <c r="C363" s="1"/>
      <c r="D363" s="1"/>
      <c r="E363" s="1"/>
      <c r="F363" s="1"/>
      <c r="G363" s="1"/>
    </row>
    <row r="364" spans="2:7" ht="12.75">
      <c r="B364" s="1"/>
      <c r="C364" s="1"/>
      <c r="D364" s="1"/>
      <c r="E364" s="1"/>
      <c r="F364" s="1"/>
      <c r="G364" s="1"/>
    </row>
    <row r="372" ht="14.25" customHeight="1"/>
    <row r="373" ht="5.25" customHeight="1"/>
    <row r="378" ht="24" customHeight="1"/>
    <row r="379" ht="5.25" customHeight="1"/>
    <row r="385" ht="12" customHeight="1"/>
    <row r="386" ht="4.5" customHeight="1"/>
    <row r="387" ht="30" customHeight="1"/>
    <row r="388" ht="8.25" customHeight="1"/>
    <row r="392" ht="15" customHeight="1"/>
    <row r="393" ht="7.5" customHeight="1"/>
    <row r="397" ht="12" customHeight="1"/>
    <row r="398" ht="8.25" customHeight="1"/>
  </sheetData>
  <sheetProtection/>
  <mergeCells count="11">
    <mergeCell ref="A58:E58"/>
    <mergeCell ref="A111:E111"/>
    <mergeCell ref="A112:E112"/>
    <mergeCell ref="A113:E113"/>
    <mergeCell ref="A114:E114"/>
    <mergeCell ref="A59:E59"/>
    <mergeCell ref="A1:E1"/>
    <mergeCell ref="A2:E2"/>
    <mergeCell ref="A3:E3"/>
    <mergeCell ref="A57:E57"/>
    <mergeCell ref="A56:E56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42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4.140625" style="0" customWidth="1"/>
    <col min="2" max="2" width="30.140625" style="0" customWidth="1"/>
    <col min="3" max="3" width="14.421875" style="0" customWidth="1"/>
    <col min="4" max="5" width="14.28125" style="0" customWidth="1"/>
    <col min="6" max="6" width="14.7109375" style="0" customWidth="1"/>
  </cols>
  <sheetData>
    <row r="1" spans="1:6" ht="12.75">
      <c r="A1" s="1546" t="s">
        <v>1336</v>
      </c>
      <c r="B1" s="1546"/>
      <c r="C1" s="1546"/>
      <c r="D1" s="1546"/>
      <c r="E1" s="1546"/>
      <c r="F1" s="1546"/>
    </row>
    <row r="2" spans="1:6" ht="15.75">
      <c r="A2" s="1566" t="s">
        <v>427</v>
      </c>
      <c r="B2" s="1545"/>
      <c r="C2" s="1545"/>
      <c r="D2" s="1545"/>
      <c r="E2" s="1545"/>
      <c r="F2" s="1545"/>
    </row>
    <row r="3" spans="2:6" ht="13.5" thickBot="1">
      <c r="B3" s="1571" t="s">
        <v>9</v>
      </c>
      <c r="C3" s="1571"/>
      <c r="D3" s="1571"/>
      <c r="E3" s="1571"/>
      <c r="F3" s="1571"/>
    </row>
    <row r="4" spans="1:6" ht="30" customHeight="1" thickBot="1">
      <c r="A4" s="587" t="s">
        <v>801</v>
      </c>
      <c r="B4" s="450" t="s">
        <v>36</v>
      </c>
      <c r="C4" s="825" t="s">
        <v>37</v>
      </c>
      <c r="D4" s="596" t="s">
        <v>38</v>
      </c>
      <c r="E4" s="578" t="s">
        <v>55</v>
      </c>
      <c r="F4" s="576" t="s">
        <v>971</v>
      </c>
    </row>
    <row r="5" spans="1:6" ht="14.25" customHeight="1" thickBot="1">
      <c r="A5" s="572" t="s">
        <v>802</v>
      </c>
      <c r="B5" s="592" t="s">
        <v>803</v>
      </c>
      <c r="C5" s="1041" t="s">
        <v>804</v>
      </c>
      <c r="D5" s="592" t="s">
        <v>805</v>
      </c>
      <c r="E5" s="1041" t="s">
        <v>825</v>
      </c>
      <c r="F5" s="1040" t="s">
        <v>850</v>
      </c>
    </row>
    <row r="6" spans="1:66" s="43" customFormat="1" ht="25.5" customHeight="1" thickBot="1">
      <c r="A6" s="553" t="s">
        <v>806</v>
      </c>
      <c r="B6" s="1327" t="s">
        <v>1189</v>
      </c>
      <c r="C6" s="1527"/>
      <c r="D6" s="1525"/>
      <c r="E6" s="1042">
        <v>37884</v>
      </c>
      <c r="F6" s="932">
        <f aca="true" t="shared" si="0" ref="F6:F11">SUM(C6:E6)</f>
        <v>37884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</row>
    <row r="7" spans="1:66" ht="25.5" customHeight="1">
      <c r="A7" s="552" t="s">
        <v>807</v>
      </c>
      <c r="B7" s="1327" t="s">
        <v>1190</v>
      </c>
      <c r="C7" s="1528"/>
      <c r="D7" s="208"/>
      <c r="E7" s="1043">
        <v>1739</v>
      </c>
      <c r="F7" s="932">
        <f t="shared" si="0"/>
        <v>1739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1:66" ht="25.5" customHeight="1">
      <c r="A8" s="552" t="s">
        <v>808</v>
      </c>
      <c r="B8" s="1327" t="s">
        <v>1191</v>
      </c>
      <c r="C8" s="1192"/>
      <c r="D8" s="209"/>
      <c r="E8" s="1043">
        <v>1187</v>
      </c>
      <c r="F8" s="932">
        <f t="shared" si="0"/>
        <v>1187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ht="25.5" customHeight="1">
      <c r="A9" s="552" t="s">
        <v>809</v>
      </c>
      <c r="B9" s="1513" t="s">
        <v>1448</v>
      </c>
      <c r="C9" s="1192"/>
      <c r="D9" s="209"/>
      <c r="E9" s="1043">
        <v>14</v>
      </c>
      <c r="F9" s="932">
        <f t="shared" si="0"/>
        <v>14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ht="25.5" customHeight="1" thickBot="1">
      <c r="A10" s="952" t="s">
        <v>810</v>
      </c>
      <c r="B10" s="1529" t="s">
        <v>1473</v>
      </c>
      <c r="C10" s="1524">
        <v>7527</v>
      </c>
      <c r="D10" s="593"/>
      <c r="E10" s="1524"/>
      <c r="F10" s="932">
        <f t="shared" si="0"/>
        <v>7527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" s="20" customFormat="1" ht="13.5" thickBot="1">
      <c r="A11" s="582" t="s">
        <v>811</v>
      </c>
      <c r="B11" s="450" t="s">
        <v>40</v>
      </c>
      <c r="C11" s="454">
        <f>SUM(C6:C10)</f>
        <v>7527</v>
      </c>
      <c r="D11" s="1526">
        <f>SUM(D6:D9)</f>
        <v>0</v>
      </c>
      <c r="E11" s="454">
        <f>SUM(E6:E9)</f>
        <v>40824</v>
      </c>
      <c r="F11" s="454">
        <f t="shared" si="0"/>
        <v>48351</v>
      </c>
    </row>
    <row r="12" spans="1:6" s="20" customFormat="1" ht="12.75">
      <c r="A12" s="580"/>
      <c r="B12" s="48"/>
      <c r="C12" s="598"/>
      <c r="D12" s="598"/>
      <c r="E12" s="598"/>
      <c r="F12" s="598"/>
    </row>
    <row r="13" spans="1:6" ht="12.75">
      <c r="A13" s="1546" t="s">
        <v>1337</v>
      </c>
      <c r="B13" s="1546"/>
      <c r="C13" s="1546"/>
      <c r="D13" s="1546"/>
      <c r="E13" s="1546"/>
      <c r="F13" s="1546"/>
    </row>
    <row r="14" spans="2:6" ht="12.75">
      <c r="B14" s="25"/>
      <c r="C14" s="25"/>
      <c r="D14" s="25"/>
      <c r="E14" s="25"/>
      <c r="F14" s="25"/>
    </row>
    <row r="15" spans="2:6" ht="15.75">
      <c r="B15" s="1566" t="s">
        <v>428</v>
      </c>
      <c r="C15" s="1566"/>
      <c r="D15" s="1566"/>
      <c r="E15" s="1566"/>
      <c r="F15" s="1566"/>
    </row>
    <row r="16" spans="2:6" ht="6.75" customHeight="1">
      <c r="B16" s="1"/>
      <c r="C16" s="1"/>
      <c r="D16" s="1"/>
      <c r="E16" s="1"/>
      <c r="F16" s="1"/>
    </row>
    <row r="17" spans="2:6" ht="13.5" thickBot="1">
      <c r="B17" s="1571" t="s">
        <v>9</v>
      </c>
      <c r="C17" s="1571"/>
      <c r="D17" s="1571"/>
      <c r="E17" s="1571"/>
      <c r="F17" s="1571"/>
    </row>
    <row r="18" spans="1:6" ht="30" customHeight="1" thickBot="1">
      <c r="A18" s="587" t="s">
        <v>801</v>
      </c>
      <c r="B18" s="600" t="s">
        <v>36</v>
      </c>
      <c r="C18" s="385" t="s">
        <v>37</v>
      </c>
      <c r="D18" s="601" t="s">
        <v>38</v>
      </c>
      <c r="E18" s="578" t="s">
        <v>55</v>
      </c>
      <c r="F18" s="576" t="s">
        <v>971</v>
      </c>
    </row>
    <row r="19" spans="1:6" ht="13.5" customHeight="1">
      <c r="A19" s="572" t="s">
        <v>802</v>
      </c>
      <c r="B19" s="1053" t="s">
        <v>803</v>
      </c>
      <c r="C19" s="1041" t="s">
        <v>804</v>
      </c>
      <c r="D19" s="557" t="s">
        <v>805</v>
      </c>
      <c r="E19" s="1046" t="s">
        <v>825</v>
      </c>
      <c r="F19" s="1044" t="s">
        <v>850</v>
      </c>
    </row>
    <row r="20" spans="1:6" ht="25.5">
      <c r="A20" s="599" t="s">
        <v>806</v>
      </c>
      <c r="B20" s="1282" t="s">
        <v>41</v>
      </c>
      <c r="C20" s="355"/>
      <c r="D20" s="32"/>
      <c r="E20" s="355">
        <v>10000</v>
      </c>
      <c r="F20" s="333">
        <f>SUM(C20:E20)</f>
        <v>10000</v>
      </c>
    </row>
    <row r="21" spans="1:6" ht="15" customHeight="1">
      <c r="A21" s="599" t="s">
        <v>807</v>
      </c>
      <c r="B21" s="1282" t="s">
        <v>42</v>
      </c>
      <c r="C21" s="355"/>
      <c r="D21" s="32"/>
      <c r="E21" s="355">
        <v>15000</v>
      </c>
      <c r="F21" s="333">
        <f aca="true" t="shared" si="1" ref="F21:F40">SUM(C21:E21)</f>
        <v>15000</v>
      </c>
    </row>
    <row r="22" spans="1:6" ht="12.75">
      <c r="A22" s="599" t="s">
        <v>808</v>
      </c>
      <c r="B22" s="1282" t="s">
        <v>43</v>
      </c>
      <c r="C22" s="355"/>
      <c r="D22" s="32"/>
      <c r="E22" s="355">
        <v>4545</v>
      </c>
      <c r="F22" s="333">
        <f t="shared" si="1"/>
        <v>4545</v>
      </c>
    </row>
    <row r="23" spans="1:6" ht="25.5" customHeight="1">
      <c r="A23" s="599" t="s">
        <v>809</v>
      </c>
      <c r="B23" s="1282" t="s">
        <v>1416</v>
      </c>
      <c r="C23" s="355"/>
      <c r="D23" s="32"/>
      <c r="E23" s="355">
        <v>45397</v>
      </c>
      <c r="F23" s="333">
        <f t="shared" si="1"/>
        <v>45397</v>
      </c>
    </row>
    <row r="24" spans="1:6" ht="25.5" customHeight="1">
      <c r="A24" s="599" t="s">
        <v>810</v>
      </c>
      <c r="B24" s="1282" t="s">
        <v>1417</v>
      </c>
      <c r="C24" s="355"/>
      <c r="D24" s="32"/>
      <c r="E24" s="355">
        <v>21857</v>
      </c>
      <c r="F24" s="333">
        <f t="shared" si="1"/>
        <v>21857</v>
      </c>
    </row>
    <row r="25" spans="1:6" ht="12.75">
      <c r="A25" s="599" t="s">
        <v>811</v>
      </c>
      <c r="B25" s="1282" t="s">
        <v>855</v>
      </c>
      <c r="C25" s="355"/>
      <c r="D25" s="32"/>
      <c r="E25" s="355">
        <v>23000</v>
      </c>
      <c r="F25" s="333">
        <f t="shared" si="1"/>
        <v>23000</v>
      </c>
    </row>
    <row r="26" spans="1:6" ht="12.75">
      <c r="A26" s="599" t="s">
        <v>812</v>
      </c>
      <c r="B26" s="1282" t="s">
        <v>44</v>
      </c>
      <c r="C26" s="355"/>
      <c r="D26" s="32"/>
      <c r="E26" s="355">
        <v>3700</v>
      </c>
      <c r="F26" s="333">
        <f t="shared" si="1"/>
        <v>3700</v>
      </c>
    </row>
    <row r="27" spans="1:6" ht="25.5">
      <c r="A27" s="599" t="s">
        <v>813</v>
      </c>
      <c r="B27" s="1282" t="s">
        <v>45</v>
      </c>
      <c r="C27" s="355"/>
      <c r="D27" s="32"/>
      <c r="E27" s="355">
        <v>8000</v>
      </c>
      <c r="F27" s="333">
        <f t="shared" si="1"/>
        <v>8000</v>
      </c>
    </row>
    <row r="28" spans="1:6" ht="13.5" customHeight="1">
      <c r="A28" s="599" t="s">
        <v>814</v>
      </c>
      <c r="B28" s="1282" t="s">
        <v>46</v>
      </c>
      <c r="C28" s="355"/>
      <c r="D28" s="32"/>
      <c r="E28" s="355">
        <v>3000</v>
      </c>
      <c r="F28" s="333">
        <f t="shared" si="1"/>
        <v>3000</v>
      </c>
    </row>
    <row r="29" spans="1:6" ht="12.75">
      <c r="A29" s="599" t="s">
        <v>815</v>
      </c>
      <c r="B29" s="1283" t="s">
        <v>47</v>
      </c>
      <c r="C29" s="219"/>
      <c r="D29" s="34"/>
      <c r="E29" s="219">
        <v>30000</v>
      </c>
      <c r="F29" s="333">
        <f t="shared" si="1"/>
        <v>30000</v>
      </c>
    </row>
    <row r="30" spans="1:6" ht="12.75">
      <c r="A30" s="599" t="s">
        <v>816</v>
      </c>
      <c r="B30" s="1283" t="s">
        <v>48</v>
      </c>
      <c r="C30" s="219"/>
      <c r="D30" s="34"/>
      <c r="E30" s="219">
        <v>55000</v>
      </c>
      <c r="F30" s="333">
        <f t="shared" si="1"/>
        <v>55000</v>
      </c>
    </row>
    <row r="31" spans="1:6" ht="13.5" customHeight="1">
      <c r="A31" s="599" t="s">
        <v>817</v>
      </c>
      <c r="B31" s="1282" t="s">
        <v>1218</v>
      </c>
      <c r="C31" s="355"/>
      <c r="D31" s="32"/>
      <c r="E31" s="355">
        <v>2000</v>
      </c>
      <c r="F31" s="333">
        <f t="shared" si="1"/>
        <v>2000</v>
      </c>
    </row>
    <row r="32" spans="1:6" ht="25.5">
      <c r="A32" s="599" t="s">
        <v>818</v>
      </c>
      <c r="B32" s="1283" t="s">
        <v>856</v>
      </c>
      <c r="C32" s="219"/>
      <c r="D32" s="34"/>
      <c r="E32" s="219">
        <v>1229</v>
      </c>
      <c r="F32" s="333">
        <f t="shared" si="1"/>
        <v>1229</v>
      </c>
    </row>
    <row r="33" spans="1:6" ht="25.5">
      <c r="A33" s="599" t="s">
        <v>819</v>
      </c>
      <c r="B33" s="1283" t="s">
        <v>857</v>
      </c>
      <c r="C33" s="219"/>
      <c r="D33" s="34"/>
      <c r="E33" s="219">
        <v>2000</v>
      </c>
      <c r="F33" s="333">
        <f t="shared" si="1"/>
        <v>2000</v>
      </c>
    </row>
    <row r="34" spans="1:6" ht="12.75">
      <c r="A34" s="599" t="s">
        <v>820</v>
      </c>
      <c r="B34" s="1283" t="s">
        <v>49</v>
      </c>
      <c r="C34" s="219"/>
      <c r="D34" s="34"/>
      <c r="E34" s="219">
        <v>379</v>
      </c>
      <c r="F34" s="333">
        <f t="shared" si="1"/>
        <v>379</v>
      </c>
    </row>
    <row r="35" spans="1:6" ht="12.75">
      <c r="A35" s="599" t="s">
        <v>821</v>
      </c>
      <c r="B35" s="1284" t="s">
        <v>50</v>
      </c>
      <c r="C35" s="221"/>
      <c r="D35" s="1083"/>
      <c r="E35" s="221">
        <v>1000</v>
      </c>
      <c r="F35" s="622">
        <f t="shared" si="1"/>
        <v>1000</v>
      </c>
    </row>
    <row r="36" spans="1:6" ht="25.5">
      <c r="A36" s="599" t="s">
        <v>822</v>
      </c>
      <c r="B36" s="1160" t="s">
        <v>1192</v>
      </c>
      <c r="C36" s="190"/>
      <c r="D36" s="147"/>
      <c r="E36" s="190">
        <v>600</v>
      </c>
      <c r="F36" s="183">
        <f t="shared" si="1"/>
        <v>600</v>
      </c>
    </row>
    <row r="37" spans="1:6" ht="25.5">
      <c r="A37" s="599" t="s">
        <v>823</v>
      </c>
      <c r="B37" s="1281" t="s">
        <v>1193</v>
      </c>
      <c r="C37" s="190"/>
      <c r="D37" s="149"/>
      <c r="E37" s="195">
        <v>2200</v>
      </c>
      <c r="F37" s="183">
        <f t="shared" si="1"/>
        <v>2200</v>
      </c>
    </row>
    <row r="38" spans="1:6" ht="25.5">
      <c r="A38" s="599" t="s">
        <v>824</v>
      </c>
      <c r="B38" s="1283" t="s">
        <v>1413</v>
      </c>
      <c r="C38" s="504"/>
      <c r="D38" s="190"/>
      <c r="E38" s="190">
        <v>50080</v>
      </c>
      <c r="F38" s="185">
        <f t="shared" si="1"/>
        <v>50080</v>
      </c>
    </row>
    <row r="39" spans="1:6" ht="25.5">
      <c r="A39" s="599" t="s">
        <v>826</v>
      </c>
      <c r="B39" s="1283" t="s">
        <v>1415</v>
      </c>
      <c r="C39" s="502"/>
      <c r="D39" s="190"/>
      <c r="E39" s="190">
        <v>1788</v>
      </c>
      <c r="F39" s="183">
        <f t="shared" si="1"/>
        <v>1788</v>
      </c>
    </row>
    <row r="40" spans="1:6" ht="12.75" customHeight="1" thickBot="1">
      <c r="A40" s="602" t="s">
        <v>827</v>
      </c>
      <c r="B40" s="1499" t="s">
        <v>1414</v>
      </c>
      <c r="C40" s="503"/>
      <c r="D40" s="195"/>
      <c r="E40" s="195">
        <v>5136</v>
      </c>
      <c r="F40" s="187">
        <f t="shared" si="1"/>
        <v>5136</v>
      </c>
    </row>
    <row r="41" spans="1:6" ht="13.5" thickBot="1">
      <c r="A41" s="1464" t="s">
        <v>828</v>
      </c>
      <c r="B41" s="450" t="s">
        <v>40</v>
      </c>
      <c r="C41" s="326">
        <f>SUM(C20:C35)</f>
        <v>0</v>
      </c>
      <c r="D41" s="326">
        <f>SUM(D20:D35)</f>
        <v>0</v>
      </c>
      <c r="E41" s="197">
        <f>SUM(E20:E40)</f>
        <v>285911</v>
      </c>
      <c r="F41" s="328">
        <f>SUM(F20:F40)</f>
        <v>285911</v>
      </c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s="20" customFormat="1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</sheetData>
  <sheetProtection/>
  <mergeCells count="6">
    <mergeCell ref="A2:F2"/>
    <mergeCell ref="A1:F1"/>
    <mergeCell ref="A13:F13"/>
    <mergeCell ref="B3:F3"/>
    <mergeCell ref="B15:F15"/>
    <mergeCell ref="B17:F17"/>
  </mergeCells>
  <printOptions/>
  <pageMargins left="0.5511811023622047" right="0.5511811023622047" top="0.98425196850393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60" sqref="A1:F60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546" t="s">
        <v>1338</v>
      </c>
      <c r="B1" s="1546"/>
      <c r="C1" s="1546"/>
      <c r="D1" s="1546"/>
      <c r="E1" s="1546"/>
      <c r="F1" s="1546"/>
    </row>
    <row r="2" spans="2:6" ht="15.75">
      <c r="B2" s="1566" t="s">
        <v>429</v>
      </c>
      <c r="C2" s="1566"/>
      <c r="D2" s="1566"/>
      <c r="E2" s="1566"/>
      <c r="F2" s="1566"/>
    </row>
    <row r="3" spans="2:6" ht="13.5" thickBot="1">
      <c r="B3" s="1571" t="s">
        <v>9</v>
      </c>
      <c r="C3" s="1571"/>
      <c r="D3" s="1571"/>
      <c r="E3" s="1571"/>
      <c r="F3" s="1571"/>
    </row>
    <row r="4" spans="1:6" ht="26.25" thickBot="1">
      <c r="A4" s="577" t="s">
        <v>801</v>
      </c>
      <c r="B4" s="173" t="s">
        <v>3</v>
      </c>
      <c r="C4" s="616" t="s">
        <v>37</v>
      </c>
      <c r="D4" s="596" t="s">
        <v>38</v>
      </c>
      <c r="E4" s="578" t="s">
        <v>55</v>
      </c>
      <c r="F4" s="576" t="s">
        <v>971</v>
      </c>
    </row>
    <row r="5" spans="1:6" ht="12.75">
      <c r="A5" s="591" t="s">
        <v>802</v>
      </c>
      <c r="B5" s="1053" t="s">
        <v>803</v>
      </c>
      <c r="C5" s="1041" t="s">
        <v>804</v>
      </c>
      <c r="D5" s="557" t="s">
        <v>805</v>
      </c>
      <c r="E5" s="1046"/>
      <c r="F5" s="1044" t="s">
        <v>825</v>
      </c>
    </row>
    <row r="6" spans="1:6" ht="12.75">
      <c r="A6" s="599" t="s">
        <v>806</v>
      </c>
      <c r="B6" s="200" t="s">
        <v>430</v>
      </c>
      <c r="C6" s="169" t="s">
        <v>541</v>
      </c>
      <c r="D6" s="643">
        <v>17000</v>
      </c>
      <c r="E6" s="190"/>
      <c r="F6" s="183">
        <f>SUM(C6:E6)</f>
        <v>17000</v>
      </c>
    </row>
    <row r="7" spans="1:6" ht="12.75">
      <c r="A7" s="599" t="s">
        <v>807</v>
      </c>
      <c r="B7" s="200" t="s">
        <v>431</v>
      </c>
      <c r="C7" s="169" t="s">
        <v>541</v>
      </c>
      <c r="D7" s="190">
        <v>3000</v>
      </c>
      <c r="E7" s="190"/>
      <c r="F7" s="183">
        <f aca="true" t="shared" si="0" ref="F7:F31">SUM(C7:E7)</f>
        <v>3000</v>
      </c>
    </row>
    <row r="8" spans="1:6" ht="12.75">
      <c r="A8" s="599" t="s">
        <v>808</v>
      </c>
      <c r="B8" s="1285" t="s">
        <v>1194</v>
      </c>
      <c r="C8" s="169" t="s">
        <v>541</v>
      </c>
      <c r="D8" s="190">
        <v>13500</v>
      </c>
      <c r="E8" s="190"/>
      <c r="F8" s="183">
        <f t="shared" si="0"/>
        <v>13500</v>
      </c>
    </row>
    <row r="9" spans="1:6" ht="12.75">
      <c r="A9" s="599" t="s">
        <v>809</v>
      </c>
      <c r="B9" s="1285" t="s">
        <v>1195</v>
      </c>
      <c r="C9" s="169" t="s">
        <v>541</v>
      </c>
      <c r="D9" s="190">
        <v>120000</v>
      </c>
      <c r="E9" s="190"/>
      <c r="F9" s="183">
        <f t="shared" si="0"/>
        <v>120000</v>
      </c>
    </row>
    <row r="10" spans="1:6" ht="12.75">
      <c r="A10" s="599" t="s">
        <v>810</v>
      </c>
      <c r="B10" s="200" t="s">
        <v>432</v>
      </c>
      <c r="C10" s="169" t="s">
        <v>541</v>
      </c>
      <c r="D10" s="190">
        <v>2200</v>
      </c>
      <c r="E10" s="190"/>
      <c r="F10" s="183">
        <f t="shared" si="0"/>
        <v>2200</v>
      </c>
    </row>
    <row r="11" spans="1:6" ht="12.75">
      <c r="A11" s="599" t="s">
        <v>811</v>
      </c>
      <c r="B11" s="200" t="s">
        <v>433</v>
      </c>
      <c r="C11" s="169" t="s">
        <v>541</v>
      </c>
      <c r="D11" s="190">
        <v>35000</v>
      </c>
      <c r="E11" s="190"/>
      <c r="F11" s="183">
        <f t="shared" si="0"/>
        <v>35000</v>
      </c>
    </row>
    <row r="12" spans="1:6" ht="12.75">
      <c r="A12" s="599" t="s">
        <v>812</v>
      </c>
      <c r="B12" s="1286" t="s">
        <v>1196</v>
      </c>
      <c r="C12" s="169" t="s">
        <v>541</v>
      </c>
      <c r="D12" s="643" t="s">
        <v>541</v>
      </c>
      <c r="E12" s="190">
        <v>80</v>
      </c>
      <c r="F12" s="183">
        <f t="shared" si="0"/>
        <v>80</v>
      </c>
    </row>
    <row r="13" spans="1:6" ht="12.75">
      <c r="A13" s="599" t="s">
        <v>813</v>
      </c>
      <c r="B13" s="200" t="s">
        <v>434</v>
      </c>
      <c r="C13" s="169" t="s">
        <v>541</v>
      </c>
      <c r="D13" s="190">
        <v>60414</v>
      </c>
      <c r="E13" s="190"/>
      <c r="F13" s="183">
        <f t="shared" si="0"/>
        <v>60414</v>
      </c>
    </row>
    <row r="14" spans="1:6" ht="12.75">
      <c r="A14" s="599" t="s">
        <v>814</v>
      </c>
      <c r="B14" s="200" t="s">
        <v>435</v>
      </c>
      <c r="C14" s="169" t="s">
        <v>541</v>
      </c>
      <c r="D14" s="643" t="s">
        <v>541</v>
      </c>
      <c r="E14" s="190">
        <v>2000</v>
      </c>
      <c r="F14" s="183">
        <f t="shared" si="0"/>
        <v>2000</v>
      </c>
    </row>
    <row r="15" spans="1:6" ht="12.75">
      <c r="A15" s="599" t="s">
        <v>815</v>
      </c>
      <c r="B15" s="200" t="s">
        <v>436</v>
      </c>
      <c r="C15" s="169" t="s">
        <v>541</v>
      </c>
      <c r="D15" s="643" t="s">
        <v>541</v>
      </c>
      <c r="E15" s="190">
        <v>2000</v>
      </c>
      <c r="F15" s="183">
        <f t="shared" si="0"/>
        <v>2000</v>
      </c>
    </row>
    <row r="16" spans="1:6" ht="12.75">
      <c r="A16" s="599" t="s">
        <v>816</v>
      </c>
      <c r="B16" s="200" t="s">
        <v>437</v>
      </c>
      <c r="C16" s="169" t="s">
        <v>541</v>
      </c>
      <c r="D16" s="190">
        <v>600</v>
      </c>
      <c r="E16" s="190"/>
      <c r="F16" s="183">
        <f t="shared" si="0"/>
        <v>600</v>
      </c>
    </row>
    <row r="17" spans="1:6" ht="12.75">
      <c r="A17" s="599" t="s">
        <v>817</v>
      </c>
      <c r="B17" s="200" t="s">
        <v>852</v>
      </c>
      <c r="C17" s="169" t="s">
        <v>541</v>
      </c>
      <c r="D17" s="190">
        <v>200</v>
      </c>
      <c r="E17" s="190"/>
      <c r="F17" s="183">
        <f t="shared" si="0"/>
        <v>200</v>
      </c>
    </row>
    <row r="18" spans="1:6" ht="12.75">
      <c r="A18" s="599" t="s">
        <v>818</v>
      </c>
      <c r="B18" s="200" t="s">
        <v>438</v>
      </c>
      <c r="C18" s="169" t="s">
        <v>541</v>
      </c>
      <c r="D18" s="643" t="s">
        <v>541</v>
      </c>
      <c r="E18" s="190">
        <v>500</v>
      </c>
      <c r="F18" s="183">
        <f t="shared" si="0"/>
        <v>500</v>
      </c>
    </row>
    <row r="19" spans="1:6" ht="12.75">
      <c r="A19" s="599" t="s">
        <v>819</v>
      </c>
      <c r="B19" s="200" t="s">
        <v>439</v>
      </c>
      <c r="C19" s="169" t="s">
        <v>541</v>
      </c>
      <c r="D19" s="643" t="s">
        <v>541</v>
      </c>
      <c r="E19" s="190">
        <v>0</v>
      </c>
      <c r="F19" s="183">
        <f t="shared" si="0"/>
        <v>0</v>
      </c>
    </row>
    <row r="20" spans="1:6" ht="12.75">
      <c r="A20" s="599" t="s">
        <v>820</v>
      </c>
      <c r="B20" s="200" t="s">
        <v>440</v>
      </c>
      <c r="C20" s="169" t="s">
        <v>541</v>
      </c>
      <c r="D20" s="643" t="s">
        <v>541</v>
      </c>
      <c r="E20" s="190">
        <v>8500</v>
      </c>
      <c r="F20" s="183">
        <f t="shared" si="0"/>
        <v>8500</v>
      </c>
    </row>
    <row r="21" spans="1:6" ht="12.75">
      <c r="A21" s="552" t="s">
        <v>821</v>
      </c>
      <c r="B21" s="200" t="s">
        <v>447</v>
      </c>
      <c r="C21" s="169" t="s">
        <v>541</v>
      </c>
      <c r="D21" s="643" t="s">
        <v>541</v>
      </c>
      <c r="E21" s="190">
        <v>390</v>
      </c>
      <c r="F21" s="183">
        <f t="shared" si="0"/>
        <v>390</v>
      </c>
    </row>
    <row r="22" spans="1:6" ht="12.75">
      <c r="A22" s="552" t="s">
        <v>822</v>
      </c>
      <c r="B22" s="200" t="s">
        <v>441</v>
      </c>
      <c r="C22" s="169" t="s">
        <v>541</v>
      </c>
      <c r="D22" s="643" t="s">
        <v>541</v>
      </c>
      <c r="E22" s="190">
        <v>20000</v>
      </c>
      <c r="F22" s="183">
        <f t="shared" si="0"/>
        <v>20000</v>
      </c>
    </row>
    <row r="23" spans="1:6" ht="12.75">
      <c r="A23" s="552" t="s">
        <v>823</v>
      </c>
      <c r="B23" s="200" t="s">
        <v>442</v>
      </c>
      <c r="C23" s="169" t="s">
        <v>541</v>
      </c>
      <c r="D23" s="643" t="s">
        <v>541</v>
      </c>
      <c r="E23" s="190">
        <v>30000</v>
      </c>
      <c r="F23" s="183">
        <f t="shared" si="0"/>
        <v>30000</v>
      </c>
    </row>
    <row r="24" spans="1:6" ht="12.75">
      <c r="A24" s="552" t="s">
        <v>824</v>
      </c>
      <c r="B24" s="200" t="s">
        <v>443</v>
      </c>
      <c r="C24" s="169" t="s">
        <v>541</v>
      </c>
      <c r="D24" s="643" t="s">
        <v>541</v>
      </c>
      <c r="E24" s="190">
        <v>3000</v>
      </c>
      <c r="F24" s="183">
        <f t="shared" si="0"/>
        <v>3000</v>
      </c>
    </row>
    <row r="25" spans="1:6" ht="12.75">
      <c r="A25" s="552" t="s">
        <v>826</v>
      </c>
      <c r="B25" s="200" t="s">
        <v>854</v>
      </c>
      <c r="C25" s="169" t="s">
        <v>541</v>
      </c>
      <c r="D25" s="643" t="s">
        <v>541</v>
      </c>
      <c r="E25" s="190">
        <v>3000</v>
      </c>
      <c r="F25" s="183">
        <f t="shared" si="0"/>
        <v>3000</v>
      </c>
    </row>
    <row r="26" spans="1:6" ht="12.75">
      <c r="A26" s="552" t="s">
        <v>827</v>
      </c>
      <c r="B26" s="200" t="s">
        <v>853</v>
      </c>
      <c r="C26" s="169" t="s">
        <v>541</v>
      </c>
      <c r="D26" s="643" t="s">
        <v>541</v>
      </c>
      <c r="E26" s="190">
        <v>492</v>
      </c>
      <c r="F26" s="183">
        <f t="shared" si="0"/>
        <v>492</v>
      </c>
    </row>
    <row r="27" spans="1:6" ht="12.75">
      <c r="A27" s="552" t="s">
        <v>828</v>
      </c>
      <c r="B27" s="200" t="s">
        <v>444</v>
      </c>
      <c r="C27" s="169" t="s">
        <v>541</v>
      </c>
      <c r="D27" s="643" t="s">
        <v>541</v>
      </c>
      <c r="E27" s="190">
        <v>10000</v>
      </c>
      <c r="F27" s="183">
        <f t="shared" si="0"/>
        <v>10000</v>
      </c>
    </row>
    <row r="28" spans="1:6" ht="12.75">
      <c r="A28" s="552" t="s">
        <v>829</v>
      </c>
      <c r="B28" s="200" t="s">
        <v>445</v>
      </c>
      <c r="C28" s="169" t="s">
        <v>541</v>
      </c>
      <c r="D28" s="643" t="s">
        <v>541</v>
      </c>
      <c r="E28" s="190">
        <v>800</v>
      </c>
      <c r="F28" s="183">
        <f t="shared" si="0"/>
        <v>800</v>
      </c>
    </row>
    <row r="29" spans="1:6" ht="12.75">
      <c r="A29" s="552" t="s">
        <v>830</v>
      </c>
      <c r="B29" s="1058" t="s">
        <v>1198</v>
      </c>
      <c r="C29" s="169" t="s">
        <v>541</v>
      </c>
      <c r="D29" s="190">
        <v>1200</v>
      </c>
      <c r="E29" s="190">
        <v>0</v>
      </c>
      <c r="F29" s="183">
        <f t="shared" si="0"/>
        <v>1200</v>
      </c>
    </row>
    <row r="30" spans="1:6" ht="12.75">
      <c r="A30" s="552" t="s">
        <v>831</v>
      </c>
      <c r="B30" s="1058" t="s">
        <v>446</v>
      </c>
      <c r="C30" s="169"/>
      <c r="D30" s="147"/>
      <c r="E30" s="190">
        <v>7000</v>
      </c>
      <c r="F30" s="183">
        <f t="shared" si="0"/>
        <v>7000</v>
      </c>
    </row>
    <row r="31" spans="1:6" ht="13.5" thickBot="1">
      <c r="A31" s="617" t="s">
        <v>832</v>
      </c>
      <c r="B31" s="1058" t="s">
        <v>1197</v>
      </c>
      <c r="C31" s="169"/>
      <c r="D31" s="147"/>
      <c r="E31" s="190">
        <v>45583</v>
      </c>
      <c r="F31" s="183">
        <f t="shared" si="0"/>
        <v>45583</v>
      </c>
    </row>
    <row r="32" spans="1:6" ht="13.5" thickBot="1">
      <c r="A32" s="582" t="s">
        <v>833</v>
      </c>
      <c r="B32" s="1057" t="s">
        <v>448</v>
      </c>
      <c r="C32" s="454">
        <f>SUM(C6:C31)</f>
        <v>0</v>
      </c>
      <c r="D32" s="595">
        <f>SUM(D6:D31)</f>
        <v>253114</v>
      </c>
      <c r="E32" s="454">
        <f>SUM(E6:E31)</f>
        <v>133345</v>
      </c>
      <c r="F32" s="454">
        <f>SUM(F6:F31)</f>
        <v>386459</v>
      </c>
    </row>
    <row r="33" spans="2:6" ht="15.75">
      <c r="B33" s="211"/>
      <c r="C33" s="24"/>
      <c r="D33" s="24"/>
      <c r="E33" s="24"/>
      <c r="F33" s="24"/>
    </row>
    <row r="35" spans="1:6" ht="12.75">
      <c r="A35" s="1546" t="s">
        <v>1339</v>
      </c>
      <c r="B35" s="1546"/>
      <c r="C35" s="1546"/>
      <c r="D35" s="1546"/>
      <c r="E35" s="1546"/>
      <c r="F35" s="1546"/>
    </row>
    <row r="36" spans="2:6" ht="15.75">
      <c r="B36" s="1566" t="s">
        <v>449</v>
      </c>
      <c r="C36" s="1566"/>
      <c r="D36" s="1566"/>
      <c r="E36" s="1566"/>
      <c r="F36" s="1566"/>
    </row>
    <row r="37" spans="2:6" ht="13.5" thickBot="1">
      <c r="B37" s="1571" t="s">
        <v>9</v>
      </c>
      <c r="C37" s="1571"/>
      <c r="D37" s="1571"/>
      <c r="E37" s="1571"/>
      <c r="F37" s="1571"/>
    </row>
    <row r="38" spans="1:6" ht="26.25" thickBot="1">
      <c r="A38" s="577" t="s">
        <v>801</v>
      </c>
      <c r="B38" s="173" t="s">
        <v>36</v>
      </c>
      <c r="C38" s="513" t="s">
        <v>37</v>
      </c>
      <c r="D38" s="596" t="s">
        <v>38</v>
      </c>
      <c r="E38" s="578" t="s">
        <v>55</v>
      </c>
      <c r="F38" s="576" t="s">
        <v>971</v>
      </c>
    </row>
    <row r="39" spans="1:6" ht="12.75">
      <c r="A39" s="591" t="s">
        <v>802</v>
      </c>
      <c r="B39" s="1053" t="s">
        <v>803</v>
      </c>
      <c r="C39" s="1041" t="s">
        <v>804</v>
      </c>
      <c r="D39" s="557" t="s">
        <v>805</v>
      </c>
      <c r="E39" s="1046" t="s">
        <v>825</v>
      </c>
      <c r="F39" s="1044" t="s">
        <v>850</v>
      </c>
    </row>
    <row r="40" spans="1:6" ht="12.75">
      <c r="A40" s="599" t="s">
        <v>806</v>
      </c>
      <c r="B40" s="200"/>
      <c r="C40" s="190"/>
      <c r="D40" s="147"/>
      <c r="E40" s="190"/>
      <c r="F40" s="183"/>
    </row>
    <row r="41" spans="1:6" ht="12.75">
      <c r="A41" s="599" t="s">
        <v>807</v>
      </c>
      <c r="B41" s="200"/>
      <c r="C41" s="169"/>
      <c r="D41" s="206"/>
      <c r="E41" s="169"/>
      <c r="F41" s="183"/>
    </row>
    <row r="42" spans="1:6" ht="12.75">
      <c r="A42" s="599" t="s">
        <v>808</v>
      </c>
      <c r="B42" s="200"/>
      <c r="C42" s="169"/>
      <c r="D42" s="206"/>
      <c r="E42" s="169"/>
      <c r="F42" s="183"/>
    </row>
    <row r="43" spans="1:6" ht="12.75">
      <c r="A43" s="599" t="s">
        <v>809</v>
      </c>
      <c r="B43" s="200"/>
      <c r="C43" s="169"/>
      <c r="D43" s="206"/>
      <c r="E43" s="169"/>
      <c r="F43" s="183"/>
    </row>
    <row r="44" spans="1:6" ht="13.5" thickBot="1">
      <c r="A44" s="602" t="s">
        <v>810</v>
      </c>
      <c r="B44" s="452"/>
      <c r="C44" s="482"/>
      <c r="D44" s="1054"/>
      <c r="E44" s="482"/>
      <c r="F44" s="183"/>
    </row>
    <row r="45" spans="1:6" ht="13.5" thickBot="1">
      <c r="A45" s="582" t="s">
        <v>811</v>
      </c>
      <c r="B45" s="173" t="s">
        <v>450</v>
      </c>
      <c r="C45" s="1052">
        <f>SUM(C40:C44)</f>
        <v>0</v>
      </c>
      <c r="D45" s="1055">
        <f>SUM(D40:D44)</f>
        <v>0</v>
      </c>
      <c r="E45" s="1052">
        <f>SUM(E40:E44)</f>
        <v>0</v>
      </c>
      <c r="F45" s="1051">
        <v>0</v>
      </c>
    </row>
    <row r="46" spans="1:6" ht="12.75">
      <c r="A46" s="580"/>
      <c r="B46" s="48"/>
      <c r="C46" s="39"/>
      <c r="D46" s="48"/>
      <c r="E46" s="48"/>
      <c r="F46" s="48"/>
    </row>
    <row r="48" spans="1:6" ht="12.75">
      <c r="A48" s="1546" t="s">
        <v>1340</v>
      </c>
      <c r="B48" s="1546"/>
      <c r="C48" s="1546"/>
      <c r="D48" s="1546"/>
      <c r="E48" s="1546"/>
      <c r="F48" s="1546"/>
    </row>
    <row r="49" spans="2:6" ht="15.75">
      <c r="B49" s="1566" t="s">
        <v>451</v>
      </c>
      <c r="C49" s="1566"/>
      <c r="D49" s="1566"/>
      <c r="E49" s="1566"/>
      <c r="F49" s="1566"/>
    </row>
    <row r="50" spans="2:6" ht="13.5" thickBot="1">
      <c r="B50" s="1571" t="s">
        <v>9</v>
      </c>
      <c r="C50" s="1571"/>
      <c r="D50" s="1571"/>
      <c r="E50" s="1571"/>
      <c r="F50" s="1571"/>
    </row>
    <row r="51" spans="1:6" ht="26.25" thickBot="1">
      <c r="A51" s="577" t="s">
        <v>801</v>
      </c>
      <c r="B51" s="214" t="s">
        <v>36</v>
      </c>
      <c r="C51" s="143" t="s">
        <v>37</v>
      </c>
      <c r="D51" s="596" t="s">
        <v>38</v>
      </c>
      <c r="E51" s="578" t="s">
        <v>55</v>
      </c>
      <c r="F51" s="548" t="s">
        <v>971</v>
      </c>
    </row>
    <row r="52" spans="1:6" ht="13.5" thickBot="1">
      <c r="A52" s="591" t="s">
        <v>802</v>
      </c>
      <c r="B52" s="559" t="s">
        <v>803</v>
      </c>
      <c r="C52" s="556" t="s">
        <v>804</v>
      </c>
      <c r="D52" s="557" t="s">
        <v>805</v>
      </c>
      <c r="E52" s="1046" t="s">
        <v>825</v>
      </c>
      <c r="F52" s="558" t="s">
        <v>850</v>
      </c>
    </row>
    <row r="53" spans="1:6" ht="12.75">
      <c r="A53" s="599" t="s">
        <v>806</v>
      </c>
      <c r="B53" s="540" t="s">
        <v>1215</v>
      </c>
      <c r="C53" s="213"/>
      <c r="D53" s="1056"/>
      <c r="E53" s="1023">
        <v>300</v>
      </c>
      <c r="F53" s="1023">
        <f aca="true" t="shared" si="1" ref="F53:F58">SUM(C53:E53)</f>
        <v>300</v>
      </c>
    </row>
    <row r="54" spans="1:6" ht="12.75">
      <c r="A54" s="599" t="s">
        <v>807</v>
      </c>
      <c r="B54" s="155" t="s">
        <v>1216</v>
      </c>
      <c r="C54" s="538"/>
      <c r="D54" s="1049"/>
      <c r="E54" s="193">
        <v>60000</v>
      </c>
      <c r="F54" s="190">
        <f t="shared" si="1"/>
        <v>60000</v>
      </c>
    </row>
    <row r="55" spans="1:6" ht="12.75">
      <c r="A55" s="599" t="s">
        <v>808</v>
      </c>
      <c r="B55" s="155" t="s">
        <v>792</v>
      </c>
      <c r="C55" s="161"/>
      <c r="D55" s="1047"/>
      <c r="E55" s="190">
        <v>28853</v>
      </c>
      <c r="F55" s="190">
        <f t="shared" si="1"/>
        <v>28853</v>
      </c>
    </row>
    <row r="56" spans="1:6" ht="12.75">
      <c r="A56" s="599" t="s">
        <v>809</v>
      </c>
      <c r="B56" s="376" t="s">
        <v>51</v>
      </c>
      <c r="C56" s="161"/>
      <c r="D56" s="1047"/>
      <c r="E56" s="190">
        <v>5000</v>
      </c>
      <c r="F56" s="190">
        <f t="shared" si="1"/>
        <v>5000</v>
      </c>
    </row>
    <row r="57" spans="1:6" ht="12.75">
      <c r="A57" s="599" t="s">
        <v>810</v>
      </c>
      <c r="B57" s="376" t="s">
        <v>1030</v>
      </c>
      <c r="C57" s="161"/>
      <c r="D57" s="1047"/>
      <c r="E57" s="190">
        <v>27198</v>
      </c>
      <c r="F57" s="190">
        <f t="shared" si="1"/>
        <v>27198</v>
      </c>
    </row>
    <row r="58" spans="1:6" ht="13.5" thickBot="1">
      <c r="A58" s="602" t="s">
        <v>811</v>
      </c>
      <c r="B58" s="541" t="s">
        <v>52</v>
      </c>
      <c r="C58" s="539"/>
      <c r="D58" s="1050"/>
      <c r="E58" s="706">
        <v>1000</v>
      </c>
      <c r="F58" s="189">
        <f t="shared" si="1"/>
        <v>1000</v>
      </c>
    </row>
    <row r="59" spans="1:6" ht="13.5" thickBot="1">
      <c r="A59" s="582" t="s">
        <v>812</v>
      </c>
      <c r="B59" s="166" t="s">
        <v>453</v>
      </c>
      <c r="C59" s="445">
        <f>SUM(C53:C58)</f>
        <v>0</v>
      </c>
      <c r="D59" s="445">
        <f>SUM(D53:D58)</f>
        <v>0</v>
      </c>
      <c r="E59" s="197">
        <f>SUM(E53:E58)</f>
        <v>122351</v>
      </c>
      <c r="F59" s="328">
        <f>SUM(F53:F58)</f>
        <v>122351</v>
      </c>
    </row>
  </sheetData>
  <sheetProtection/>
  <mergeCells count="9">
    <mergeCell ref="A1:F1"/>
    <mergeCell ref="A35:F35"/>
    <mergeCell ref="A48:F48"/>
    <mergeCell ref="B49:F49"/>
    <mergeCell ref="B50:F50"/>
    <mergeCell ref="B2:F2"/>
    <mergeCell ref="B3:F3"/>
    <mergeCell ref="B36:F36"/>
    <mergeCell ref="B37:F37"/>
  </mergeCells>
  <printOptions/>
  <pageMargins left="0.5118110236220472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48" sqref="A1:C48"/>
    </sheetView>
  </sheetViews>
  <sheetFormatPr defaultColWidth="9.140625" defaultRowHeight="12.75"/>
  <cols>
    <col min="1" max="1" width="5.8515625" style="0" customWidth="1"/>
    <col min="2" max="2" width="65.7109375" style="0" customWidth="1"/>
    <col min="3" max="3" width="19.00390625" style="0" customWidth="1"/>
  </cols>
  <sheetData>
    <row r="1" spans="1:5" ht="12.75">
      <c r="A1" s="571" t="s">
        <v>1341</v>
      </c>
      <c r="B1" s="571"/>
      <c r="C1" s="571"/>
      <c r="D1" s="571"/>
      <c r="E1" s="571"/>
    </row>
    <row r="2" spans="2:3" ht="12.75">
      <c r="B2" s="1"/>
      <c r="C2" s="1"/>
    </row>
    <row r="3" spans="2:3" ht="15.75">
      <c r="B3" s="1566" t="s">
        <v>454</v>
      </c>
      <c r="C3" s="1566"/>
    </row>
    <row r="4" spans="2:3" ht="13.5" thickBot="1">
      <c r="B4" s="1"/>
      <c r="C4" s="1" t="s">
        <v>53</v>
      </c>
    </row>
    <row r="5" spans="1:3" ht="27" thickBot="1">
      <c r="A5" s="577" t="s">
        <v>801</v>
      </c>
      <c r="B5" s="632" t="s">
        <v>54</v>
      </c>
      <c r="C5" s="578" t="s">
        <v>39</v>
      </c>
    </row>
    <row r="6" spans="1:3" ht="12.75">
      <c r="A6" s="1067" t="s">
        <v>802</v>
      </c>
      <c r="B6" s="633" t="s">
        <v>803</v>
      </c>
      <c r="C6" s="635" t="s">
        <v>804</v>
      </c>
    </row>
    <row r="7" spans="1:3" ht="13.5" thickBot="1">
      <c r="A7" s="1066" t="s">
        <v>806</v>
      </c>
      <c r="B7" s="551"/>
      <c r="C7" s="636"/>
    </row>
    <row r="8" spans="1:3" ht="13.5" thickBot="1">
      <c r="A8" s="1060" t="s">
        <v>807</v>
      </c>
      <c r="B8" s="1062" t="s">
        <v>58</v>
      </c>
      <c r="C8" s="1063">
        <v>0</v>
      </c>
    </row>
    <row r="9" spans="1:3" ht="13.5" thickBot="1">
      <c r="A9" s="1064" t="s">
        <v>808</v>
      </c>
      <c r="B9" s="694"/>
      <c r="C9" s="697"/>
    </row>
    <row r="10" spans="1:3" ht="13.5" thickBot="1">
      <c r="A10" s="1065" t="s">
        <v>809</v>
      </c>
      <c r="B10" s="450" t="s">
        <v>116</v>
      </c>
      <c r="C10" s="214">
        <v>0</v>
      </c>
    </row>
    <row r="11" spans="1:3" ht="12.75">
      <c r="A11" s="1061" t="s">
        <v>810</v>
      </c>
      <c r="B11" s="291"/>
      <c r="C11" s="638"/>
    </row>
    <row r="12" spans="1:3" ht="12.75">
      <c r="A12" s="1059" t="s">
        <v>811</v>
      </c>
      <c r="B12" s="4" t="s">
        <v>1031</v>
      </c>
      <c r="C12" s="639"/>
    </row>
    <row r="13" spans="1:3" ht="12.75">
      <c r="A13" s="1059" t="s">
        <v>812</v>
      </c>
      <c r="B13" s="4" t="s">
        <v>59</v>
      </c>
      <c r="C13" s="219">
        <v>1250</v>
      </c>
    </row>
    <row r="14" spans="1:3" ht="13.5" thickBot="1">
      <c r="A14" s="1059" t="s">
        <v>813</v>
      </c>
      <c r="B14" s="551" t="s">
        <v>60</v>
      </c>
      <c r="C14" s="357">
        <v>0</v>
      </c>
    </row>
    <row r="15" spans="1:3" ht="13.5" thickBot="1">
      <c r="A15" s="675" t="s">
        <v>814</v>
      </c>
      <c r="B15" s="597" t="s">
        <v>1032</v>
      </c>
      <c r="C15" s="354">
        <f>C13+C14</f>
        <v>1250</v>
      </c>
    </row>
    <row r="16" spans="1:3" ht="13.5" thickBot="1">
      <c r="A16" s="675" t="s">
        <v>815</v>
      </c>
      <c r="B16" s="603" t="s">
        <v>1033</v>
      </c>
      <c r="C16" s="222">
        <f>C8+C15+C10</f>
        <v>1250</v>
      </c>
    </row>
    <row r="17" spans="2:3" ht="12.75">
      <c r="B17" s="1"/>
      <c r="C17" s="1"/>
    </row>
    <row r="18" spans="2:3" ht="12.75">
      <c r="B18" s="1"/>
      <c r="C18" s="1"/>
    </row>
    <row r="19" spans="1:5" ht="12.75">
      <c r="A19" s="571" t="s">
        <v>1342</v>
      </c>
      <c r="B19" s="571"/>
      <c r="C19" s="571"/>
      <c r="D19" s="571"/>
      <c r="E19" s="571"/>
    </row>
    <row r="20" spans="1:5" ht="12.75">
      <c r="A20" s="571"/>
      <c r="B20" s="571"/>
      <c r="C20" s="571"/>
      <c r="D20" s="571"/>
      <c r="E20" s="571"/>
    </row>
    <row r="21" spans="2:3" ht="15.75">
      <c r="B21" s="1566" t="s">
        <v>455</v>
      </c>
      <c r="C21" s="1566"/>
    </row>
    <row r="22" spans="2:3" ht="15.75">
      <c r="B22" s="140"/>
      <c r="C22" s="1"/>
    </row>
    <row r="23" spans="2:3" ht="13.5" thickBot="1">
      <c r="B23" s="1"/>
      <c r="C23" s="25" t="s">
        <v>53</v>
      </c>
    </row>
    <row r="24" spans="1:3" ht="27" thickBot="1">
      <c r="A24" s="577" t="s">
        <v>801</v>
      </c>
      <c r="B24" s="623" t="s">
        <v>54</v>
      </c>
      <c r="C24" s="578" t="s">
        <v>39</v>
      </c>
    </row>
    <row r="25" spans="1:3" ht="12.75">
      <c r="A25" s="625" t="s">
        <v>802</v>
      </c>
      <c r="B25" s="249" t="s">
        <v>803</v>
      </c>
      <c r="C25" s="628" t="s">
        <v>804</v>
      </c>
    </row>
    <row r="26" spans="1:3" ht="12.75">
      <c r="A26" s="626" t="s">
        <v>806</v>
      </c>
      <c r="B26" s="629" t="s">
        <v>456</v>
      </c>
      <c r="C26" s="619">
        <f>C27+C29</f>
        <v>0</v>
      </c>
    </row>
    <row r="27" spans="1:3" ht="12.75">
      <c r="A27" s="626" t="s">
        <v>807</v>
      </c>
      <c r="B27" s="169" t="s">
        <v>458</v>
      </c>
      <c r="C27" s="620"/>
    </row>
    <row r="28" spans="1:3" ht="12.75">
      <c r="A28" s="626"/>
      <c r="B28" s="169"/>
      <c r="C28" s="620"/>
    </row>
    <row r="29" spans="1:3" ht="12.75">
      <c r="A29" s="626" t="s">
        <v>808</v>
      </c>
      <c r="B29" s="169" t="s">
        <v>457</v>
      </c>
      <c r="C29" s="620"/>
    </row>
    <row r="30" spans="1:3" ht="12.75">
      <c r="A30" s="626"/>
      <c r="B30" s="169"/>
      <c r="C30" s="620"/>
    </row>
    <row r="31" spans="1:3" ht="12.75">
      <c r="A31" s="626" t="s">
        <v>809</v>
      </c>
      <c r="B31" s="629" t="s">
        <v>459</v>
      </c>
      <c r="C31" s="188">
        <f>C32+C35</f>
        <v>62200</v>
      </c>
    </row>
    <row r="32" spans="1:3" ht="12.75">
      <c r="A32" s="626" t="s">
        <v>810</v>
      </c>
      <c r="B32" s="169" t="s">
        <v>461</v>
      </c>
      <c r="C32" s="186">
        <f>C33+C34</f>
        <v>0</v>
      </c>
    </row>
    <row r="33" spans="1:3" ht="12.75">
      <c r="A33" s="626" t="s">
        <v>811</v>
      </c>
      <c r="B33" s="169" t="s">
        <v>56</v>
      </c>
      <c r="C33" s="335">
        <v>0</v>
      </c>
    </row>
    <row r="34" spans="1:3" ht="12.75">
      <c r="A34" s="626"/>
      <c r="B34" s="169"/>
      <c r="C34" s="335"/>
    </row>
    <row r="35" spans="1:3" ht="12.75">
      <c r="A35" s="626" t="s">
        <v>812</v>
      </c>
      <c r="B35" s="169" t="s">
        <v>460</v>
      </c>
      <c r="C35" s="335">
        <f>C36+C37+C38</f>
        <v>62200</v>
      </c>
    </row>
    <row r="36" spans="1:3" ht="12.75">
      <c r="A36" s="626" t="s">
        <v>813</v>
      </c>
      <c r="B36" s="169" t="s">
        <v>57</v>
      </c>
      <c r="C36" s="335">
        <v>5000</v>
      </c>
    </row>
    <row r="37" spans="1:3" ht="12.75">
      <c r="A37" s="626" t="s">
        <v>814</v>
      </c>
      <c r="B37" s="169" t="s">
        <v>542</v>
      </c>
      <c r="C37" s="335">
        <v>0</v>
      </c>
    </row>
    <row r="38" spans="1:3" ht="12.75">
      <c r="A38" s="626" t="s">
        <v>815</v>
      </c>
      <c r="B38" s="169" t="s">
        <v>1418</v>
      </c>
      <c r="C38" s="335">
        <v>57200</v>
      </c>
    </row>
    <row r="39" spans="1:3" ht="12.75">
      <c r="A39" s="626"/>
      <c r="B39" s="169"/>
      <c r="C39" s="335"/>
    </row>
    <row r="40" spans="1:3" ht="12.75">
      <c r="A40" s="626" t="s">
        <v>816</v>
      </c>
      <c r="B40" s="629" t="s">
        <v>462</v>
      </c>
      <c r="C40" s="621">
        <f>C41+C43</f>
        <v>0</v>
      </c>
    </row>
    <row r="41" spans="1:3" ht="12.75">
      <c r="A41" s="626" t="s">
        <v>817</v>
      </c>
      <c r="B41" s="169" t="s">
        <v>463</v>
      </c>
      <c r="C41" s="335"/>
    </row>
    <row r="42" spans="1:3" ht="12.75">
      <c r="A42" s="626"/>
      <c r="B42" s="169"/>
      <c r="C42" s="335"/>
    </row>
    <row r="43" spans="1:3" ht="12.75">
      <c r="A43" s="626" t="s">
        <v>818</v>
      </c>
      <c r="B43" s="169" t="s">
        <v>464</v>
      </c>
      <c r="C43" s="622"/>
    </row>
    <row r="44" spans="1:3" ht="13.5" thickBot="1">
      <c r="A44" s="627"/>
      <c r="B44" s="630"/>
      <c r="C44" s="189"/>
    </row>
    <row r="45" spans="1:3" ht="13.5" thickBot="1">
      <c r="A45" s="624" t="s">
        <v>819</v>
      </c>
      <c r="B45" s="542" t="s">
        <v>465</v>
      </c>
      <c r="C45" s="328">
        <f>C26+C31+C40</f>
        <v>62200</v>
      </c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30.75" customHeight="1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</sheetData>
  <sheetProtection/>
  <mergeCells count="2">
    <mergeCell ref="B21:C21"/>
    <mergeCell ref="B3:C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55">
      <selection activeCell="D8" sqref="D8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4" width="14.421875" style="0" customWidth="1"/>
    <col min="5" max="5" width="12.57421875" style="0" customWidth="1"/>
    <col min="6" max="6" width="12.7109375" style="0" customWidth="1"/>
  </cols>
  <sheetData>
    <row r="1" spans="1:5" ht="12.75" customHeight="1">
      <c r="A1" s="1546" t="s">
        <v>1343</v>
      </c>
      <c r="B1" s="1546"/>
      <c r="C1" s="1546"/>
      <c r="D1" s="1546"/>
      <c r="E1" s="1546"/>
    </row>
    <row r="2" spans="2:6" ht="15.75">
      <c r="B2" s="1566" t="s">
        <v>1034</v>
      </c>
      <c r="C2" s="1566"/>
      <c r="D2" s="1566"/>
      <c r="E2" s="1566"/>
      <c r="F2" s="1570"/>
    </row>
    <row r="3" spans="2:6" ht="13.5" thickBot="1">
      <c r="B3" s="1"/>
      <c r="C3" s="1"/>
      <c r="D3" s="1"/>
      <c r="E3" s="25"/>
      <c r="F3" s="25" t="s">
        <v>9</v>
      </c>
    </row>
    <row r="4" spans="1:6" ht="15.75" customHeight="1" thickBot="1">
      <c r="A4" s="1574" t="s">
        <v>801</v>
      </c>
      <c r="B4" s="384" t="s">
        <v>61</v>
      </c>
      <c r="C4" s="1560" t="s">
        <v>970</v>
      </c>
      <c r="D4" s="1562" t="s">
        <v>55</v>
      </c>
      <c r="E4" s="1562" t="s">
        <v>981</v>
      </c>
      <c r="F4" s="1556" t="s">
        <v>971</v>
      </c>
    </row>
    <row r="5" spans="1:6" ht="20.25" customHeight="1" thickBot="1">
      <c r="A5" s="1574"/>
      <c r="B5" s="387"/>
      <c r="C5" s="1561"/>
      <c r="D5" s="1563"/>
      <c r="E5" s="1563"/>
      <c r="F5" s="1557"/>
    </row>
    <row r="6" spans="1:6" ht="13.5" thickBot="1">
      <c r="A6" s="825" t="s">
        <v>802</v>
      </c>
      <c r="B6" s="1068" t="s">
        <v>803</v>
      </c>
      <c r="C6" s="1069" t="s">
        <v>804</v>
      </c>
      <c r="D6" s="1070" t="s">
        <v>805</v>
      </c>
      <c r="E6" s="1070" t="s">
        <v>825</v>
      </c>
      <c r="F6" s="1071" t="s">
        <v>850</v>
      </c>
    </row>
    <row r="7" spans="1:6" ht="13.5" thickBot="1">
      <c r="A7" s="825" t="s">
        <v>806</v>
      </c>
      <c r="B7" s="388" t="s">
        <v>551</v>
      </c>
      <c r="C7" s="78">
        <f>C8+C9+C14+C20</f>
        <v>545931</v>
      </c>
      <c r="D7" s="1072">
        <f>D8+D9+D14+D20</f>
        <v>3104794.2996666664</v>
      </c>
      <c r="E7" s="1072">
        <f>E8+E9+E14+E20</f>
        <v>2618</v>
      </c>
      <c r="F7" s="157">
        <f aca="true" t="shared" si="0" ref="F7:F20">SUM(C7:E7)</f>
        <v>3653343.2996666664</v>
      </c>
    </row>
    <row r="8" spans="1:6" ht="13.5" thickBot="1">
      <c r="A8" s="825" t="s">
        <v>807</v>
      </c>
      <c r="B8" s="389" t="s">
        <v>543</v>
      </c>
      <c r="C8" s="38">
        <f>'30_ sz_ melléklet'!D130</f>
        <v>216940</v>
      </c>
      <c r="D8" s="1073">
        <f>'14 16_sz_ melléklet'!E11</f>
        <v>110028</v>
      </c>
      <c r="E8" s="1073">
        <f>'31_sz_ melléklet'!E71</f>
        <v>959</v>
      </c>
      <c r="F8" s="401">
        <f t="shared" si="0"/>
        <v>327927</v>
      </c>
    </row>
    <row r="9" spans="1:6" s="19" customFormat="1" ht="13.5" thickBot="1">
      <c r="A9" s="825" t="s">
        <v>808</v>
      </c>
      <c r="B9" s="390" t="s">
        <v>544</v>
      </c>
      <c r="C9" s="398">
        <f>C10+C11+C12+C13</f>
        <v>0</v>
      </c>
      <c r="D9" s="1074">
        <f>D10+D11+D12+D13</f>
        <v>1407811</v>
      </c>
      <c r="E9" s="1074">
        <f>E10+E11+E12+E13</f>
        <v>0</v>
      </c>
      <c r="F9" s="1075">
        <f t="shared" si="0"/>
        <v>1407811</v>
      </c>
    </row>
    <row r="10" spans="1:6" ht="12.75" customHeight="1">
      <c r="A10" s="1076" t="s">
        <v>809</v>
      </c>
      <c r="B10" s="391" t="s">
        <v>62</v>
      </c>
      <c r="C10" s="27"/>
      <c r="D10" s="308">
        <f>'14 16_sz_ melléklet'!C28</f>
        <v>883000</v>
      </c>
      <c r="E10" s="308"/>
      <c r="F10" s="399">
        <f t="shared" si="0"/>
        <v>883000</v>
      </c>
    </row>
    <row r="11" spans="1:6" ht="12.75" customHeight="1">
      <c r="A11" s="218" t="s">
        <v>810</v>
      </c>
      <c r="B11" s="392" t="s">
        <v>63</v>
      </c>
      <c r="C11" s="27"/>
      <c r="D11" s="36">
        <f>'14 16_sz_ melléklet'!C46</f>
        <v>490012</v>
      </c>
      <c r="E11" s="36"/>
      <c r="F11" s="399">
        <f t="shared" si="0"/>
        <v>490012</v>
      </c>
    </row>
    <row r="12" spans="1:6" ht="12.75" customHeight="1">
      <c r="A12" s="218" t="s">
        <v>811</v>
      </c>
      <c r="B12" s="392" t="s">
        <v>64</v>
      </c>
      <c r="C12" s="27"/>
      <c r="D12" s="36">
        <f>'14 16_sz_ melléklet'!C29</f>
        <v>5060</v>
      </c>
      <c r="E12" s="36"/>
      <c r="F12" s="399">
        <f t="shared" si="0"/>
        <v>5060</v>
      </c>
    </row>
    <row r="13" spans="1:6" ht="12.75" customHeight="1" thickBot="1">
      <c r="A13" s="1077" t="s">
        <v>812</v>
      </c>
      <c r="B13" s="393" t="s">
        <v>65</v>
      </c>
      <c r="C13" s="12"/>
      <c r="D13" s="313">
        <f>'14 16_sz_ melléklet'!C30</f>
        <v>29739</v>
      </c>
      <c r="E13" s="313"/>
      <c r="F13" s="399">
        <f t="shared" si="0"/>
        <v>29739</v>
      </c>
    </row>
    <row r="14" spans="1:6" ht="13.5" thickBot="1">
      <c r="A14" s="825" t="s">
        <v>813</v>
      </c>
      <c r="B14" s="388" t="s">
        <v>550</v>
      </c>
      <c r="C14" s="1078">
        <f>C15+C16+C17+C18+C19</f>
        <v>0</v>
      </c>
      <c r="D14" s="1079">
        <f>D15+D16+D17+D18+D19+1</f>
        <v>1451274.2996666667</v>
      </c>
      <c r="E14" s="1079">
        <f>E15+E16+E17+E18+E19</f>
        <v>0</v>
      </c>
      <c r="F14" s="1080">
        <f t="shared" si="0"/>
        <v>1451274.2996666667</v>
      </c>
    </row>
    <row r="15" spans="1:8" ht="12.75" customHeight="1">
      <c r="A15" s="1076" t="s">
        <v>814</v>
      </c>
      <c r="B15" s="394" t="s">
        <v>545</v>
      </c>
      <c r="C15" s="27"/>
      <c r="D15" s="311">
        <f>'17 18 sz_melléklet'!C89</f>
        <v>927703.7330000001</v>
      </c>
      <c r="E15" s="311"/>
      <c r="F15" s="152">
        <f t="shared" si="0"/>
        <v>927703.7330000001</v>
      </c>
      <c r="H15" s="96"/>
    </row>
    <row r="16" spans="1:6" ht="12.75" customHeight="1">
      <c r="A16" s="218" t="s">
        <v>815</v>
      </c>
      <c r="B16" s="383" t="s">
        <v>546</v>
      </c>
      <c r="C16" s="27"/>
      <c r="D16" s="313">
        <f>'19 21_sz_ melléklet'!C14</f>
        <v>89051</v>
      </c>
      <c r="E16" s="145"/>
      <c r="F16" s="152">
        <f t="shared" si="0"/>
        <v>89051</v>
      </c>
    </row>
    <row r="17" spans="1:6" ht="12.75" customHeight="1">
      <c r="A17" s="218" t="s">
        <v>816</v>
      </c>
      <c r="B17" s="392" t="s">
        <v>547</v>
      </c>
      <c r="C17" s="8"/>
      <c r="D17" s="36">
        <f>'19 21_sz_ melléklet'!C30</f>
        <v>141166</v>
      </c>
      <c r="E17" s="311"/>
      <c r="F17" s="152">
        <f t="shared" si="0"/>
        <v>141166</v>
      </c>
    </row>
    <row r="18" spans="1:6" ht="24">
      <c r="A18" s="218" t="s">
        <v>817</v>
      </c>
      <c r="B18" s="395" t="s">
        <v>549</v>
      </c>
      <c r="C18" s="27"/>
      <c r="D18" s="311"/>
      <c r="E18" s="311"/>
      <c r="F18" s="152">
        <f t="shared" si="0"/>
        <v>0</v>
      </c>
    </row>
    <row r="19" spans="1:6" ht="12.75" customHeight="1" thickBot="1">
      <c r="A19" s="1077" t="s">
        <v>818</v>
      </c>
      <c r="B19" s="396" t="s">
        <v>548</v>
      </c>
      <c r="C19" s="27"/>
      <c r="D19" s="311">
        <f>'17 18 sz_melléklet'!C118</f>
        <v>293352.56666666665</v>
      </c>
      <c r="E19" s="311"/>
      <c r="F19" s="152">
        <f t="shared" si="0"/>
        <v>293352.56666666665</v>
      </c>
    </row>
    <row r="20" spans="1:6" s="19" customFormat="1" ht="12.75" customHeight="1" thickBot="1">
      <c r="A20" s="825" t="s">
        <v>819</v>
      </c>
      <c r="B20" s="389" t="s">
        <v>512</v>
      </c>
      <c r="C20" s="14">
        <f>'30_ sz_ melléklet'!D137</f>
        <v>328991</v>
      </c>
      <c r="D20" s="309">
        <f>'19 21_sz_ melléklet'!C84+'19 21_sz_ melléklet'!C127</f>
        <v>135681</v>
      </c>
      <c r="E20" s="309">
        <f>'19 21_sz_ melléklet'!C79</f>
        <v>1659</v>
      </c>
      <c r="F20" s="153">
        <f t="shared" si="0"/>
        <v>466331</v>
      </c>
    </row>
    <row r="21" spans="1:6" ht="5.25" customHeight="1" thickBot="1">
      <c r="A21" s="825"/>
      <c r="B21" s="397"/>
      <c r="C21" s="31"/>
      <c r="D21" s="308"/>
      <c r="E21" s="308"/>
      <c r="F21" s="156"/>
    </row>
    <row r="22" spans="1:6" ht="15" customHeight="1" thickBot="1">
      <c r="A22" s="825" t="s">
        <v>820</v>
      </c>
      <c r="B22" s="329" t="s">
        <v>552</v>
      </c>
      <c r="C22" s="144">
        <f>C23+C27+C30</f>
        <v>11936</v>
      </c>
      <c r="D22" s="144">
        <f>D23+D27+D30</f>
        <v>3754607</v>
      </c>
      <c r="E22" s="144">
        <f>E23+E27+E30</f>
        <v>0</v>
      </c>
      <c r="F22" s="1390">
        <f>F23+F27+F30</f>
        <v>3766543</v>
      </c>
    </row>
    <row r="23" spans="1:6" ht="12.75" customHeight="1">
      <c r="A23" s="1076" t="s">
        <v>821</v>
      </c>
      <c r="B23" s="174" t="s">
        <v>518</v>
      </c>
      <c r="C23" s="1081">
        <f>C24+C25+C26</f>
        <v>0</v>
      </c>
      <c r="D23" s="32">
        <f>D24+D25+D26</f>
        <v>914929</v>
      </c>
      <c r="E23" s="1081">
        <f>E24+E25+E26</f>
        <v>0</v>
      </c>
      <c r="F23" s="1082">
        <f>F24+F25+F26</f>
        <v>914929</v>
      </c>
    </row>
    <row r="24" spans="1:6" ht="12.75" customHeight="1">
      <c r="A24" s="218" t="s">
        <v>822</v>
      </c>
      <c r="B24" s="171" t="s">
        <v>519</v>
      </c>
      <c r="C24" s="221">
        <f>'30_ sz_ melléklet'!D141</f>
        <v>0</v>
      </c>
      <c r="D24" s="1083">
        <f>'22 24  sz. melléklet'!E17</f>
        <v>553961</v>
      </c>
      <c r="E24" s="221">
        <f>'31_sz_ melléklet'!E23</f>
        <v>0</v>
      </c>
      <c r="F24" s="622">
        <f>SUM(C24:E24)</f>
        <v>553961</v>
      </c>
    </row>
    <row r="25" spans="1:6" ht="22.5" customHeight="1">
      <c r="A25" s="218" t="s">
        <v>823</v>
      </c>
      <c r="B25" s="1084" t="s">
        <v>553</v>
      </c>
      <c r="C25" s="190"/>
      <c r="D25" s="147">
        <f>'22 24  sz. melléklet'!E32</f>
        <v>230968</v>
      </c>
      <c r="E25" s="190"/>
      <c r="F25" s="622">
        <f aca="true" t="shared" si="1" ref="F25:F33">SUM(C25:E25)</f>
        <v>230968</v>
      </c>
    </row>
    <row r="26" spans="1:6" s="19" customFormat="1" ht="12.75" customHeight="1">
      <c r="A26" s="218" t="s">
        <v>824</v>
      </c>
      <c r="B26" s="376" t="s">
        <v>526</v>
      </c>
      <c r="C26" s="198">
        <f>'30_ sz_ melléklet'!D142</f>
        <v>0</v>
      </c>
      <c r="D26" s="33">
        <f>'22 24  sz. melléklet'!E45</f>
        <v>130000</v>
      </c>
      <c r="E26" s="198"/>
      <c r="F26" s="622">
        <f t="shared" si="1"/>
        <v>130000</v>
      </c>
    </row>
    <row r="27" spans="1:6" s="20" customFormat="1" ht="12.75" customHeight="1">
      <c r="A27" s="218" t="s">
        <v>826</v>
      </c>
      <c r="B27" s="1085" t="s">
        <v>554</v>
      </c>
      <c r="C27" s="1086">
        <f>C28+C29</f>
        <v>0</v>
      </c>
      <c r="D27" s="1087">
        <f>D28+D29</f>
        <v>6176</v>
      </c>
      <c r="E27" s="1086">
        <f>E28+E29</f>
        <v>0</v>
      </c>
      <c r="F27" s="622">
        <f t="shared" si="1"/>
        <v>6176</v>
      </c>
    </row>
    <row r="28" spans="1:6" ht="12.75" customHeight="1">
      <c r="A28" s="218" t="s">
        <v>827</v>
      </c>
      <c r="B28" s="1088" t="s">
        <v>555</v>
      </c>
      <c r="C28" s="198"/>
      <c r="D28" s="33">
        <f>'25 26 sz. melléklet'!C17</f>
        <v>6176</v>
      </c>
      <c r="E28" s="198"/>
      <c r="F28" s="622">
        <f t="shared" si="1"/>
        <v>6176</v>
      </c>
    </row>
    <row r="29" spans="1:6" ht="12.75" customHeight="1">
      <c r="A29" s="218" t="s">
        <v>828</v>
      </c>
      <c r="B29" s="226" t="s">
        <v>556</v>
      </c>
      <c r="C29" s="1089"/>
      <c r="D29" s="1090">
        <f>'25 26 sz. melléklet'!C35</f>
        <v>0</v>
      </c>
      <c r="E29" s="1089"/>
      <c r="F29" s="622">
        <f t="shared" si="1"/>
        <v>0</v>
      </c>
    </row>
    <row r="30" spans="1:6" ht="12.75" customHeight="1">
      <c r="A30" s="218" t="s">
        <v>829</v>
      </c>
      <c r="B30" s="174" t="s">
        <v>520</v>
      </c>
      <c r="C30" s="1091">
        <f>C31+C32+C33</f>
        <v>11936</v>
      </c>
      <c r="D30" s="1092">
        <f>D31+D32+D33</f>
        <v>2833502</v>
      </c>
      <c r="E30" s="1091">
        <f>E31+E32+E33</f>
        <v>0</v>
      </c>
      <c r="F30" s="622">
        <f t="shared" si="1"/>
        <v>2845438</v>
      </c>
    </row>
    <row r="31" spans="1:6" ht="12.75" customHeight="1">
      <c r="A31" s="218" t="s">
        <v>830</v>
      </c>
      <c r="B31" s="171" t="s">
        <v>521</v>
      </c>
      <c r="C31" s="221">
        <f>'30_ sz_ melléklet'!D145</f>
        <v>8299</v>
      </c>
      <c r="D31" s="34">
        <f>' 27 28 sz. melléklet'!E32</f>
        <v>2450860</v>
      </c>
      <c r="E31" s="219"/>
      <c r="F31" s="622">
        <f t="shared" si="1"/>
        <v>2459159</v>
      </c>
    </row>
    <row r="32" spans="1:6" ht="12.75" customHeight="1">
      <c r="A32" s="218" t="s">
        <v>831</v>
      </c>
      <c r="B32" s="372" t="s">
        <v>522</v>
      </c>
      <c r="C32" s="190">
        <f>'30_ sz_ melléklet'!D146</f>
        <v>3637</v>
      </c>
      <c r="D32" s="1090">
        <f>' 27 28 sz. melléklet'!E46</f>
        <v>382642</v>
      </c>
      <c r="E32" s="1089"/>
      <c r="F32" s="622">
        <f t="shared" si="1"/>
        <v>386279</v>
      </c>
    </row>
    <row r="33" spans="1:6" ht="12.75" customHeight="1" thickBot="1">
      <c r="A33" s="1077" t="s">
        <v>832</v>
      </c>
      <c r="B33" s="374" t="s">
        <v>523</v>
      </c>
      <c r="C33" s="198">
        <f>'30_ sz_ melléklet'!D147</f>
        <v>0</v>
      </c>
      <c r="D33" s="1094"/>
      <c r="E33" s="1093"/>
      <c r="F33" s="347">
        <f t="shared" si="1"/>
        <v>0</v>
      </c>
    </row>
    <row r="34" spans="1:6" s="20" customFormat="1" ht="26.25" customHeight="1" thickBot="1">
      <c r="A34" s="825" t="s">
        <v>833</v>
      </c>
      <c r="B34" s="363" t="s">
        <v>528</v>
      </c>
      <c r="C34" s="1099">
        <f>'[1]25_ sz_ melléklet'!E33</f>
        <v>0</v>
      </c>
      <c r="D34" s="1199">
        <f>'29 sz. mell'!C33</f>
        <v>64877</v>
      </c>
      <c r="E34" s="1200">
        <v>0</v>
      </c>
      <c r="F34" s="1099">
        <f>SUM(C34:E34)</f>
        <v>64877</v>
      </c>
    </row>
    <row r="35" spans="1:6" ht="6" customHeight="1" thickBot="1">
      <c r="A35" s="825"/>
      <c r="B35" s="172"/>
      <c r="C35" s="31"/>
      <c r="D35" s="406"/>
      <c r="E35" s="406"/>
      <c r="F35" s="156"/>
    </row>
    <row r="36" spans="1:6" ht="13.5" thickBot="1">
      <c r="A36" s="825" t="s">
        <v>834</v>
      </c>
      <c r="B36" s="173" t="s">
        <v>529</v>
      </c>
      <c r="C36" s="408">
        <f>C37</f>
        <v>0</v>
      </c>
      <c r="D36" s="330">
        <f>D37</f>
        <v>0</v>
      </c>
      <c r="E36" s="330"/>
      <c r="F36" s="331">
        <f>SUM(C36:D36)</f>
        <v>0</v>
      </c>
    </row>
    <row r="37" spans="1:6" ht="12.75" customHeight="1">
      <c r="A37" s="1076" t="s">
        <v>835</v>
      </c>
      <c r="B37" s="377" t="s">
        <v>531</v>
      </c>
      <c r="C37" s="407">
        <f>'30_ sz_ melléklet'!D153</f>
        <v>0</v>
      </c>
      <c r="D37" s="327"/>
      <c r="E37" s="327"/>
      <c r="F37" s="403">
        <f>SUM(C37:D37)</f>
        <v>0</v>
      </c>
    </row>
    <row r="38" spans="1:6" ht="6.75" customHeight="1" thickBot="1">
      <c r="A38" s="1077"/>
      <c r="B38" s="375"/>
      <c r="C38" s="288"/>
      <c r="D38" s="288"/>
      <c r="E38" s="1095"/>
      <c r="F38" s="405"/>
    </row>
    <row r="39" spans="1:6" ht="29.25" customHeight="1" thickBot="1">
      <c r="A39" s="825" t="s">
        <v>836</v>
      </c>
      <c r="B39" s="177" t="s">
        <v>530</v>
      </c>
      <c r="C39" s="14">
        <f>C36+C34+C22+C7</f>
        <v>557867</v>
      </c>
      <c r="D39" s="14">
        <f>D36+D34+D22+D7</f>
        <v>6924278.299666666</v>
      </c>
      <c r="E39" s="14">
        <f>E36+E34+E22+E7</f>
        <v>2618</v>
      </c>
      <c r="F39" s="153">
        <f>SUM(C39:E39)</f>
        <v>7484763.299666666</v>
      </c>
    </row>
    <row r="40" spans="1:6" s="20" customFormat="1" ht="6" customHeight="1" thickBot="1">
      <c r="A40" s="1076"/>
      <c r="B40" s="178"/>
      <c r="C40" s="409"/>
      <c r="D40" s="410"/>
      <c r="E40" s="1096"/>
      <c r="F40" s="411"/>
    </row>
    <row r="41" spans="1:6" ht="20.25" customHeight="1" thickBot="1">
      <c r="A41" s="1097" t="s">
        <v>837</v>
      </c>
      <c r="B41" s="1098" t="s">
        <v>1035</v>
      </c>
      <c r="C41" s="1099">
        <f>C42+C43</f>
        <v>0</v>
      </c>
      <c r="D41" s="1099">
        <f>D42+D43</f>
        <v>0</v>
      </c>
      <c r="E41" s="1099">
        <f>E42+E43</f>
        <v>0</v>
      </c>
      <c r="F41" s="1100">
        <f>SUM(C41:E41)</f>
        <v>0</v>
      </c>
    </row>
    <row r="42" spans="1:6" ht="15.75" customHeight="1">
      <c r="A42" s="1101" t="s">
        <v>838</v>
      </c>
      <c r="B42" s="1102" t="s">
        <v>532</v>
      </c>
      <c r="C42" s="1105">
        <f>'30_ sz_ melléklet'!D159</f>
        <v>0</v>
      </c>
      <c r="D42" s="1104"/>
      <c r="E42" s="1105">
        <f>'31_sz_ melléklet'!E41</f>
        <v>0</v>
      </c>
      <c r="F42" s="1105">
        <f>SUM(C42:E42)</f>
        <v>0</v>
      </c>
    </row>
    <row r="43" spans="1:6" ht="12.75" customHeight="1">
      <c r="A43" s="1101" t="s">
        <v>839</v>
      </c>
      <c r="B43" s="169" t="s">
        <v>533</v>
      </c>
      <c r="C43" s="1103">
        <f>'30_ sz_ melléklet'!D160</f>
        <v>0</v>
      </c>
      <c r="D43" s="1087"/>
      <c r="E43" s="1103">
        <f>'31_sz_ melléklet'!E42</f>
        <v>0</v>
      </c>
      <c r="F43" s="1086">
        <f>SUM(C43:E43)</f>
        <v>0</v>
      </c>
    </row>
    <row r="44" spans="1:6" ht="3.75" customHeight="1">
      <c r="A44" s="1106"/>
      <c r="B44" s="169"/>
      <c r="C44" s="1086"/>
      <c r="D44" s="1087"/>
      <c r="E44" s="1086"/>
      <c r="F44" s="1086"/>
    </row>
    <row r="45" spans="1:6" s="20" customFormat="1" ht="37.5" customHeight="1" thickBot="1">
      <c r="A45" s="1101" t="s">
        <v>840</v>
      </c>
      <c r="B45" s="1107" t="s">
        <v>557</v>
      </c>
      <c r="C45" s="194">
        <f>C47</f>
        <v>24776</v>
      </c>
      <c r="D45" s="1174">
        <f>D47</f>
        <v>657032</v>
      </c>
      <c r="E45" s="194">
        <f>E47</f>
        <v>0</v>
      </c>
      <c r="F45" s="196">
        <f>F47</f>
        <v>681808</v>
      </c>
    </row>
    <row r="46" spans="1:6" ht="7.5" customHeight="1" thickBot="1">
      <c r="A46" s="1077"/>
      <c r="B46" s="1108"/>
      <c r="C46" s="31"/>
      <c r="D46" s="33"/>
      <c r="E46" s="198"/>
      <c r="F46" s="198"/>
    </row>
    <row r="47" spans="1:6" ht="18" customHeight="1" thickBot="1">
      <c r="A47" s="825" t="s">
        <v>841</v>
      </c>
      <c r="B47" s="1109" t="s">
        <v>1036</v>
      </c>
      <c r="C47" s="330">
        <f>C48+C49</f>
        <v>24776</v>
      </c>
      <c r="D47" s="192">
        <f>D48+D49</f>
        <v>657032</v>
      </c>
      <c r="E47" s="1020">
        <f>E48+E49</f>
        <v>0</v>
      </c>
      <c r="F47" s="192">
        <f>F48+F49</f>
        <v>681808</v>
      </c>
    </row>
    <row r="48" spans="1:6" ht="15" customHeight="1">
      <c r="A48" s="1076" t="s">
        <v>842</v>
      </c>
      <c r="B48" s="540" t="s">
        <v>532</v>
      </c>
      <c r="C48" s="1110">
        <f>'30_ sz_ melléklet'!D162</f>
        <v>21132</v>
      </c>
      <c r="D48" s="1111">
        <f>2958+14</f>
        <v>2972</v>
      </c>
      <c r="E48" s="1023">
        <f>'31_sz_ melléklet'!E44</f>
        <v>0</v>
      </c>
      <c r="F48" s="1023">
        <f>SUM(C48:D48)</f>
        <v>24104</v>
      </c>
    </row>
    <row r="49" spans="1:6" s="20" customFormat="1" ht="12.75">
      <c r="A49" s="218" t="s">
        <v>843</v>
      </c>
      <c r="B49" s="376" t="s">
        <v>533</v>
      </c>
      <c r="C49" s="407">
        <f>'30_ sz_ melléklet'!D163</f>
        <v>3644</v>
      </c>
      <c r="D49" s="33">
        <f>653590+470</f>
        <v>654060</v>
      </c>
      <c r="E49" s="193">
        <f>'31_sz_ melléklet'!E45</f>
        <v>0</v>
      </c>
      <c r="F49" s="198">
        <f>SUM(C49:D49)</f>
        <v>657704</v>
      </c>
    </row>
    <row r="50" spans="1:6" ht="3" customHeight="1">
      <c r="A50" s="218"/>
      <c r="B50" s="224"/>
      <c r="C50" s="146"/>
      <c r="D50" s="147"/>
      <c r="E50" s="190"/>
      <c r="F50" s="190"/>
    </row>
    <row r="51" spans="1:6" ht="38.25" customHeight="1" thickBot="1">
      <c r="A51" s="1077" t="s">
        <v>844</v>
      </c>
      <c r="B51" s="1112" t="s">
        <v>558</v>
      </c>
      <c r="C51" s="1391">
        <f>C61+C65</f>
        <v>0</v>
      </c>
      <c r="D51" s="1127">
        <f>D61+D65</f>
        <v>415577.7003333336</v>
      </c>
      <c r="E51" s="1026">
        <f>E61+E65</f>
        <v>0</v>
      </c>
      <c r="F51" s="1026">
        <f>F61+F65</f>
        <v>415577.7003333336</v>
      </c>
    </row>
    <row r="52" spans="1:6" ht="17.25" customHeight="1">
      <c r="A52" s="40"/>
      <c r="B52" s="549"/>
      <c r="C52" s="33"/>
      <c r="D52" s="33"/>
      <c r="E52" s="33"/>
      <c r="F52" s="33"/>
    </row>
    <row r="53" spans="1:6" ht="18.75" customHeight="1">
      <c r="A53" s="1569">
        <v>2</v>
      </c>
      <c r="B53" s="1568"/>
      <c r="C53" s="1568"/>
      <c r="D53" s="1568"/>
      <c r="E53" s="1568"/>
      <c r="F53" s="1568"/>
    </row>
    <row r="54" spans="1:6" ht="15">
      <c r="A54" s="1572" t="s">
        <v>1343</v>
      </c>
      <c r="B54" s="1573"/>
      <c r="C54" s="1573"/>
      <c r="D54" s="1573"/>
      <c r="E54" s="1573"/>
      <c r="F54" s="1573"/>
    </row>
    <row r="55" spans="1:6" ht="15">
      <c r="A55" s="1113"/>
      <c r="B55" s="1114"/>
      <c r="C55" s="1114"/>
      <c r="D55" s="1114"/>
      <c r="E55" s="1114"/>
      <c r="F55" s="1114"/>
    </row>
    <row r="56" spans="1:6" ht="15.75">
      <c r="A56" s="1115"/>
      <c r="B56" s="1566" t="s">
        <v>1034</v>
      </c>
      <c r="C56" s="1566"/>
      <c r="D56" s="1566"/>
      <c r="E56" s="1566"/>
      <c r="F56" s="1566"/>
    </row>
    <row r="57" spans="1:6" ht="16.5" customHeight="1" thickBot="1">
      <c r="A57" s="1115"/>
      <c r="B57" s="39"/>
      <c r="C57" s="39"/>
      <c r="D57" s="39"/>
      <c r="E57" s="39"/>
      <c r="F57" s="168" t="s">
        <v>9</v>
      </c>
    </row>
    <row r="58" spans="1:6" ht="22.5" customHeight="1" thickBot="1">
      <c r="A58" s="1574" t="s">
        <v>801</v>
      </c>
      <c r="B58" s="384" t="s">
        <v>61</v>
      </c>
      <c r="C58" s="1560" t="s">
        <v>970</v>
      </c>
      <c r="D58" s="1562" t="s">
        <v>55</v>
      </c>
      <c r="E58" s="1562" t="s">
        <v>981</v>
      </c>
      <c r="F58" s="1556" t="s">
        <v>971</v>
      </c>
    </row>
    <row r="59" spans="1:6" ht="13.5" thickBot="1">
      <c r="A59" s="1574"/>
      <c r="B59" s="1116"/>
      <c r="C59" s="1561"/>
      <c r="D59" s="1563"/>
      <c r="E59" s="1563"/>
      <c r="F59" s="1557"/>
    </row>
    <row r="60" spans="1:6" ht="13.5" thickBot="1">
      <c r="A60" s="825" t="s">
        <v>802</v>
      </c>
      <c r="B60" s="1117" t="s">
        <v>803</v>
      </c>
      <c r="C60" s="1118" t="s">
        <v>804</v>
      </c>
      <c r="D60" s="1119" t="s">
        <v>805</v>
      </c>
      <c r="E60" s="1120" t="s">
        <v>825</v>
      </c>
      <c r="F60" s="1121" t="s">
        <v>850</v>
      </c>
    </row>
    <row r="61" spans="1:6" ht="13.5" thickBot="1">
      <c r="A61" s="825" t="s">
        <v>845</v>
      </c>
      <c r="B61" s="1109" t="s">
        <v>1037</v>
      </c>
      <c r="C61" s="326">
        <f>C62+C63</f>
        <v>0</v>
      </c>
      <c r="D61" s="197">
        <f>D62+D63</f>
        <v>102497</v>
      </c>
      <c r="E61" s="328">
        <v>0</v>
      </c>
      <c r="F61" s="197">
        <f>F62+F63</f>
        <v>102497</v>
      </c>
    </row>
    <row r="62" spans="1:6" ht="12.75">
      <c r="A62" s="1076" t="s">
        <v>846</v>
      </c>
      <c r="B62" s="1122" t="s">
        <v>535</v>
      </c>
      <c r="C62" s="327">
        <f>'30_ sz_ melléklet'!D167</f>
        <v>0</v>
      </c>
      <c r="D62" s="193"/>
      <c r="E62" s="199">
        <f>'31_sz_ melléklet'!E49</f>
        <v>0</v>
      </c>
      <c r="F62" s="1023">
        <f>SUM(C62:E62)</f>
        <v>0</v>
      </c>
    </row>
    <row r="63" spans="1:6" ht="12.75">
      <c r="A63" s="218" t="s">
        <v>847</v>
      </c>
      <c r="B63" s="200" t="s">
        <v>536</v>
      </c>
      <c r="C63" s="327">
        <f>'30_ sz_ melléklet'!D168</f>
        <v>0</v>
      </c>
      <c r="D63" s="193">
        <f>'52 53 sz. melléklet'!C30</f>
        <v>102497</v>
      </c>
      <c r="E63" s="199">
        <f>'31_sz_ melléklet'!E50</f>
        <v>0</v>
      </c>
      <c r="F63" s="193">
        <f>SUM(C63:E63)</f>
        <v>102497</v>
      </c>
    </row>
    <row r="64" spans="1:6" ht="13.5" thickBot="1">
      <c r="A64" s="1077"/>
      <c r="B64" s="1123"/>
      <c r="C64" s="1124"/>
      <c r="D64" s="195"/>
      <c r="E64" s="149"/>
      <c r="F64" s="195"/>
    </row>
    <row r="65" spans="1:6" ht="13.5" thickBot="1">
      <c r="A65" s="825" t="s">
        <v>848</v>
      </c>
      <c r="B65" s="1109" t="s">
        <v>1038</v>
      </c>
      <c r="C65" s="326">
        <f>C66+C67</f>
        <v>0</v>
      </c>
      <c r="D65" s="197">
        <f>D66+D67</f>
        <v>313080.7003333336</v>
      </c>
      <c r="E65" s="353">
        <v>0</v>
      </c>
      <c r="F65" s="197">
        <f>F66+F67</f>
        <v>313080.7003333336</v>
      </c>
    </row>
    <row r="66" spans="1:6" ht="12.75">
      <c r="A66" s="1076" t="s">
        <v>849</v>
      </c>
      <c r="B66" s="1125" t="s">
        <v>537</v>
      </c>
      <c r="C66" s="1023">
        <f>'30_ sz_ melléklet'!D171</f>
        <v>0</v>
      </c>
      <c r="D66" s="193">
        <f>'37 sz melléklet'!C26</f>
        <v>195881.70033333357</v>
      </c>
      <c r="E66" s="199">
        <f>'31_sz_ melléklet'!E53</f>
        <v>0</v>
      </c>
      <c r="F66" s="193">
        <f>SUM(C66:E66)</f>
        <v>195881.70033333357</v>
      </c>
    </row>
    <row r="67" spans="1:6" ht="12.75">
      <c r="A67" s="218" t="s">
        <v>869</v>
      </c>
      <c r="B67" s="206" t="s">
        <v>538</v>
      </c>
      <c r="C67" s="193">
        <f>'30_ sz_ melléklet'!D172</f>
        <v>0</v>
      </c>
      <c r="D67" s="193">
        <f>'37 sz melléklet'!C49</f>
        <v>117199</v>
      </c>
      <c r="E67" s="199">
        <f>'31_sz_ melléklet'!E54</f>
        <v>0</v>
      </c>
      <c r="F67" s="193">
        <f>SUM(C67:E67)</f>
        <v>117199</v>
      </c>
    </row>
    <row r="68" spans="1:6" ht="12.75">
      <c r="A68" s="218"/>
      <c r="B68" s="453"/>
      <c r="C68" s="190"/>
      <c r="D68" s="190"/>
      <c r="E68" s="147"/>
      <c r="F68" s="190"/>
    </row>
    <row r="69" spans="1:6" ht="38.25">
      <c r="A69" s="218" t="s">
        <v>870</v>
      </c>
      <c r="B69" s="451" t="s">
        <v>1039</v>
      </c>
      <c r="C69" s="194">
        <f>C41+C47+C61+C65</f>
        <v>24776</v>
      </c>
      <c r="D69" s="194">
        <f>D41+D47+D61+D65</f>
        <v>1072609.7003333336</v>
      </c>
      <c r="E69" s="194">
        <f>E41+E47+E61+E65</f>
        <v>0</v>
      </c>
      <c r="F69" s="194">
        <f>F41+F47+F61+F65</f>
        <v>1097385.7003333336</v>
      </c>
    </row>
    <row r="70" spans="1:6" ht="12.75">
      <c r="A70" s="218"/>
      <c r="B70" s="453"/>
      <c r="C70" s="190"/>
      <c r="D70" s="190"/>
      <c r="E70" s="147"/>
      <c r="F70" s="190"/>
    </row>
    <row r="71" spans="1:6" ht="12.75">
      <c r="A71" s="217" t="s">
        <v>871</v>
      </c>
      <c r="B71" s="48" t="s">
        <v>1040</v>
      </c>
      <c r="C71" s="359">
        <f>C39+C69</f>
        <v>582643</v>
      </c>
      <c r="D71" s="359">
        <f>D39+D69</f>
        <v>7996888</v>
      </c>
      <c r="E71" s="359">
        <f>E39+E69</f>
        <v>2618</v>
      </c>
      <c r="F71" s="359">
        <f>F39+F69</f>
        <v>8582149</v>
      </c>
    </row>
    <row r="72" spans="1:6" ht="12.75">
      <c r="A72" s="218"/>
      <c r="B72" s="206"/>
      <c r="C72" s="169"/>
      <c r="D72" s="169"/>
      <c r="E72" s="206"/>
      <c r="F72" s="169"/>
    </row>
    <row r="73" spans="1:6" ht="12.75">
      <c r="A73" s="218" t="s">
        <v>872</v>
      </c>
      <c r="B73" s="206" t="s">
        <v>1041</v>
      </c>
      <c r="C73" s="190">
        <f>'30_ sz_ melléklet'!D174</f>
        <v>1596516</v>
      </c>
      <c r="D73" s="190">
        <v>0</v>
      </c>
      <c r="E73" s="147">
        <f>'31_sz_ melléklet'!E115</f>
        <v>684475</v>
      </c>
      <c r="F73" s="190">
        <f>SUM(C73:E73)</f>
        <v>2280991</v>
      </c>
    </row>
    <row r="74" spans="1:6" ht="12.75">
      <c r="A74" s="218"/>
      <c r="B74" s="206"/>
      <c r="C74" s="169"/>
      <c r="D74" s="169"/>
      <c r="E74" s="206"/>
      <c r="F74" s="169"/>
    </row>
    <row r="75" spans="1:6" ht="13.5" thickBot="1">
      <c r="A75" s="1077" t="s">
        <v>873</v>
      </c>
      <c r="B75" s="1126" t="s">
        <v>1042</v>
      </c>
      <c r="C75" s="1026">
        <f>SUM(C71:C74)</f>
        <v>2179159</v>
      </c>
      <c r="D75" s="1026">
        <f>SUM(D71:D74)</f>
        <v>7996888</v>
      </c>
      <c r="E75" s="1127">
        <f>SUM(E71:E74)</f>
        <v>687093</v>
      </c>
      <c r="F75" s="1026">
        <f>SUM(F71:F74)</f>
        <v>10863140</v>
      </c>
    </row>
  </sheetData>
  <sheetProtection/>
  <mergeCells count="15">
    <mergeCell ref="A1:E1"/>
    <mergeCell ref="C4:C5"/>
    <mergeCell ref="D4:D5"/>
    <mergeCell ref="E4:E5"/>
    <mergeCell ref="B2:F2"/>
    <mergeCell ref="F4:F5"/>
    <mergeCell ref="A4:A5"/>
    <mergeCell ref="A53:F53"/>
    <mergeCell ref="A54:F54"/>
    <mergeCell ref="B56:F56"/>
    <mergeCell ref="A58:A59"/>
    <mergeCell ref="C58:C59"/>
    <mergeCell ref="D58:D59"/>
    <mergeCell ref="E58:E59"/>
    <mergeCell ref="F58:F59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Bán Valéria</cp:lastModifiedBy>
  <cp:lastPrinted>2012-10-18T05:56:46Z</cp:lastPrinted>
  <dcterms:created xsi:type="dcterms:W3CDTF">2011-01-18T10:18:13Z</dcterms:created>
  <dcterms:modified xsi:type="dcterms:W3CDTF">2012-10-18T05:58:35Z</dcterms:modified>
  <cp:category/>
  <cp:version/>
  <cp:contentType/>
  <cp:contentStatus/>
</cp:coreProperties>
</file>