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53 sz melléklet" sheetId="35" r:id="rId35"/>
    <sheet name="1_ sz_ függelék" sheetId="36" r:id="rId36"/>
    <sheet name="2_ sz_függelék" sheetId="37" r:id="rId37"/>
    <sheet name="3_ sz_függelék" sheetId="38" r:id="rId38"/>
    <sheet name="Munka1" sheetId="39" r:id="rId39"/>
  </sheets>
  <definedNames/>
  <calcPr fullCalcOnLoad="1"/>
</workbook>
</file>

<file path=xl/sharedStrings.xml><?xml version="1.0" encoding="utf-8"?>
<sst xmlns="http://schemas.openxmlformats.org/spreadsheetml/2006/main" count="5170" uniqueCount="1563">
  <si>
    <t>Költségvetés mérlege</t>
  </si>
  <si>
    <t>BEVÉTEL</t>
  </si>
  <si>
    <t>KIADÁS</t>
  </si>
  <si>
    <t>Megnevezés</t>
  </si>
  <si>
    <t>Előirányzat</t>
  </si>
  <si>
    <t>I. Működési bevételek</t>
  </si>
  <si>
    <t>I. Működési kiadások</t>
  </si>
  <si>
    <t>II. Felhalmozási kiadások</t>
  </si>
  <si>
    <t>Tárgyévi költségvetési bevételek összesen</t>
  </si>
  <si>
    <t>Tárgyévi költségvetési kiadások összesen</t>
  </si>
  <si>
    <t xml:space="preserve">      Ebből: -működési célú</t>
  </si>
  <si>
    <t xml:space="preserve">                 -felhalmozási célú</t>
  </si>
  <si>
    <t xml:space="preserve">                  -felhalmozási célú</t>
  </si>
  <si>
    <t>Bevételek mindösszesen</t>
  </si>
  <si>
    <t>Kiadások mindösszesen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</si>
  <si>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</si>
  <si>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</si>
  <si>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</si>
  <si>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</si>
  <si>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</si>
  <si>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</si>
  <si>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</si>
  <si>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</si>
  <si>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</si>
  <si>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1. Személyi juttatás</t>
  </si>
  <si>
    <t>2. Munkaadót terh. járulékok</t>
  </si>
  <si>
    <t>3. Dologi kiadás</t>
  </si>
  <si>
    <t xml:space="preserve">    Ebből: hosszú lej. hitel kamata</t>
  </si>
  <si>
    <t>I. Működési kiad. összesen</t>
  </si>
  <si>
    <t>1. Beruházás</t>
  </si>
  <si>
    <t xml:space="preserve">II. Felhalmozási kiadás összesen </t>
  </si>
  <si>
    <t>KIADÁS MINDÖSSZESEN</t>
  </si>
  <si>
    <t xml:space="preserve">Önállóan működő és önállóan gazdálkodó intézmények  </t>
  </si>
  <si>
    <t xml:space="preserve">Ezer Ft-ban </t>
  </si>
  <si>
    <t>KIADÁSOK  JOGCÍMEI</t>
  </si>
  <si>
    <t>Rendelőintézet</t>
  </si>
  <si>
    <t>Tűzoltóság</t>
  </si>
  <si>
    <t>Intézmények összesen</t>
  </si>
  <si>
    <t>2. Felújítás</t>
  </si>
  <si>
    <t xml:space="preserve">Önállóan működő  intézmények  </t>
  </si>
  <si>
    <t>Város-gondnokság</t>
  </si>
  <si>
    <t>Városi Óvoda-Bölcsőde</t>
  </si>
  <si>
    <t>MÁAMIPSZ</t>
  </si>
  <si>
    <t>Szent L. Gimnázium</t>
  </si>
  <si>
    <t>Széchenyi I. Szakképz.</t>
  </si>
  <si>
    <t xml:space="preserve">Önállóan működő intézmények  </t>
  </si>
  <si>
    <t>Bayer R. Kollég. És Élelm.Közp</t>
  </si>
  <si>
    <t>Polgári Védelem</t>
  </si>
  <si>
    <t xml:space="preserve">   előirányzatai  feladatonként</t>
  </si>
  <si>
    <t>KIADÁSOK JOGCÍMEI</t>
  </si>
  <si>
    <t>Okmány-iroda, Gyámhiv.</t>
  </si>
  <si>
    <t>Önkorm. Igazg.</t>
  </si>
  <si>
    <t>2. Céltartalék</t>
  </si>
  <si>
    <t>Önkorm. Jogalkotás</t>
  </si>
  <si>
    <t>önkorm. Lakástám.</t>
  </si>
  <si>
    <t>köztemető fenntartás műk.</t>
  </si>
  <si>
    <t>Város. Községgazd.</t>
  </si>
  <si>
    <t>zöldterület kezelés</t>
  </si>
  <si>
    <t>víztermelés kezelés</t>
  </si>
  <si>
    <t>közvilágítás</t>
  </si>
  <si>
    <t>segélyek összesen</t>
  </si>
  <si>
    <t>kult rend. +nemzetk. Kapcs.</t>
  </si>
  <si>
    <t>Strandszolg.</t>
  </si>
  <si>
    <t>Kisebbségi önkorm. Támog.</t>
  </si>
  <si>
    <t>Feladatok összesen</t>
  </si>
  <si>
    <t>Szakfelad. összesen</t>
  </si>
  <si>
    <t>PH. Mind-összesen</t>
  </si>
  <si>
    <t>Támogatott megnevezése</t>
  </si>
  <si>
    <t>Intézmények</t>
  </si>
  <si>
    <t>Polgármesteri Hivatal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</si>
  <si>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</si>
  <si>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</si>
  <si>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</si>
  <si>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</si>
  <si>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</si>
  <si>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</si>
  <si>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</si>
  <si>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</si>
  <si>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</si>
  <si>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</si>
  <si>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</si>
  <si>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</si>
  <si>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</si>
  <si>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</si>
  <si>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Ebből:- Szennyvízcs. alap.tám.nyugati</t>
  </si>
  <si>
    <t xml:space="preserve">          - Lakásépítés támogatása</t>
  </si>
  <si>
    <t xml:space="preserve">                Ezer Ft-ban </t>
  </si>
  <si>
    <t xml:space="preserve">KIADÁSOK JOGCÍMEI </t>
  </si>
  <si>
    <t>Önkormányzat</t>
  </si>
  <si>
    <t xml:space="preserve">        Kamatmentes kölcsön nyújtása</t>
  </si>
  <si>
    <t xml:space="preserve">      Lakáscélú kölcsön nyújtása háztartásoknak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</si>
  <si>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</si>
  <si>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</si>
  <si>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</si>
  <si>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</si>
  <si>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</si>
  <si>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BEVÉTELEK JOGCÍMEI</t>
  </si>
  <si>
    <t>Polg.m.hivat.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</si>
  <si>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</si>
  <si>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</si>
  <si>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</si>
  <si>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</si>
  <si>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 xml:space="preserve">      Ebből: Társad. Bizt. Alapból átvett</t>
  </si>
  <si>
    <t xml:space="preserve"> </t>
  </si>
  <si>
    <t xml:space="preserve">               I/1. Intézményi működési bevételek részletezése </t>
  </si>
  <si>
    <t>Polg.m.hivat. Összesen</t>
  </si>
  <si>
    <t xml:space="preserve">I/1. Intézményi működési bevételek összesen 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</si>
  <si>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</si>
  <si>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</si>
  <si>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</si>
  <si>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</si>
  <si>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</si>
  <si>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</si>
  <si>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</si>
  <si>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</si>
  <si>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</si>
  <si>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</si>
  <si>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</si>
  <si>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</si>
  <si>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</si>
  <si>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</si>
  <si>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</si>
  <si>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</si>
  <si>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</si>
  <si>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 xml:space="preserve">2.2.5. Termőföld bérbeadásából származó jöv.adó </t>
  </si>
  <si>
    <t xml:space="preserve">2.2.6. Átengedett egyéb központi adók </t>
  </si>
  <si>
    <t xml:space="preserve">I/2.2. Átengedett központi adók összesen </t>
  </si>
  <si>
    <t>BEVÉTELEK JOGCÍMEI</t>
  </si>
  <si>
    <r>
      <t xml:space="preserve">Körjegyz. műk alaphzj. </t>
    </r>
    <r>
      <rPr>
        <b/>
        <sz val="9"/>
        <rFont val="Times New Roman"/>
        <family val="1"/>
      </rPr>
      <t>12*253530</t>
    </r>
  </si>
  <si>
    <t>Körzeti igazgatási feladatok</t>
  </si>
  <si>
    <t xml:space="preserve"> -körzetközpont</t>
  </si>
  <si>
    <t>Pénzbeni és termész. szoc. és gyerm.jóléti ellátások</t>
  </si>
  <si>
    <t>Felhasználási kötöttség nélküli normatív hozzájárulás</t>
  </si>
  <si>
    <t>Ö s s z e s e n :</t>
  </si>
  <si>
    <t>Helyi önkormányzati hivatásos tűzoltóságok támogatása</t>
  </si>
  <si>
    <t>Dologi kiadások</t>
  </si>
  <si>
    <r>
      <t>a./ tűzoltólakt.üzem.(</t>
    </r>
    <r>
      <rPr>
        <b/>
        <i/>
        <sz val="10"/>
        <rFont val="Times New Roman"/>
        <family val="1"/>
      </rPr>
      <t>1083*4717)</t>
    </r>
    <r>
      <rPr>
        <sz val="10"/>
        <rFont val="Times New Roman"/>
        <family val="1"/>
      </rPr>
      <t>1083*4717)</t>
    </r>
    <r>
      <rPr>
        <b/>
        <sz val="10"/>
        <rFont val="Times New Roman"/>
        <family val="1"/>
      </rPr>
      <t>1083*4717</t>
    </r>
  </si>
  <si>
    <t>c./ különleges szerek kötelező műszaki felülvizsgálata, javítása</t>
  </si>
  <si>
    <r>
      <t xml:space="preserve">     (2x500.000) (2*500.000</t>
    </r>
    <r>
      <rPr>
        <b/>
        <i/>
        <sz val="10"/>
        <rFont val="Times New Roman"/>
        <family val="1"/>
      </rPr>
      <t>)3*500000</t>
    </r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</si>
  <si>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</si>
  <si>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</si>
  <si>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</si>
  <si>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</si>
  <si>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</si>
  <si>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</si>
  <si>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</si>
  <si>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Polgárm.hiv.</t>
  </si>
  <si>
    <t>Önkorm.össz.</t>
  </si>
  <si>
    <t xml:space="preserve">Intézmény összesen: </t>
  </si>
  <si>
    <t>Ingatlan értékesités</t>
  </si>
  <si>
    <t xml:space="preserve">Polgármesteri Hivatal össz: </t>
  </si>
  <si>
    <t>részletezése</t>
  </si>
  <si>
    <t>Önkorm. vagyon bérbeadás (Zsóry víz,-csat.+egyéb saj. Bev.+szeméttel.)</t>
  </si>
  <si>
    <t>Önkormányzati lakás bérbeadás, értékesités</t>
  </si>
  <si>
    <t>Osztalék bevétel</t>
  </si>
  <si>
    <t>Tőkegarantált pénzpiaci alapok  értékesitése</t>
  </si>
  <si>
    <t>Kötvény hozama</t>
  </si>
  <si>
    <t>ezer Ft-ban</t>
  </si>
  <si>
    <t>Polgármesteri Hivatal összesen:</t>
  </si>
  <si>
    <t xml:space="preserve">Önállóan működő és önállóan gazdálkodó költségvetési intézmények </t>
  </si>
  <si>
    <t>Intézmények  összesen</t>
  </si>
  <si>
    <t xml:space="preserve">I/1. Intézm.műk. bevételek összesen </t>
  </si>
  <si>
    <t>Polgármesteri Hivatal feladatai össz.</t>
  </si>
  <si>
    <t xml:space="preserve">Polgármesteri Hivatal mind-összesen </t>
  </si>
  <si>
    <t xml:space="preserve">Önállóan működő költségvetési intézmények </t>
  </si>
  <si>
    <t>Városi Óvoda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</si>
  <si>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</si>
  <si>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</si>
  <si>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</si>
  <si>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</si>
  <si>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</si>
  <si>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>Felújítási kiadási előirányzatok</t>
  </si>
  <si>
    <t>célonkénti részletezése</t>
  </si>
  <si>
    <t>Felújítási cél</t>
  </si>
  <si>
    <t xml:space="preserve">Szent László Gimnázium 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</si>
  <si>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</si>
  <si>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</si>
  <si>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</si>
  <si>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Polgármestei Hivatal összesen</t>
  </si>
  <si>
    <t>Önkormányzat összesen:</t>
  </si>
  <si>
    <t>Beruházási kiadási előirányzatok</t>
  </si>
  <si>
    <t>feladatonkénti részletezése</t>
  </si>
  <si>
    <t>Beruházási feladat</t>
  </si>
  <si>
    <t>Városi Rendelőintézet</t>
  </si>
  <si>
    <t>Szent László Gimnázium és Szakközépiskola</t>
  </si>
  <si>
    <t>Széchenyi István Szakképző Iskola</t>
  </si>
  <si>
    <t>Ö s s z e s e n:</t>
  </si>
  <si>
    <t xml:space="preserve">Polgármesteri Hivatal  </t>
  </si>
  <si>
    <t xml:space="preserve">              Városgazd. Szolg. mindösszesen</t>
  </si>
  <si>
    <t xml:space="preserve">              Közvilágítási feladatok összesen</t>
  </si>
  <si>
    <t xml:space="preserve">                  Fürdő és Strandszolg. Összesen</t>
  </si>
  <si>
    <t xml:space="preserve">             Szennyvízcsatorna fejlesztési feladatok összesen</t>
  </si>
  <si>
    <t xml:space="preserve">             Út építése összesen:</t>
  </si>
  <si>
    <t>ÖNKORMÁNYZAT ÖSSZESEN:</t>
  </si>
  <si>
    <t>Céltartalék összegének célonkénti részletezése</t>
  </si>
  <si>
    <t>M e g n e v e z é s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</si>
  <si>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</si>
  <si>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</si>
  <si>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</si>
  <si>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</si>
  <si>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</si>
  <si>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</si>
  <si>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 xml:space="preserve">Működési céltartalék összesen: </t>
  </si>
  <si>
    <t xml:space="preserve">Felhalmozás </t>
  </si>
  <si>
    <t>pályázati önerő - Tüo. Gépjármű beszerzés (kötelezettség)</t>
  </si>
  <si>
    <t>pályázati önerő - egyéb</t>
  </si>
  <si>
    <t>praxisvásárlás támogatására</t>
  </si>
  <si>
    <t xml:space="preserve">Felhalmozási céltartalék összesen: </t>
  </si>
  <si>
    <t xml:space="preserve">Céltartalék mindösszesen: </t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</si>
  <si>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</si>
  <si>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</si>
  <si>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</si>
  <si>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</si>
  <si>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</si>
  <si>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Városi Önkorm. Rendelőintézet</t>
  </si>
  <si>
    <t>Polgári Védelmi Társulás</t>
  </si>
  <si>
    <t>Városgondnokság</t>
  </si>
  <si>
    <t>Létszámkeret összesen</t>
  </si>
  <si>
    <t>I. Működési célú bevételek és kiadások mérlege</t>
  </si>
  <si>
    <t>K i a d á s</t>
  </si>
  <si>
    <t>Működési bevételek</t>
  </si>
  <si>
    <t>Személyi juttatások</t>
  </si>
  <si>
    <t>Munkaadót terhelő járulékok</t>
  </si>
  <si>
    <t>Magánszem.ép.adó 20 %</t>
  </si>
  <si>
    <t>ebből: - rövid lejáratú hit.kamata</t>
  </si>
  <si>
    <r>
      <t xml:space="preserve">          -</t>
    </r>
    <r>
      <rPr>
        <sz val="9"/>
        <rFont val="Times New Roman"/>
        <family val="1"/>
      </rPr>
      <t>hosszú lejáratú hit.kamata</t>
    </r>
  </si>
  <si>
    <t>ebből:lakáshoz jut.tám.SZJA 100 %-a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</si>
  <si>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</si>
  <si>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</si>
  <si>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</si>
  <si>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</si>
  <si>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Hiteltörlesztés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</si>
  <si>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</si>
  <si>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</si>
  <si>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</si>
  <si>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</si>
  <si>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</si>
  <si>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</si>
  <si>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Hosszú lejáratú hitelek kamata</t>
  </si>
  <si>
    <t>Átengedett közp.-i adók</t>
  </si>
  <si>
    <t>ebből: lakáshoz jutás és lakásfenntart.tám.SZJA 50 %-a</t>
  </si>
  <si>
    <t>Magánsz.építm.és telekadó 20 %</t>
  </si>
  <si>
    <t>Értékesített tárgyie.áfabefiz.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</si>
  <si>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</si>
  <si>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</si>
  <si>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</si>
  <si>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</si>
  <si>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</si>
  <si>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</si>
  <si>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</si>
  <si>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</si>
  <si>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</si>
  <si>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</si>
  <si>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</si>
  <si>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>2011. év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</si>
  <si>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</si>
  <si>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</si>
  <si>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</si>
  <si>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</si>
  <si>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</si>
  <si>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</si>
  <si>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</si>
  <si>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</si>
  <si>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</si>
  <si>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</si>
  <si>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</si>
  <si>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</si>
  <si>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</si>
  <si>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</si>
  <si>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</si>
  <si>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</si>
  <si>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</si>
  <si>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</si>
  <si>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</si>
  <si>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</si>
  <si>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</si>
  <si>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</si>
  <si>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</si>
  <si>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</si>
  <si>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A Cigány Kisebbségi Önkormányzat</t>
  </si>
  <si>
    <t>Bevételek alakulása</t>
  </si>
  <si>
    <t xml:space="preserve">  - Központi támogatás</t>
  </si>
  <si>
    <t xml:space="preserve">  - Önkormányzati támogatás</t>
  </si>
  <si>
    <t xml:space="preserve">  - Átvett pénz (pály.tám.)</t>
  </si>
  <si>
    <t>Ö s s z e s   b e v é t e l</t>
  </si>
  <si>
    <t>Kiadások alakulása</t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</si>
  <si>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</si>
  <si>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</si>
  <si>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</si>
  <si>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</si>
  <si>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</si>
  <si>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</si>
  <si>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Roma Ki Mit Tud, Roma Nap</t>
  </si>
  <si>
    <t>2009-ben hátrányos helyzetű iskolások füzetcsomag vásárlása, pótlása</t>
  </si>
  <si>
    <t>Koszorúzás</t>
  </si>
  <si>
    <t>Telefonktg.</t>
  </si>
  <si>
    <t>Ö s s z e s   k i a d á s</t>
  </si>
  <si>
    <t>Személyi jellegű kiadás</t>
  </si>
  <si>
    <t xml:space="preserve">Munkaadókat terhelő járulák </t>
  </si>
  <si>
    <t>Dologi jellegű kiadás</t>
  </si>
  <si>
    <t>Működési kiadás össz.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</si>
  <si>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</si>
  <si>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</si>
  <si>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</si>
  <si>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</si>
  <si>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</si>
  <si>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</si>
  <si>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</si>
  <si>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</si>
  <si>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</si>
  <si>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</si>
  <si>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</si>
  <si>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</si>
  <si>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</si>
  <si>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</si>
  <si>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</si>
  <si>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</si>
  <si>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</si>
  <si>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</si>
  <si>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</si>
  <si>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</si>
  <si>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</si>
  <si>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</si>
  <si>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</si>
  <si>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</si>
  <si>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</si>
  <si>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</si>
  <si>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</si>
  <si>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</si>
  <si>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</si>
  <si>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</si>
  <si>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</si>
  <si>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</si>
  <si>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</si>
  <si>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</si>
  <si>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</si>
  <si>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</si>
  <si>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</si>
  <si>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</si>
  <si>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</si>
  <si>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</si>
  <si>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</si>
  <si>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</si>
  <si>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</si>
  <si>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</si>
  <si>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</si>
  <si>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</si>
  <si>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</si>
  <si>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</si>
  <si>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</si>
  <si>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</si>
  <si>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</si>
  <si>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</si>
  <si>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</si>
  <si>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</si>
  <si>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</si>
  <si>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</si>
  <si>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</si>
  <si>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</si>
  <si>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</si>
  <si>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</si>
  <si>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</si>
  <si>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</si>
  <si>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</si>
  <si>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</si>
  <si>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</si>
  <si>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</si>
  <si>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</si>
  <si>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</si>
  <si>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</si>
  <si>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</si>
  <si>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</si>
  <si>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</si>
  <si>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</si>
  <si>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</si>
  <si>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</si>
  <si>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</si>
  <si>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</si>
  <si>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</si>
  <si>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</si>
  <si>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</si>
  <si>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</si>
  <si>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</si>
  <si>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</si>
  <si>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</si>
  <si>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</si>
  <si>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</si>
  <si>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</si>
  <si>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</si>
  <si>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</si>
  <si>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</si>
  <si>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</si>
  <si>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</si>
  <si>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</si>
  <si>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</si>
  <si>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</si>
  <si>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</si>
  <si>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</si>
  <si>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</si>
  <si>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</si>
  <si>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</si>
  <si>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Lombard Finan-szírozási Zrt.</t>
  </si>
  <si>
    <t>Személygépkocsi</t>
  </si>
  <si>
    <t>Piac-fejl. hitel</t>
  </si>
  <si>
    <t>Raiffeisen Bank</t>
  </si>
  <si>
    <t>Kötvény visszaf.</t>
  </si>
  <si>
    <t>xxxxxxxxxxxxxxxxxxxxx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</si>
  <si>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</si>
  <si>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</si>
  <si>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</si>
  <si>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</si>
  <si>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</si>
  <si>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</si>
  <si>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</si>
  <si>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</si>
  <si>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</si>
  <si>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</si>
  <si>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</si>
  <si>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 xml:space="preserve">a közvetett támogatásokról </t>
  </si>
  <si>
    <t xml:space="preserve">Közvetett támogatás megnevezése </t>
  </si>
  <si>
    <t xml:space="preserve">                            Összeg </t>
  </si>
  <si>
    <t>Tényleges</t>
  </si>
  <si>
    <t>a pénzeszközök változásáról</t>
  </si>
  <si>
    <t xml:space="preserve">                       Ezer Ft-ban</t>
  </si>
  <si>
    <t xml:space="preserve">Tényleges </t>
  </si>
  <si>
    <t>Összes bevétel összege</t>
  </si>
  <si>
    <t>Összes kiadás összege</t>
  </si>
  <si>
    <t>Több éves kihatással járó döntések számszerűsítése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</si>
  <si>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</si>
  <si>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</si>
  <si>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</si>
  <si>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</si>
  <si>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</si>
  <si>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</si>
  <si>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</si>
  <si>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</si>
  <si>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</si>
  <si>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</si>
  <si>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</si>
  <si>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</si>
  <si>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</si>
  <si>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</si>
  <si>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Mköv. Szennyvíz. A. támogatására Ny-i vár.r.</t>
  </si>
  <si>
    <t>Mköv. Szennyvíz. A. támogatására III. ütem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</si>
  <si>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</si>
  <si>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</si>
  <si>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</si>
  <si>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</si>
  <si>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</si>
  <si>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</si>
  <si>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</si>
  <si>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</si>
  <si>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Mköv. Szennyvíz. A. támogatására III. ütem.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</si>
  <si>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</si>
  <si>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eFt</t>
  </si>
  <si>
    <t>Jogcím megnevezése</t>
  </si>
  <si>
    <t>Diáksport támogatása</t>
  </si>
  <si>
    <t>Bevételek összesen:</t>
  </si>
  <si>
    <t>Út - híd keret</t>
  </si>
  <si>
    <t>eFt-ban</t>
  </si>
  <si>
    <t>Dologi jellegű kiadások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</si>
  <si>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</si>
  <si>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</si>
  <si>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</si>
  <si>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</si>
  <si>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</si>
  <si>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</si>
  <si>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</si>
  <si>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</si>
  <si>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</si>
  <si>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</si>
  <si>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</si>
  <si>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</si>
  <si>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</si>
  <si>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</si>
  <si>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</si>
  <si>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</si>
  <si>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</si>
  <si>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</si>
  <si>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</si>
  <si>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</si>
  <si>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</si>
  <si>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</si>
  <si>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</si>
  <si>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</si>
  <si>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</si>
  <si>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</si>
  <si>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</si>
  <si>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</si>
  <si>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</si>
  <si>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</si>
  <si>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Az önkormányzat 2011. évi kiadási előirányzatai összesen</t>
  </si>
  <si>
    <t xml:space="preserve">    4.1.Támogatásértékű működési kiad.</t>
  </si>
  <si>
    <t xml:space="preserve">    4.2.Működési c. pénzeszk. átad.államh. kívülre</t>
  </si>
  <si>
    <t xml:space="preserve">    4.3.Társadalom-szociálpol. és egyéb juttatás</t>
  </si>
  <si>
    <t xml:space="preserve">    4.4.előző évi műk.c. előir.mar., pénzmar.átad.</t>
  </si>
  <si>
    <t>5. Ellátottak pénzbeli juttatásai</t>
  </si>
  <si>
    <t>3. Egyéb felhalmozási kiadások összesen</t>
  </si>
  <si>
    <t>4. Egyéb működési kiadások összesen</t>
  </si>
  <si>
    <t xml:space="preserve">    3.1.Támogatás értékű felhalmozási kiadás</t>
  </si>
  <si>
    <t xml:space="preserve">    3.3.előző évi felh.c.előir.mar.,pénzmar.átad.</t>
  </si>
  <si>
    <t xml:space="preserve">4. Pénzügyi befektetés  </t>
  </si>
  <si>
    <t>5. Hosszú lejáratú hitelek kamata</t>
  </si>
  <si>
    <t>I. MŰKÖDÉSI KIADÁSOK</t>
  </si>
  <si>
    <t>II. FELHALMOZÁSI KIADÁSOK</t>
  </si>
  <si>
    <t>III. TÁMOGATÁSI KÖLCSÖNÖK NYÚJTÁSA, TÖRLESZTÉSE</t>
  </si>
  <si>
    <t>1. Támog. kölcsön nyújt. államházt.-on belülre</t>
  </si>
  <si>
    <t>2. Támog. kölcsön nyújt. államházt.-on kívülre</t>
  </si>
  <si>
    <t>3. Támog. kölcsön törlesztése államházt.-on belülre</t>
  </si>
  <si>
    <t>III. Támogatási  kölcsönök nyújtása, törlesztése összesen</t>
  </si>
  <si>
    <t>IV. PÉNZFORGALOM NÉLKÜLI KIADÁSOK</t>
  </si>
  <si>
    <t>1. Tervezett költségvetési és vállalk. maradvány</t>
  </si>
  <si>
    <t>TÁRGYÉVI KÖLTSÉGVETÉSI KIADÁS ÖSSZESEN (I.+II.+III.+IV.)</t>
  </si>
  <si>
    <t>4.Alap- és vállalkozási tev. közötti elszám.</t>
  </si>
  <si>
    <t>1. Működési célú kiadás</t>
  </si>
  <si>
    <t>2. Felhalmozási célú kiadás</t>
  </si>
  <si>
    <t>IV. Pénzforgalom nélküli kiadások összesen</t>
  </si>
  <si>
    <t>V. Értékpapírok vásárlásának kiadásai össz.</t>
  </si>
  <si>
    <t>VI. HITELEK TÖRLESZTÉSE ÉS KÖTVÉNYBEVÁLTÁS KIADÁSAI</t>
  </si>
  <si>
    <t>V. ÉRTÉKPAPÍROK VÁSÁRLÁSÁNAK KIADÁSAI</t>
  </si>
  <si>
    <t>1.Működési célú hitel törlesztés és műk.c.kötv.bev.</t>
  </si>
  <si>
    <t>2.Felahalmozási célú hitel törlesztés és fel.c. kötv.bev.</t>
  </si>
  <si>
    <t>VI. Hiteltörlesztés és kötvénybeváltás összesen</t>
  </si>
  <si>
    <t xml:space="preserve">2011. évi költségvetési kiadási előirányzatai  </t>
  </si>
  <si>
    <t>KIADÁSOK    JOGCÍMEI</t>
  </si>
  <si>
    <t>PH-hoz tartozó önállóan műk. Int. összesen</t>
  </si>
  <si>
    <t>Önállóan működő intézmények mindösszesen</t>
  </si>
  <si>
    <t xml:space="preserve">                        A polgármesteri hivatal 2011. évi költségvetési kiadási</t>
  </si>
  <si>
    <r>
      <t>Tartalék</t>
    </r>
    <r>
      <rPr>
        <b/>
        <sz val="10"/>
        <rFont val="Times New Roman"/>
        <family val="1"/>
      </rPr>
      <t xml:space="preserve"> Hiteltörl.</t>
    </r>
  </si>
  <si>
    <t>közter. rendjének fennt.</t>
  </si>
  <si>
    <t>fogorvosi ügyelet +iskola eü. Ellát.</t>
  </si>
  <si>
    <t>szennyvíz gyűjtés, elhelyezés</t>
  </si>
  <si>
    <t>PH-hoz tart. önáll. műk.int.</t>
  </si>
  <si>
    <t>okt.kieg.tev.+önk. ifjúsági prog.</t>
  </si>
  <si>
    <t xml:space="preserve">sportlétesít. Műk. + versenys. </t>
  </si>
  <si>
    <t xml:space="preserve">I. 4.1. Támogatás értékű működési kiadás </t>
  </si>
  <si>
    <t xml:space="preserve">I.  4.2. Működési célú pénzeszközátadás államháztartáson kívülre </t>
  </si>
  <si>
    <t xml:space="preserve">I.  4.3. Társadalom-, szociálpol. és egyéb juttatás </t>
  </si>
  <si>
    <t>55 év felettiek rendszeres szoc.segélye</t>
  </si>
  <si>
    <t>Egészségkár. Rendszeres szoc. segélye</t>
  </si>
  <si>
    <t>Rendelkezésre állási támogatás</t>
  </si>
  <si>
    <t>Bérpótló juttatás</t>
  </si>
  <si>
    <t>Időskorúak járadéka</t>
  </si>
  <si>
    <t>Normatív lakásfenntartási támogatás</t>
  </si>
  <si>
    <t>Normatív ápolási díj</t>
  </si>
  <si>
    <t>Pénzbeni átmeneti segély</t>
  </si>
  <si>
    <t>Temetési segély</t>
  </si>
  <si>
    <t>Kiegészítő gyermekvédelmi támogatás</t>
  </si>
  <si>
    <t>Rendkívüli gyermekvédelmi támogatás</t>
  </si>
  <si>
    <t>Egyszeri gyermekvédelmi támogatás</t>
  </si>
  <si>
    <t>BURSA ösztöndíj</t>
  </si>
  <si>
    <t>Szemétszállítás támogatása</t>
  </si>
  <si>
    <t>Buszközlekedés támogatása</t>
  </si>
  <si>
    <t>Fürdőbelépő támogatása</t>
  </si>
  <si>
    <t>Mozgáskorlátozottak közlekedési támogatása</t>
  </si>
  <si>
    <t>Közköltséges temetés</t>
  </si>
  <si>
    <t>Gyermektartásdíj megelőlegezés</t>
  </si>
  <si>
    <t>Arany János Ösztöndíj</t>
  </si>
  <si>
    <t>Társadalom-, szociálpol. és egyéb juttatás össz.</t>
  </si>
  <si>
    <t xml:space="preserve">II.  3.1. Támogatás értékű felhalmozási kiadás </t>
  </si>
  <si>
    <t>Támogatás értékű felhalmozási kiadás össz.</t>
  </si>
  <si>
    <t>II.  3.2. Felhalmozási célú pénzeszköz átadás államháztatáson kívűlre</t>
  </si>
  <si>
    <t xml:space="preserve">    3.2.Felhalm.c.pénzeszk.átad.államh.kívülre</t>
  </si>
  <si>
    <t>Felhalm.c. pénzeszk.átad. Összesen:</t>
  </si>
  <si>
    <t>II. 4. Pénzügyi befektetés</t>
  </si>
  <si>
    <t xml:space="preserve">III. Támogatási kölcsönök nyújtása, törlesztése </t>
  </si>
  <si>
    <t>1. Támogatási kölcsön nyújtása államháztarttáson belülre</t>
  </si>
  <si>
    <t>1.2. Felhalmozási célú támogatási kölcsön nyújtása államháztartáson belülre</t>
  </si>
  <si>
    <t>1.1.Működési célú támogatási kölcsön nyújtása államháztartáson belülre</t>
  </si>
  <si>
    <t xml:space="preserve">2. Támogatási kölcsön nyújtása államháztartáson kívülre  </t>
  </si>
  <si>
    <t>2.2. Felhalmozási célú támogatási kölcsönök nyújtása államháztartáson kívülre</t>
  </si>
  <si>
    <t>2.1. Működési célú támogatási kölcsönök nyújtása államháztartartáson kívülre</t>
  </si>
  <si>
    <t>3. Támogatási kölcsönök törlesztése államháztartáson belülre</t>
  </si>
  <si>
    <t>3.1.Működési célú támogatási kölcsönök törlesztése államház. belülre</t>
  </si>
  <si>
    <t>3.2.Felhalmozási célú támogaási kölcsönök törlesztése államházt. belülre</t>
  </si>
  <si>
    <t>III. Támogatási kölcsön nyújtása, törlesztése  mindösszesen</t>
  </si>
  <si>
    <t>2011. évi előirányzat</t>
  </si>
  <si>
    <t xml:space="preserve"> 2011. évi előirányzat</t>
  </si>
  <si>
    <t>Közfoglalkoztatottak létszámkerete</t>
  </si>
  <si>
    <t>2011.évi előir.</t>
  </si>
  <si>
    <t>2011. évi előir.</t>
  </si>
  <si>
    <t>Egyéb működési kiadás</t>
  </si>
  <si>
    <t>Ellátottak pénzbeli juttatása</t>
  </si>
  <si>
    <t>Támogatási kölcsönök nyújtása, törlesztése</t>
  </si>
  <si>
    <t>Pénzforgalom nélküli kiadások</t>
  </si>
  <si>
    <t>Értékpapírvásárlás kiadásai</t>
  </si>
  <si>
    <t>Egyéb felhalmozási kiadás</t>
  </si>
  <si>
    <t>Pénzügyi befektetés</t>
  </si>
  <si>
    <t>Értékpapírok vásárlása</t>
  </si>
  <si>
    <t>Értékpapírok vásárlása össz.,</t>
  </si>
  <si>
    <t>2011. ......................... hó</t>
  </si>
  <si>
    <t>2011. évi költségvetése</t>
  </si>
  <si>
    <r>
      <t xml:space="preserve">Központi </t>
    </r>
    <r>
      <rPr>
        <b/>
        <sz val="10"/>
        <rFont val="Times New Roman"/>
        <family val="1"/>
      </rPr>
      <t xml:space="preserve"> tám. </t>
    </r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</si>
  <si>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</si>
  <si>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</si>
  <si>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</si>
  <si>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</si>
  <si>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</si>
  <si>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</si>
  <si>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</si>
  <si>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</si>
  <si>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</si>
  <si>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........................ 2011. ............ hó .... nap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</si>
  <si>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</si>
  <si>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</si>
  <si>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2011. évi előirányzatai</t>
  </si>
  <si>
    <t>A.) Európai Uniós forrásból finaszírozott támogatással megvalósuló programok, projektek bevételei, kiadásai</t>
  </si>
  <si>
    <t xml:space="preserve">Bevételek </t>
  </si>
  <si>
    <t>Saját erő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</si>
  <si>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</si>
  <si>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</si>
  <si>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</si>
  <si>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</si>
  <si>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</si>
  <si>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 xml:space="preserve">B.) Önkormányzaton kívüli EU-s projektekhez történő hozzájárulás 2011. évi előirányzatai </t>
  </si>
  <si>
    <t>Támogatott neve</t>
  </si>
  <si>
    <t xml:space="preserve">     Hozzájárulás összege </t>
  </si>
  <si>
    <t xml:space="preserve">Kiadások összesen </t>
  </si>
  <si>
    <t>Fennálló hitel, kötvénytart.  2011. I. 1-jén</t>
  </si>
  <si>
    <t>2011. évi hitelfelvét.</t>
  </si>
  <si>
    <t>Mezőkövesd város önkormányzata által 2011. évben nyújtandó</t>
  </si>
  <si>
    <t>a 2011. évre tervezett közvetett támogatásokról</t>
  </si>
  <si>
    <t>a pénzeszközök  2011. évre tervezett változásáról</t>
  </si>
  <si>
    <t>Nyitó pénzkészlet 2011. január 1-jén</t>
  </si>
  <si>
    <t>Záró pénzkészlet tervezett összege 2011. dec. 31-én</t>
  </si>
  <si>
    <t xml:space="preserve">              2011. év </t>
  </si>
  <si>
    <t xml:space="preserve">             2011. év </t>
  </si>
  <si>
    <t>Hitel-állomány 2011.01.01</t>
  </si>
  <si>
    <t>2040.</t>
  </si>
  <si>
    <t>Hitel-állomány 2011.01.01.</t>
  </si>
  <si>
    <t xml:space="preserve">Nyitó pénzkészlet 2011.január 1-jén </t>
  </si>
  <si>
    <t xml:space="preserve">Záró pénzkészlet 2011. dec. 31-én </t>
  </si>
  <si>
    <t>2011. évi költségvetési bevételei</t>
  </si>
  <si>
    <t>2011. évi  költségvetési bevételei</t>
  </si>
  <si>
    <t>1.1. Közhatalmi bevételek</t>
  </si>
  <si>
    <t xml:space="preserve">1.2. Egyéb saját működési bevételek </t>
  </si>
  <si>
    <t>1.3. Működési célú ÁFA- bevételek, visszatér.</t>
  </si>
  <si>
    <t>1.4. Működési célú hozam és kamatbevételek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</si>
  <si>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</si>
  <si>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</si>
  <si>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</si>
  <si>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</si>
  <si>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</si>
  <si>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</si>
  <si>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</si>
  <si>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</si>
  <si>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I. MŰKÖDÉSI BEVÉTELEK (I/1+I/4)</t>
  </si>
  <si>
    <t>I/4. Egyéb működési bevételek</t>
  </si>
  <si>
    <t>4.1 Támogatás értékű működési bevételek</t>
  </si>
  <si>
    <t>4.3 Előző évi működési célú előir. mar. pénzm.átv.</t>
  </si>
  <si>
    <t>I/4. Egyéb működési  bevételek össz.</t>
  </si>
  <si>
    <t>4.2 Működési célú pénzeszk.átvétel államh. kívülről</t>
  </si>
  <si>
    <t>4.4 Előző évi költségvetési kieg. visszatérülés.</t>
  </si>
  <si>
    <t>II/1. Felhalmozási és tőke jellegű bevételek</t>
  </si>
  <si>
    <t>1.1. Tárgyi eszk., immat.javak értékesítése</t>
  </si>
  <si>
    <t>II/3. Egyéb felhalmozási bevételek</t>
  </si>
  <si>
    <t>3.1 Támogatás értékű felhalmozási bev.</t>
  </si>
  <si>
    <t>3.2. Felhalm.c. pénzeszk.átv. államházt.kívülről</t>
  </si>
  <si>
    <t>3.3 Előző évi felhalmozási c.előirm.pénzm.átvét.</t>
  </si>
  <si>
    <t>II. FELHALMOZÁSI BEVÉTELEK (II/1+II/3)</t>
  </si>
  <si>
    <t>II/3. Egyéb felhalm.bev.össz.</t>
  </si>
  <si>
    <t>1.3 Pénzügyi befektetés bevételei</t>
  </si>
  <si>
    <t>II/1. Felhalmozási és tőke jellegű bevételek össz.</t>
  </si>
  <si>
    <t>III. TÁMOGATÁSI KÖLCSÖNÖK VISSZATÉRÜLÉSE, IGÉNYBEVÉTELE</t>
  </si>
  <si>
    <t>IV. PÉNZFORGALOM NÉLÜLI BEVÉTELEK</t>
  </si>
  <si>
    <t>TÁRGYÉVI INTÉZMÉNYI BEVÉTELEK ÖSSZESEN (I+II+III+IV)</t>
  </si>
  <si>
    <t>1. Alap és vállalk. tev. közötti elszámolás</t>
  </si>
  <si>
    <t xml:space="preserve">     1. működési célú</t>
  </si>
  <si>
    <t xml:space="preserve">     2. felhalmozási célú</t>
  </si>
  <si>
    <t>KÖLTSÉGV. HIÁNY BELSŐ FINANSZÍ-ROZÁSÁRA SZOLG.PÉNZFORG. NÉLKÜLI BEV.</t>
  </si>
  <si>
    <t>KÖLTSÉGV. HIÁNY BELSŐ FINANSZ-T MEGHALADÓ ÖSSZ-NEK KÜLSŐ FIN.SZOLG.BEVÉTELEK</t>
  </si>
  <si>
    <t>V. ELŐZŐ ÉVI PÉNZMARADVÁNY IGÉNYBEVÉTELE</t>
  </si>
  <si>
    <t xml:space="preserve">    1. Működési célú bevételek</t>
  </si>
  <si>
    <t xml:space="preserve">    2. Felhalmozási célú bevételek</t>
  </si>
  <si>
    <t>VI. ÉRTÉKPAPÍROK ÉRTÉKESÍTÉSÉNEK BEVÉTELE</t>
  </si>
  <si>
    <t>VII. HITELEK FELVÉTELE ÉS KÖTVÉNYKIBOCSÁTÁS</t>
  </si>
  <si>
    <t>1. Működési c.hitel ig.vétele és kötvény műk.c.</t>
  </si>
  <si>
    <t>2. Fejlesztési c.hitel ig.vétele és kötv.felh.c.</t>
  </si>
  <si>
    <t>IRÁNYÍTÓ SZERVTŐL KAPOTT TÁMOGATÁS</t>
  </si>
  <si>
    <t>INTÉZMÉNYI BEVÉTELEK MINDÖSSZESEN</t>
  </si>
  <si>
    <t xml:space="preserve">   --------------------</t>
  </si>
  <si>
    <t xml:space="preserve">      Praxisvásárlásra nyújtott kölcsön</t>
  </si>
  <si>
    <t>Városgond-nokság</t>
  </si>
  <si>
    <t>PH-hoz tartozó önállóan műk. int. Összesen</t>
  </si>
  <si>
    <t>I/1. Intézményi működési bevételek</t>
  </si>
  <si>
    <t>I/2. Önkorm.sajátos működési bev(2.1..+2.4)</t>
  </si>
  <si>
    <t>3.1. Normatív hozzájárulások</t>
  </si>
  <si>
    <t>3.2. Központosított előirányzatok működési célúak</t>
  </si>
  <si>
    <t>3.3. Helyi önkormányzatok kiegészítő támogatása</t>
  </si>
  <si>
    <t>3.5. Normatív kötött felhasználású támogatások</t>
  </si>
  <si>
    <t>3.4. Helyi önkorm. által fennt. ill. támog.előadó-művészeti szervezetek támogatása</t>
  </si>
  <si>
    <t>I/3. Működési támogatások (3.1..+3.5)</t>
  </si>
  <si>
    <t>I. MŰKÖDÉSI BEVÉTELEK (I/1..+I/4)</t>
  </si>
  <si>
    <t>II. FELHALMOZÁSI BEVÉTELEK (II/1..+II/3)</t>
  </si>
  <si>
    <t>1.2.Önkormányzatok sajátos felhalmozási és tőke bevétele</t>
  </si>
  <si>
    <t>II/2. Felhalmozási támogatások</t>
  </si>
  <si>
    <t>2.1. Központosított előirányzatokból fejlesztési célú</t>
  </si>
  <si>
    <t>2.2. Fejlesztési célú támogatások</t>
  </si>
  <si>
    <t>BEVÉTELEK MINDÖSSZESEN (I....+VII.)</t>
  </si>
  <si>
    <t>KÖLTSÉGV. HIÁNY BELSŐ FINANSZÍROZÁSÁRA SZOLG.PÉNZFORG. NÉLKÜLI BEV.</t>
  </si>
  <si>
    <t>KÖLTSÉGV. HIÁNY BELSŐ FINANSZ-T MEGHALADÓ ÖSSZEGNEK KÜLSŐ FIN.SZOLG.BEVÉTELEK</t>
  </si>
  <si>
    <t>I/3.1. Normatív állami hozzájárulás részletezése</t>
  </si>
  <si>
    <t>I/3.5. Normatív kötött állami hozzájárulás részletezése</t>
  </si>
  <si>
    <t xml:space="preserve">I/3.2. Központosított előirányzatok részletezése </t>
  </si>
  <si>
    <t>I/3.2. Központosított előirányzatok működési célúak összesen</t>
  </si>
  <si>
    <t>I/3.3. Helyi önkormányzatok kiegészítő támogatása</t>
  </si>
  <si>
    <t>1. Önhibájukon kívül hátrányos helyzetben lévő önk. támogatása</t>
  </si>
  <si>
    <t>2. A tartósan fizetésképtelen helyzetbe került helyi önk.adósságrend-re irányuló visszterhes kamattámogat., a pénzügyi gondnok díja</t>
  </si>
  <si>
    <t>Kiegészítő támogatás egyes közoktatási feladatokhoz</t>
  </si>
  <si>
    <t>Egyes szociális feladatok támogatása</t>
  </si>
  <si>
    <t>II/1.1.Tárgyi eszközök, immateriális javak értékesítésének részletezése</t>
  </si>
  <si>
    <t>II/1.1. Tárgyi eszk.immat.jav. ért.össz.</t>
  </si>
  <si>
    <t xml:space="preserve">II/1.2. Önkormányzatok sajátos felhalmozási és tőke jellegű bevételeinek </t>
  </si>
  <si>
    <t>II/1.2. Önkormányzat sajátos felhalm. és tőke bev.össz.</t>
  </si>
  <si>
    <t>II/1.3. Pénzügyi befektetés bevétele</t>
  </si>
  <si>
    <t>II/1.3. Pénzügyi befektetés bevétele összesen</t>
  </si>
  <si>
    <t xml:space="preserve">II/2/1. Központosított előirányzatokból felhalmozási célúak részletezése </t>
  </si>
  <si>
    <t>Felhalmozási célú központosított előirányzatok:</t>
  </si>
  <si>
    <t>II/2.1. Központosított előirányzatok felhalmozási célúak összesen</t>
  </si>
  <si>
    <t>II/2/2. Fejlesztési célú támogatások részletezése</t>
  </si>
  <si>
    <t>II/2.2. Fejlesztési célő támogatások  összesen</t>
  </si>
  <si>
    <t>Fejlesztési célú támogaátsok:</t>
  </si>
  <si>
    <t xml:space="preserve">    2.2.2. Céltámogatás </t>
  </si>
  <si>
    <t xml:space="preserve">    2.2.3. Vis Mior támogatás</t>
  </si>
  <si>
    <t xml:space="preserve">    2.2.4. Egyéb központi támogatás </t>
  </si>
  <si>
    <t xml:space="preserve">    2.2.1. Címzett támogatások </t>
  </si>
  <si>
    <t>II/3.1. Támogatás értékű felhalmozási bevételek</t>
  </si>
  <si>
    <t>II/3.1. Támogatás értékű felhalmozási bev. össz.</t>
  </si>
  <si>
    <t xml:space="preserve">II/3.2. Felhalmozási célú pénzeszköz átvétele államháztartáson kívülről </t>
  </si>
  <si>
    <t>III. Támogatási kölcsönök visszatérülése, igénybevétele</t>
  </si>
  <si>
    <t xml:space="preserve">2. Támogatási kölcsön visszatérülése államháztartáson kívülről  </t>
  </si>
  <si>
    <t>1. Támogatási kölcsön visszatérülése államháztarttáson belülről</t>
  </si>
  <si>
    <t>1.1.Működési célú támogatási kölcsön visszatérülése államháztartáson belülről</t>
  </si>
  <si>
    <t>1.2. Felhalmozási célú támogatási kölcsön visszatérülése államháztartáson belülről</t>
  </si>
  <si>
    <t xml:space="preserve">      Dolgozók lakásépítés vásárlására ford. kölcsön visszatérülése</t>
  </si>
  <si>
    <t>2.2. Felhalmozási célú támogatási kölcsönökvisszatérülése államháztartáson kívülről</t>
  </si>
  <si>
    <t xml:space="preserve">      Lakáscélú kölcsön visszatérülése háztartásoktól</t>
  </si>
  <si>
    <t xml:space="preserve">      Praxisvásárlásra nyújtott kölcsön visszatérülése</t>
  </si>
  <si>
    <t xml:space="preserve">      Első lakáshozjutók  támogatási kölcsönének visszatérülése- háztartásoktól</t>
  </si>
  <si>
    <t xml:space="preserve">      Lakáshitel visszatérülése- háztartásoktól</t>
  </si>
  <si>
    <t>3. Támogatási kölcsönök igénybevétele államháztartáson belülről</t>
  </si>
  <si>
    <t xml:space="preserve">        Kamatmentes kölcsön visszatérülése</t>
  </si>
  <si>
    <t>3.1.Működési célú támogatási kölcsönök igénybevétele államház. belülről</t>
  </si>
  <si>
    <t>3.2.Felhalmozási célú támogatási kölcsönök  igénybevétele államházt. belülről</t>
  </si>
  <si>
    <t>III. Támogatási kölcsön visszatérülése, igénybevétele  mindösszesen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</si>
  <si>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</si>
  <si>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</si>
  <si>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</si>
  <si>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</si>
  <si>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</si>
  <si>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II. Felhalmozási bevételek</t>
  </si>
  <si>
    <t>IV. Pénzforgalom nélküli bevételek összesen</t>
  </si>
  <si>
    <t xml:space="preserve">      Ebből: Céltartalék</t>
  </si>
  <si>
    <t>V. Előző évi pénzmaradvány igénybevétele</t>
  </si>
  <si>
    <t>VI. Értékpapírok értékesítésének bevétele</t>
  </si>
  <si>
    <t>VII. Hitelek felvétele és kötvénykibocsátás</t>
  </si>
  <si>
    <t>Önkorm. Sajátos műk. Bev.</t>
  </si>
  <si>
    <t>Működési támogatások össz.</t>
  </si>
  <si>
    <t>Támogatási kölcsönök visszatérülése</t>
  </si>
  <si>
    <t>Pénzforgalom nélküli bevételek</t>
  </si>
  <si>
    <t>Ktgv-i hiány belső finansz.szolg. pénzf.nélk.bev</t>
  </si>
  <si>
    <t>Kv-i hiány belső finan.megh.öss.külső fin.sz.bev</t>
  </si>
  <si>
    <t>Értékpapírok értékesít-nek bevétele</t>
  </si>
  <si>
    <t>Hitelfelvétel, kötvénykib. /forráshiány/</t>
  </si>
  <si>
    <t>Felhalm támog.</t>
  </si>
  <si>
    <t>Egyéb felhalmzási bevételek</t>
  </si>
  <si>
    <t>Támogatási kölcsönök visszatér.</t>
  </si>
  <si>
    <t xml:space="preserve">Hitelfelvétel, kötvénykib. </t>
  </si>
  <si>
    <t>Egyéb működési bevételek</t>
  </si>
  <si>
    <t>2009.évi ktgv</t>
  </si>
  <si>
    <t>2010.évi ktgv.</t>
  </si>
  <si>
    <t>2011. évi terv</t>
  </si>
  <si>
    <t>pénzbeli szociális juttatások (17272*7005)(17098*</t>
  </si>
  <si>
    <r>
      <t>szociális étkeztetés (205*55.363)(</t>
    </r>
    <r>
      <rPr>
        <b/>
        <sz val="12"/>
        <color indexed="8"/>
        <rFont val="Times New Roman"/>
        <family val="1"/>
      </rPr>
      <t>190*55.360)</t>
    </r>
  </si>
  <si>
    <r>
      <t>Bölcsödei ellátás (56*540150) (58*494100)(</t>
    </r>
    <r>
      <rPr>
        <b/>
        <sz val="12"/>
        <color indexed="8"/>
        <rFont val="Times New Roman"/>
        <family val="1"/>
      </rPr>
      <t>68*494.100)</t>
    </r>
  </si>
  <si>
    <r>
      <t>Ingyenes bölcsödei étkezés (19*65000) (3*65000)(</t>
    </r>
    <r>
      <rPr>
        <b/>
        <sz val="12"/>
        <color indexed="8"/>
        <rFont val="Times New Roman"/>
        <family val="1"/>
      </rPr>
      <t>13*68.000)</t>
    </r>
  </si>
  <si>
    <r>
      <t>szociális továbbképzés és szakvizsga  (16*9400)</t>
    </r>
    <r>
      <rPr>
        <b/>
        <sz val="12"/>
        <color indexed="8"/>
        <rFont val="Times New Roman"/>
        <family val="1"/>
      </rPr>
      <t>(14*9.400</t>
    </r>
    <r>
      <rPr>
        <sz val="12"/>
        <color indexed="8"/>
        <rFont val="Times New Roman"/>
        <family val="1"/>
      </rPr>
      <t>)</t>
    </r>
  </si>
  <si>
    <r>
      <t>szociális összesen</t>
    </r>
    <r>
      <rPr>
        <b/>
        <sz val="12"/>
        <color indexed="8"/>
        <rFont val="Calibri"/>
        <family val="2"/>
      </rPr>
      <t>}}</t>
    </r>
  </si>
  <si>
    <t>Óvodai nev.alaphzj. 1-2.nev.év (223*2550000*8/12)</t>
  </si>
  <si>
    <t>Óvodai nev.alaphzj. 3.nev.év (230*2550000*8/12)</t>
  </si>
  <si>
    <r>
      <t>Óvodai nev.alaphzj. 1-3.nev.év (467*2350*4/12)</t>
    </r>
    <r>
      <rPr>
        <b/>
        <sz val="12"/>
        <color indexed="8"/>
        <rFont val="Times New Roman"/>
        <family val="1"/>
      </rPr>
      <t>460*2350*4/12</t>
    </r>
  </si>
  <si>
    <r>
      <t>Óvodai nev.alaphzj. 1-3.nev.év (457*2350000*8/12)</t>
    </r>
    <r>
      <rPr>
        <b/>
        <sz val="12"/>
        <color indexed="8"/>
        <rFont val="Times New Roman"/>
        <family val="1"/>
      </rPr>
      <t>465*2350*8/12</t>
    </r>
  </si>
  <si>
    <r>
      <t>Isk.okt.alaphzj.1-2.évf.(232*2350000*8/12</t>
    </r>
    <r>
      <rPr>
        <b/>
        <sz val="12"/>
        <color indexed="8"/>
        <rFont val="Times New Roman"/>
        <family val="1"/>
      </rPr>
      <t>)(222*2350000*8/12)</t>
    </r>
  </si>
  <si>
    <r>
      <t>Isk.okt.alaphzj.3.évf.(119*2350000*8/12</t>
    </r>
    <r>
      <rPr>
        <b/>
        <sz val="12"/>
        <color indexed="8"/>
        <rFont val="Times New Roman"/>
        <family val="1"/>
      </rPr>
      <t>)(99*2350000*8/12)</t>
    </r>
  </si>
  <si>
    <r>
      <t>Isk.okt.alaphzj.4.évf.(147*2350000*8/12)</t>
    </r>
    <r>
      <rPr>
        <b/>
        <sz val="12"/>
        <color indexed="8"/>
        <rFont val="Times New Roman"/>
        <family val="1"/>
      </rPr>
      <t>(160*2350000*8/12)</t>
    </r>
  </si>
  <si>
    <r>
      <t>Isk.okt.alaphzj.5-6.évf.(269*2350000*8/12)</t>
    </r>
    <r>
      <rPr>
        <b/>
        <sz val="12"/>
        <color indexed="8"/>
        <rFont val="Times New Roman"/>
        <family val="1"/>
      </rPr>
      <t>236*2350000*8/12</t>
    </r>
  </si>
  <si>
    <t>Isk.okt.alaphzj.7-8.évf.(325*2550000*8/12)</t>
  </si>
  <si>
    <r>
      <t>Isk.okt.alaphzj.7.évf.(145*2350000*8/12)</t>
    </r>
    <r>
      <rPr>
        <b/>
        <sz val="12"/>
        <color indexed="8"/>
        <rFont val="Times New Roman"/>
        <family val="1"/>
      </rPr>
      <t>138*2350000*8/12</t>
    </r>
  </si>
  <si>
    <r>
      <t>Isk.okt.alaphzj.8.évf.(182*2350000*8/12)</t>
    </r>
    <r>
      <rPr>
        <b/>
        <sz val="12"/>
        <color indexed="8"/>
        <rFont val="Times New Roman"/>
        <family val="1"/>
      </rPr>
      <t>154*2350000*8/12</t>
    </r>
  </si>
  <si>
    <r>
      <t>Isk.okt.alaphzj.1-2.évf(197*2350000*4/12)</t>
    </r>
    <r>
      <rPr>
        <b/>
        <sz val="12"/>
        <color indexed="8"/>
        <rFont val="Times New Roman"/>
        <family val="1"/>
      </rPr>
      <t>250*2350000*4/12</t>
    </r>
  </si>
  <si>
    <r>
      <t>Isk.okt.alaphzj.3.évf.(99*2350000*4/12)</t>
    </r>
    <r>
      <rPr>
        <b/>
        <sz val="12"/>
        <color indexed="8"/>
        <rFont val="Times New Roman"/>
        <family val="1"/>
      </rPr>
      <t>97*2350000*4/12</t>
    </r>
  </si>
  <si>
    <r>
      <t>Isk.okt.alaphzj.4.évf.(160*2350000*4/12)</t>
    </r>
    <r>
      <rPr>
        <b/>
        <sz val="12"/>
        <color indexed="8"/>
        <rFont val="Times New Roman"/>
        <family val="1"/>
      </rPr>
      <t>124*2350000*4/12</t>
    </r>
  </si>
  <si>
    <r>
      <t>Isk.okt.alaphzj.5-6.évf.(236*2350000*4/12)</t>
    </r>
    <r>
      <rPr>
        <b/>
        <sz val="12"/>
        <color indexed="8"/>
        <rFont val="Times New Roman"/>
        <family val="1"/>
      </rPr>
      <t>265*2350000*4/12</t>
    </r>
  </si>
  <si>
    <r>
      <t>Isk.okt.alaphzj.7.évf.(138*2350000*4/12)</t>
    </r>
    <r>
      <rPr>
        <b/>
        <sz val="12"/>
        <color indexed="8"/>
        <rFont val="Times New Roman"/>
        <family val="1"/>
      </rPr>
      <t>106*2350000*4/12</t>
    </r>
  </si>
  <si>
    <r>
      <t>Isk.okt.alaphzj.8.évf.(154*2350000*4/12)</t>
    </r>
    <r>
      <rPr>
        <b/>
        <sz val="12"/>
        <color indexed="8"/>
        <rFont val="Times New Roman"/>
        <family val="1"/>
      </rPr>
      <t>138*2350000*4/12</t>
    </r>
  </si>
  <si>
    <t>SNI magántanuló (2*240000*8/12)(1*224000*8/12)</t>
  </si>
  <si>
    <t>SNI magántanuló (2*239000*4/12)</t>
  </si>
  <si>
    <r>
      <t xml:space="preserve">SNI gyógyped.nev.visszah.(2*134400*8/12) </t>
    </r>
    <r>
      <rPr>
        <b/>
        <sz val="12"/>
        <color indexed="8"/>
        <rFont val="Times New Roman"/>
        <family val="1"/>
      </rPr>
      <t>5*134400*8/12</t>
    </r>
  </si>
  <si>
    <r>
      <t>SNI gyógyped.nev.visszah.(2*134400*4/12)</t>
    </r>
    <r>
      <rPr>
        <b/>
        <sz val="12"/>
        <color indexed="8"/>
        <rFont val="Times New Roman"/>
        <family val="1"/>
      </rPr>
      <t xml:space="preserve"> 4*134400*4/12</t>
    </r>
  </si>
  <si>
    <r>
      <t>SNI testi,érzéksz.,autista(5*358400*8/12)</t>
    </r>
    <r>
      <rPr>
        <b/>
        <sz val="12"/>
        <color indexed="8"/>
        <rFont val="Times New Roman"/>
        <family val="1"/>
      </rPr>
      <t>5*358400*8/12</t>
    </r>
  </si>
  <si>
    <r>
      <t>SNI testi,érzéksz.,autista(4*358400*4/12)</t>
    </r>
    <r>
      <rPr>
        <b/>
        <sz val="12"/>
        <color indexed="8"/>
        <rFont val="Times New Roman"/>
        <family val="1"/>
      </rPr>
      <t>3*358400*4/12</t>
    </r>
  </si>
  <si>
    <r>
      <t>SNI beszédfogy.(35*179200*8/12</t>
    </r>
    <r>
      <rPr>
        <b/>
        <sz val="12"/>
        <color indexed="8"/>
        <rFont val="Times New Roman"/>
        <family val="1"/>
      </rPr>
      <t>)43*179200*8/12</t>
    </r>
  </si>
  <si>
    <r>
      <t>SNI beszédfogy.(39*179200*4/12)</t>
    </r>
    <r>
      <rPr>
        <b/>
        <sz val="12"/>
        <color indexed="8"/>
        <rFont val="Times New Roman"/>
        <family val="1"/>
      </rPr>
      <t>39*179200*4/12</t>
    </r>
  </si>
  <si>
    <r>
      <t>SNI viselkedés fejl.(26*134400*8/12)</t>
    </r>
    <r>
      <rPr>
        <b/>
        <sz val="12"/>
        <color indexed="8"/>
        <rFont val="Times New Roman"/>
        <family val="1"/>
      </rPr>
      <t>44*134400*8/12</t>
    </r>
  </si>
  <si>
    <r>
      <t xml:space="preserve">SNI viselkedés fejl.(35*134400*4/12) </t>
    </r>
    <r>
      <rPr>
        <b/>
        <sz val="12"/>
        <color indexed="8"/>
        <rFont val="Times New Roman"/>
        <family val="1"/>
      </rPr>
      <t>41*134400*4/12</t>
    </r>
  </si>
  <si>
    <r>
      <t>Korai fejl.gond.(11*240000)</t>
    </r>
    <r>
      <rPr>
        <b/>
        <sz val="12"/>
        <color indexed="8"/>
        <rFont val="Times New Roman"/>
        <family val="1"/>
      </rPr>
      <t>11*240000</t>
    </r>
  </si>
  <si>
    <t>Fejlesztő felkészítés (2*305000)</t>
  </si>
  <si>
    <r>
      <t>Egyéni fejlesztő felkészítés</t>
    </r>
    <r>
      <rPr>
        <b/>
        <sz val="12"/>
        <rFont val="Times New Roman"/>
        <family val="1"/>
      </rPr>
      <t xml:space="preserve"> 3fő*427000</t>
    </r>
  </si>
  <si>
    <r>
      <t>Isk.okt.9-10.évf.(749*2350000*8/12)</t>
    </r>
    <r>
      <rPr>
        <b/>
        <sz val="12"/>
        <color indexed="8"/>
        <rFont val="Times New Roman"/>
        <family val="1"/>
      </rPr>
      <t>752*2350000*8/12</t>
    </r>
  </si>
  <si>
    <t>Isk.okt.11-13.évf.(530*2550000*8/12)</t>
  </si>
  <si>
    <t>Isk.okt.11.évf.(232*2350000*8/12)</t>
  </si>
  <si>
    <t>Isk.okt.12-13.évf.(286*2350000*8/12)</t>
  </si>
  <si>
    <r>
      <t>isk.okt.11-12.évf.</t>
    </r>
    <r>
      <rPr>
        <b/>
        <sz val="12"/>
        <color indexed="8"/>
        <rFont val="Times New Roman"/>
        <family val="1"/>
      </rPr>
      <t>503*2350000*8/12</t>
    </r>
  </si>
  <si>
    <r>
      <t>isk.okt.13.évf.</t>
    </r>
    <r>
      <rPr>
        <b/>
        <sz val="12"/>
        <color indexed="8"/>
        <rFont val="Times New Roman"/>
        <family val="1"/>
      </rPr>
      <t>51*2350000*8/12</t>
    </r>
  </si>
  <si>
    <r>
      <t>Isk.okt.9-10.évf.(719*2350000*4/12)</t>
    </r>
    <r>
      <rPr>
        <b/>
        <sz val="12"/>
        <color indexed="8"/>
        <rFont val="Times New Roman"/>
        <family val="1"/>
      </rPr>
      <t>795*2350000*4/12</t>
    </r>
  </si>
  <si>
    <t>Isk.okt.11.évf.(243*2540000*4/12)(287*2350000*4/12)</t>
  </si>
  <si>
    <t>Isk.okt.12-13.évf.(295*2540000*4/12)</t>
  </si>
  <si>
    <t>Isk.okt.12.évf.(226*2350000*4/12)</t>
  </si>
  <si>
    <t>Isk.okt.13.évf.(56*2350000*4/12)</t>
  </si>
  <si>
    <r>
      <t xml:space="preserve">Isk. okt. 11-13. évf. </t>
    </r>
    <r>
      <rPr>
        <b/>
        <sz val="12"/>
        <color indexed="8"/>
        <rFont val="Times New Roman"/>
        <family val="1"/>
      </rPr>
      <t>567*2350000*4/12</t>
    </r>
  </si>
  <si>
    <t>Isk.szakképzés 9-10.évf.(312*2550000*8/12)</t>
  </si>
  <si>
    <t>Isk.szakképzés 11-12.évf.(30*2550000*8/12)</t>
  </si>
  <si>
    <r>
      <t>Isk.szakképzés 9-11.évf.(384*2350000*8/12)</t>
    </r>
    <r>
      <rPr>
        <b/>
        <sz val="12"/>
        <color indexed="8"/>
        <rFont val="Times New Roman"/>
        <family val="1"/>
      </rPr>
      <t>381*2350000*8/12</t>
    </r>
  </si>
  <si>
    <r>
      <t>Isk.szakképzés 9-11.évf.(396*2350000*4/12)</t>
    </r>
    <r>
      <rPr>
        <b/>
        <sz val="12"/>
        <color indexed="8"/>
        <rFont val="Times New Roman"/>
        <family val="1"/>
      </rPr>
      <t>407*2350000*4/12</t>
    </r>
  </si>
  <si>
    <r>
      <t>Isk.gyak.okt.9-10.évf(214*35000*8/12)</t>
    </r>
    <r>
      <rPr>
        <b/>
        <sz val="12"/>
        <color indexed="8"/>
        <rFont val="Times New Roman"/>
        <family val="1"/>
      </rPr>
      <t>221*35000*8/12</t>
    </r>
  </si>
  <si>
    <r>
      <t>Isk.gyak.okt.9-10.évf.(210*35000*4/12)</t>
    </r>
    <r>
      <rPr>
        <b/>
        <sz val="12"/>
        <color indexed="8"/>
        <rFont val="Times New Roman"/>
        <family val="1"/>
      </rPr>
      <t>238*35000*4/12</t>
    </r>
  </si>
  <si>
    <r>
      <t>Isk.gyak.(1 évf.képz.)7*98000*8/12)</t>
    </r>
    <r>
      <rPr>
        <b/>
        <sz val="12"/>
        <color indexed="8"/>
        <rFont val="Times New Roman"/>
        <family val="1"/>
      </rPr>
      <t>5*98000*8/12</t>
    </r>
  </si>
  <si>
    <r>
      <t>Isk.gyak.(első évf.)47*137200*8/12)</t>
    </r>
    <r>
      <rPr>
        <b/>
        <sz val="12"/>
        <color indexed="8"/>
        <rFont val="Times New Roman"/>
        <family val="1"/>
      </rPr>
      <t>58*137200*8/12</t>
    </r>
  </si>
  <si>
    <r>
      <t xml:space="preserve">Isk.gyak.(ut.évf.)(27*58800*8/12) </t>
    </r>
    <r>
      <rPr>
        <b/>
        <sz val="12"/>
        <color indexed="8"/>
        <rFont val="Times New Roman"/>
        <family val="1"/>
      </rPr>
      <t>25*58800*8/12</t>
    </r>
  </si>
  <si>
    <r>
      <t xml:space="preserve">Isk.gyak.(tan.szerz.)(139*19600*8/12) </t>
    </r>
    <r>
      <rPr>
        <b/>
        <sz val="12"/>
        <color indexed="8"/>
        <rFont val="Times New Roman"/>
        <family val="1"/>
      </rPr>
      <t>187*19600*8/12</t>
    </r>
  </si>
  <si>
    <r>
      <t xml:space="preserve">Isk.gyak.(1 évf.képz.)(16*98000*4/12) </t>
    </r>
    <r>
      <rPr>
        <b/>
        <sz val="12"/>
        <color indexed="8"/>
        <rFont val="Times New Roman"/>
        <family val="1"/>
      </rPr>
      <t>3*9800*4/12</t>
    </r>
  </si>
  <si>
    <r>
      <t xml:space="preserve">Isk.gyak.(első évf.)(50*137200*4/12) </t>
    </r>
    <r>
      <rPr>
        <b/>
        <sz val="12"/>
        <color indexed="8"/>
        <rFont val="Times New Roman"/>
        <family val="1"/>
      </rPr>
      <t>62*137200*4/12</t>
    </r>
  </si>
  <si>
    <r>
      <t xml:space="preserve">Isk.gyak.(ut.évf.)(22*58800*4/12) </t>
    </r>
    <r>
      <rPr>
        <b/>
        <sz val="12"/>
        <color indexed="8"/>
        <rFont val="Times New Roman"/>
        <family val="1"/>
      </rPr>
      <t>27*58800*4/12</t>
    </r>
  </si>
  <si>
    <r>
      <t xml:space="preserve">Isk.gyak.(tan.szerz.)(121*19600*4/12) </t>
    </r>
    <r>
      <rPr>
        <b/>
        <sz val="12"/>
        <color indexed="8"/>
        <rFont val="Times New Roman"/>
        <family val="1"/>
      </rPr>
      <t>196*19600*4/12</t>
    </r>
  </si>
  <si>
    <r>
      <t xml:space="preserve">Alapf.műv.zene min.(274*2350000*8/12) </t>
    </r>
    <r>
      <rPr>
        <b/>
        <sz val="12"/>
        <color indexed="8"/>
        <rFont val="Times New Roman"/>
        <family val="1"/>
      </rPr>
      <t>265*2350000*8/12</t>
    </r>
  </si>
  <si>
    <r>
      <t xml:space="preserve">Alapf.műv.képző  min.(94*2350000*8/12) </t>
    </r>
    <r>
      <rPr>
        <b/>
        <sz val="12"/>
        <color indexed="8"/>
        <rFont val="Times New Roman"/>
        <family val="1"/>
      </rPr>
      <t>119*2350000*8/12</t>
    </r>
  </si>
  <si>
    <r>
      <t xml:space="preserve">Alapf.műv.zene min.(274*2350000*4/12) </t>
    </r>
    <r>
      <rPr>
        <b/>
        <sz val="12"/>
        <color indexed="8"/>
        <rFont val="Times New Roman"/>
        <family val="1"/>
      </rPr>
      <t>265*2350000*4/12</t>
    </r>
  </si>
  <si>
    <r>
      <t xml:space="preserve">Alapf.műv.képző  min.(94*2350000*4/12) </t>
    </r>
    <r>
      <rPr>
        <b/>
        <sz val="12"/>
        <color indexed="8"/>
        <rFont val="Times New Roman"/>
        <family val="1"/>
      </rPr>
      <t>119*2350000*4/12</t>
    </r>
  </si>
  <si>
    <r>
      <t xml:space="preserve">Ped.módsz.tám.min.zene (274*44900*8/12) </t>
    </r>
    <r>
      <rPr>
        <b/>
        <sz val="12"/>
        <color indexed="8"/>
        <rFont val="Times New Roman"/>
        <family val="1"/>
      </rPr>
      <t>265*44900*8/12</t>
    </r>
  </si>
  <si>
    <r>
      <t xml:space="preserve">Ped.módsz.tám.min.képző (94*17600*8/12) </t>
    </r>
    <r>
      <rPr>
        <b/>
        <sz val="12"/>
        <color indexed="8"/>
        <rFont val="Times New Roman"/>
        <family val="1"/>
      </rPr>
      <t>119*17600*8/12</t>
    </r>
  </si>
  <si>
    <t>Ped.módsz.tám.min.zene (246*48500*4/12)(274*44900*4/12)</t>
  </si>
  <si>
    <t>Ped.módsz.tám.min.képző (138*19000*4/12)(94*17600*4/12)</t>
  </si>
  <si>
    <r>
      <t xml:space="preserve">Ped.szakmai fel.középsz.érettségi vizsga </t>
    </r>
    <r>
      <rPr>
        <b/>
        <sz val="12"/>
        <color indexed="8"/>
        <rFont val="Times New Roman"/>
        <family val="1"/>
      </rPr>
      <t>235*6000</t>
    </r>
  </si>
  <si>
    <r>
      <t xml:space="preserve">Ped.szakmai fel.szakmai vizsga </t>
    </r>
    <r>
      <rPr>
        <b/>
        <sz val="12"/>
        <color indexed="8"/>
        <rFont val="Times New Roman"/>
        <family val="1"/>
      </rPr>
      <t>155*6000</t>
    </r>
  </si>
  <si>
    <r>
      <t xml:space="preserve">szakmai informatikai fejlesztési feladatok </t>
    </r>
    <r>
      <rPr>
        <b/>
        <sz val="12"/>
        <color indexed="8"/>
        <rFont val="Times New Roman"/>
        <family val="1"/>
      </rPr>
      <t>2306*1750</t>
    </r>
  </si>
  <si>
    <r>
      <t xml:space="preserve">Kollégiumi ell.(73*2350000*8/12) </t>
    </r>
    <r>
      <rPr>
        <b/>
        <sz val="12"/>
        <color indexed="8"/>
        <rFont val="Times New Roman"/>
        <family val="1"/>
      </rPr>
      <t>66*2350000*8/12</t>
    </r>
  </si>
  <si>
    <r>
      <t xml:space="preserve">Kollégiumi ell.(72*2350000*4/12) </t>
    </r>
    <r>
      <rPr>
        <b/>
        <sz val="12"/>
        <color indexed="8"/>
        <rFont val="Times New Roman"/>
        <family val="1"/>
      </rPr>
      <t>66*2350000*4/12</t>
    </r>
  </si>
  <si>
    <r>
      <t xml:space="preserve">Kollégiumi lakh.felt.megt(73*165000*8/12) </t>
    </r>
    <r>
      <rPr>
        <b/>
        <sz val="12"/>
        <color indexed="8"/>
        <rFont val="Times New Roman"/>
        <family val="1"/>
      </rPr>
      <t>66*165000*8/12</t>
    </r>
  </si>
  <si>
    <t>Kollégiumi lakh.felt.megt.(72*177000*4/12)(72*165000*4/12)</t>
  </si>
  <si>
    <r>
      <t xml:space="preserve">Napközis fogl.1-4.évf.(382*2350000*8/12) </t>
    </r>
    <r>
      <rPr>
        <b/>
        <sz val="12"/>
        <color indexed="8"/>
        <rFont val="Times New Roman"/>
        <family val="1"/>
      </rPr>
      <t>409*2350000*8/12</t>
    </r>
  </si>
  <si>
    <r>
      <t xml:space="preserve">Napközis fogl.5-8.évf.(114*2350000*8/12) </t>
    </r>
    <r>
      <rPr>
        <b/>
        <sz val="12"/>
        <color indexed="8"/>
        <rFont val="Times New Roman"/>
        <family val="1"/>
      </rPr>
      <t>147*2350000*8/12</t>
    </r>
  </si>
  <si>
    <r>
      <t xml:space="preserve">Napközis folg.1-4.évf.(366*2350000*4/12) </t>
    </r>
    <r>
      <rPr>
        <b/>
        <sz val="12"/>
        <color indexed="8"/>
        <rFont val="Times New Roman"/>
        <family val="1"/>
      </rPr>
      <t xml:space="preserve"> 409*2350000*4/12</t>
    </r>
  </si>
  <si>
    <r>
      <t xml:space="preserve">Napközis fogl.5-8.évf.(100*2350000*4/12) </t>
    </r>
    <r>
      <rPr>
        <b/>
        <sz val="12"/>
        <color indexed="8"/>
        <rFont val="Times New Roman"/>
        <family val="1"/>
      </rPr>
      <t>147*2350000*4/12</t>
    </r>
  </si>
  <si>
    <r>
      <t xml:space="preserve">Nyelvi felkészítő (26*64000*8/12) </t>
    </r>
    <r>
      <rPr>
        <b/>
        <sz val="12"/>
        <color indexed="8"/>
        <rFont val="Times New Roman"/>
        <family val="1"/>
      </rPr>
      <t>37*64000*8/12</t>
    </r>
  </si>
  <si>
    <r>
      <t xml:space="preserve">Nyelvi felkészítő (35*64000*4/12) </t>
    </r>
    <r>
      <rPr>
        <b/>
        <sz val="12"/>
        <color indexed="8"/>
        <rFont val="Times New Roman"/>
        <family val="1"/>
      </rPr>
      <t>32*64000*4/12</t>
    </r>
  </si>
  <si>
    <r>
      <t xml:space="preserve">Bejáró tanuló (942*15300*8/12) </t>
    </r>
    <r>
      <rPr>
        <b/>
        <sz val="12"/>
        <color indexed="8"/>
        <rFont val="Times New Roman"/>
        <family val="1"/>
      </rPr>
      <t>981*15300*8/12</t>
    </r>
  </si>
  <si>
    <r>
      <t xml:space="preserve">Bejáró tanuló (955*15300*4/12) </t>
    </r>
    <r>
      <rPr>
        <b/>
        <sz val="12"/>
        <color indexed="8"/>
        <rFont val="Times New Roman"/>
        <family val="1"/>
      </rPr>
      <t>1000*15300*4/12</t>
    </r>
  </si>
  <si>
    <r>
      <t xml:space="preserve">Int.fent.társ.ált.isk.bejáró 1-4.évf (47*36300*8/12) </t>
    </r>
    <r>
      <rPr>
        <b/>
        <sz val="12"/>
        <color indexed="8"/>
        <rFont val="Times New Roman"/>
        <family val="1"/>
      </rPr>
      <t>126*36300*8/12</t>
    </r>
  </si>
  <si>
    <t>Int.fent.társ.ált.isk.bejáró 5évf.(21*45000*8/12)</t>
  </si>
  <si>
    <r>
      <t xml:space="preserve">Int.fent.társ.ált.isk.bejáró 5-7.évf. (39*36300*8/12) </t>
    </r>
    <r>
      <rPr>
        <b/>
        <sz val="12"/>
        <color indexed="8"/>
        <rFont val="Times New Roman"/>
        <family val="1"/>
      </rPr>
      <t>50*36300*8/12</t>
    </r>
  </si>
  <si>
    <t>Int.fent.társ.ált.isk.bejáró 8.évf.(69*45000*8/12)</t>
  </si>
  <si>
    <r>
      <t xml:space="preserve">Int.fent.társ.ált.isk.bejáró 7-8.évf.(48*36300*8/12) </t>
    </r>
    <r>
      <rPr>
        <b/>
        <sz val="12"/>
        <color indexed="8"/>
        <rFont val="Times New Roman"/>
        <family val="1"/>
      </rPr>
      <t>25*36300*8/12</t>
    </r>
  </si>
  <si>
    <t>Int.fent.társ.ált.isk.bejáró 1-4.évf.(51*42800*4/12)(50*36300*4/12)</t>
  </si>
  <si>
    <t>Int.fent.társ.ált.isk.bejáró 5-6.évf. (43*42800*4/12)</t>
  </si>
  <si>
    <t>Int.fent.társ.ált.isk.bejáró 5-7.évf. (50*36300*4/12)</t>
  </si>
  <si>
    <t>Int.fent.társ.ált.isk.bejáró 7-8.évf.(50*42800*4/12)</t>
  </si>
  <si>
    <t>Int.fent.társ.ált.isk.bejáró 8.évf.(25*36300*4/12)</t>
  </si>
  <si>
    <r>
      <t xml:space="preserve">Kedvezményes étkeztetés Óvoda (149*65000) </t>
    </r>
    <r>
      <rPr>
        <b/>
        <sz val="12"/>
        <color indexed="8"/>
        <rFont val="Times New Roman"/>
        <family val="1"/>
      </rPr>
      <t>196*68000</t>
    </r>
  </si>
  <si>
    <r>
      <t xml:space="preserve">                                        ált.iskola(358*65000) </t>
    </r>
    <r>
      <rPr>
        <b/>
        <sz val="12"/>
        <color indexed="8"/>
        <rFont val="Times New Roman"/>
        <family val="1"/>
      </rPr>
      <t>476*68000</t>
    </r>
  </si>
  <si>
    <r>
      <t xml:space="preserve">                                        gimnázium(49*65000) </t>
    </r>
    <r>
      <rPr>
        <b/>
        <sz val="12"/>
        <color indexed="8"/>
        <rFont val="Times New Roman"/>
        <family val="1"/>
      </rPr>
      <t>60*68000</t>
    </r>
  </si>
  <si>
    <r>
      <t xml:space="preserve">                                        szakközépiskola(16*65000) </t>
    </r>
    <r>
      <rPr>
        <b/>
        <sz val="12"/>
        <color indexed="8"/>
        <rFont val="Times New Roman"/>
        <family val="1"/>
      </rPr>
      <t>12*68000</t>
    </r>
  </si>
  <si>
    <t xml:space="preserve">                                        szakiskola</t>
  </si>
  <si>
    <r>
      <t xml:space="preserve">                                        kollégium(42*65000) </t>
    </r>
    <r>
      <rPr>
        <b/>
        <sz val="12"/>
        <color indexed="8"/>
        <rFont val="Times New Roman"/>
        <family val="1"/>
      </rPr>
      <t>43*68000</t>
    </r>
  </si>
  <si>
    <t>kieg.hzj.rsz.gyv. Kedv.rész.5-6.évf.ingy.étk.(33*20000)(72*20000)</t>
  </si>
  <si>
    <r>
      <t xml:space="preserve">tanulói tankönyv ingyenes (1227*10000)(1233*10000) </t>
    </r>
    <r>
      <rPr>
        <b/>
        <sz val="12"/>
        <color indexed="8"/>
        <rFont val="Times New Roman"/>
        <family val="1"/>
      </rPr>
      <t>1478*12000</t>
    </r>
  </si>
  <si>
    <t>tanulói tankönyv (1704*1000)(2668*1000)</t>
  </si>
  <si>
    <r>
      <t xml:space="preserve">pedagógiai szakszolgálat (8*900000/12*8) </t>
    </r>
    <r>
      <rPr>
        <b/>
        <sz val="12"/>
        <color indexed="8"/>
        <rFont val="Times New Roman"/>
        <family val="1"/>
      </rPr>
      <t>8*900000*8/12</t>
    </r>
  </si>
  <si>
    <r>
      <t xml:space="preserve">pedagógiaia szakszolgálat (4*900000/12*4) </t>
    </r>
    <r>
      <rPr>
        <b/>
        <sz val="12"/>
        <color indexed="8"/>
        <rFont val="Times New Roman"/>
        <family val="1"/>
      </rPr>
      <t>8*1200000*4/12</t>
    </r>
  </si>
  <si>
    <t>pedagógus szakvizsga, továbbképzés 285*10500*8/12</t>
  </si>
  <si>
    <t>pedagógus szakvizsga, továbbképzés 285*10500*4/12</t>
  </si>
  <si>
    <t>osztályfőnöki pótlék 121*26000*8/12</t>
  </si>
  <si>
    <t>gyógypedagógiai pótlék kieg. 6*65000*8/12</t>
  </si>
  <si>
    <t>gyógypedagógiai pótlék kieg. 6*65000*4/12</t>
  </si>
  <si>
    <t>közoktatás összesen:</t>
  </si>
  <si>
    <t>hozzájárulás tömegközlekedés feladataihoz</t>
  </si>
  <si>
    <t>helyi közművelődési, közgyűjteményi feladat</t>
  </si>
  <si>
    <r>
      <t>Települési, igazg., komm. Fel. (17389*1057)(17272*1947)</t>
    </r>
    <r>
      <rPr>
        <b/>
        <sz val="12"/>
        <color indexed="8"/>
        <rFont val="Times New Roman"/>
        <family val="1"/>
      </rPr>
      <t>(17098*2769)</t>
    </r>
  </si>
  <si>
    <t>Települési sportfeladatok tám. (17389*500)</t>
  </si>
  <si>
    <r>
      <t>Körjegyz.műk.alaphzj. (12*275000)(12*253500)</t>
    </r>
    <r>
      <rPr>
        <b/>
        <sz val="12"/>
        <color indexed="8"/>
        <rFont val="Times New Roman"/>
        <family val="1"/>
      </rPr>
      <t>(253530*12)</t>
    </r>
  </si>
  <si>
    <r>
      <t>lakott területtel kapcs.feladatok (44*3432)(48*2612)</t>
    </r>
    <r>
      <rPr>
        <b/>
        <sz val="12"/>
        <color indexed="8"/>
        <rFont val="Times New Roman"/>
        <family val="1"/>
      </rPr>
      <t>(2612*49)</t>
    </r>
  </si>
  <si>
    <t xml:space="preserve">  körzetközpont</t>
  </si>
  <si>
    <r>
      <t xml:space="preserve">  gyámügyi felad. </t>
    </r>
    <r>
      <rPr>
        <b/>
        <sz val="12"/>
        <color indexed="8"/>
        <rFont val="Times New Roman"/>
        <family val="1"/>
      </rPr>
      <t>(485*28600)</t>
    </r>
  </si>
  <si>
    <t>építésügyi ig. feladatok (56*44256)</t>
  </si>
  <si>
    <t>hivatásos tűzoltóság</t>
  </si>
  <si>
    <t>SZJA 8%-a</t>
  </si>
  <si>
    <t>jövedelemdifferenciálódásának mérséklése</t>
  </si>
  <si>
    <r>
      <t>E</t>
    </r>
    <r>
      <rPr>
        <b/>
        <sz val="12"/>
        <color indexed="8"/>
        <rFont val="Times New Roman"/>
        <family val="1"/>
      </rPr>
      <t>gyéb összesen:</t>
    </r>
  </si>
  <si>
    <t>normatíva összesen:</t>
  </si>
  <si>
    <t>logisztikai tanraktár kialakítása</t>
  </si>
  <si>
    <t>Szent László Gimnázium SZKHJ átvét TISZK-től</t>
  </si>
  <si>
    <t>Széchenyi I. Szakképző Isk. SZKHJ átvét TISZK-től</t>
  </si>
  <si>
    <t>I./4. Egyéb működési bevételek</t>
  </si>
  <si>
    <t>Ebből: - Rendelő: - TB alaptól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</si>
  <si>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</si>
  <si>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</si>
  <si>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</si>
  <si>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</si>
  <si>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</si>
  <si>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</si>
  <si>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</si>
  <si>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Kisebbségi önkorm. Közp. Támog.</t>
  </si>
  <si>
    <t xml:space="preserve">          - iskolatej</t>
  </si>
  <si>
    <t xml:space="preserve">          - IFJ-G-KX pályázat támogatás</t>
  </si>
  <si>
    <t xml:space="preserve">          - TÁMOP 5.2.5 pályázat támogatás</t>
  </si>
  <si>
    <t xml:space="preserve">          - Normatív támog. Pótigénylés</t>
  </si>
  <si>
    <t xml:space="preserve">          - Prémium évesek ktg. Megtér.</t>
  </si>
  <si>
    <t>I./4.1 Támogatás értékű működési bevételek összesen</t>
  </si>
  <si>
    <t>I/4.2. Működési célú pénzeszk. átvétel államh. kívülről</t>
  </si>
  <si>
    <t>Polgármesteri Hivatal összesen</t>
  </si>
  <si>
    <t>adatok:eFt-bam</t>
  </si>
  <si>
    <t>OFA pályázat bevétele</t>
  </si>
  <si>
    <t>Települési, igazgatási, kommunális feladatok 17098*2769</t>
  </si>
  <si>
    <t>Üdülőhelyi feladatok  22.000.000*1,5Ft</t>
  </si>
  <si>
    <t>11.cc</t>
  </si>
  <si>
    <t>14.a</t>
  </si>
  <si>
    <t>14.c</t>
  </si>
  <si>
    <t>15.a(3)1</t>
  </si>
  <si>
    <t>15.a(4)1</t>
  </si>
  <si>
    <t xml:space="preserve">15.a(2)2 </t>
  </si>
  <si>
    <t>15.a(2)1</t>
  </si>
  <si>
    <t>15.b(2)1</t>
  </si>
  <si>
    <t>15.b(3)1</t>
  </si>
  <si>
    <t>15.b(4)1</t>
  </si>
  <si>
    <t>15.b(6)1</t>
  </si>
  <si>
    <t>15.b(7)1</t>
  </si>
  <si>
    <t>15.b(8)1</t>
  </si>
  <si>
    <t>15.b(2)2</t>
  </si>
  <si>
    <t>15.b(3)2</t>
  </si>
  <si>
    <t>15.b(4)2</t>
  </si>
  <si>
    <t>15.b(6)2</t>
  </si>
  <si>
    <t>15.b(7)2</t>
  </si>
  <si>
    <t>15.b(8)2</t>
  </si>
  <si>
    <t>16.2.1.a(1)1</t>
  </si>
  <si>
    <t>16.2.1.a(1)2</t>
  </si>
  <si>
    <t>16.2.1.b.1</t>
  </si>
  <si>
    <t>16.2.1.b.2</t>
  </si>
  <si>
    <t>16.2.1.c(1)1</t>
  </si>
  <si>
    <t>16.2.1.c(1)2</t>
  </si>
  <si>
    <t>16.2.1.d(1)1</t>
  </si>
  <si>
    <t>16.2.1.d(1)2</t>
  </si>
  <si>
    <t>16.2.1.e(1)1</t>
  </si>
  <si>
    <t>16.2.1.e(1)2</t>
  </si>
  <si>
    <t>16.2..2</t>
  </si>
  <si>
    <t>16.2..3</t>
  </si>
  <si>
    <t>16.bcb</t>
  </si>
  <si>
    <t>15.c(1)1</t>
  </si>
  <si>
    <t>15.c(5)1</t>
  </si>
  <si>
    <t>15.c(8)1</t>
  </si>
  <si>
    <t>15.c(10)1</t>
  </si>
  <si>
    <t>15.c(17)1</t>
  </si>
  <si>
    <t>15.c(1)2</t>
  </si>
  <si>
    <t>15.c(5)2</t>
  </si>
  <si>
    <t>15.c(8)2</t>
  </si>
  <si>
    <t>15.c(10)2</t>
  </si>
  <si>
    <t>15.d(1)1</t>
  </si>
  <si>
    <t>15.d(2)1</t>
  </si>
  <si>
    <t>15.d(1)2</t>
  </si>
  <si>
    <t>16.1.1.(1)1</t>
  </si>
  <si>
    <t>16.1.1.(2)1</t>
  </si>
  <si>
    <t>16.1.2.a 1</t>
  </si>
  <si>
    <t>16.1.2.b 1</t>
  </si>
  <si>
    <t>16.1.2.c 1</t>
  </si>
  <si>
    <t>16.1.2.d 1</t>
  </si>
  <si>
    <t>16.1.2.a 2</t>
  </si>
  <si>
    <t>16.1.2.b 2</t>
  </si>
  <si>
    <t>16.1.2.c 2</t>
  </si>
  <si>
    <t>16.1.2.d 2</t>
  </si>
  <si>
    <t>15.e(2)1</t>
  </si>
  <si>
    <t>15.e(5)1</t>
  </si>
  <si>
    <t>15.e(2)2</t>
  </si>
  <si>
    <t>15.e(5)2</t>
  </si>
  <si>
    <t>16.5.2.a 1</t>
  </si>
  <si>
    <t>16.5.2.b 1</t>
  </si>
  <si>
    <t>16.5.2.b 2</t>
  </si>
  <si>
    <t>16.eb.1</t>
  </si>
  <si>
    <t>16.eb.2</t>
  </si>
  <si>
    <t>16.ec</t>
  </si>
  <si>
    <t>15.f(1)1</t>
  </si>
  <si>
    <t>15.f(1)2</t>
  </si>
  <si>
    <t>17.3.(1)1</t>
  </si>
  <si>
    <t>17.3.(1)2</t>
  </si>
  <si>
    <t>15.g(1)1</t>
  </si>
  <si>
    <t>15.g(2)1</t>
  </si>
  <si>
    <t>15.g(1)2</t>
  </si>
  <si>
    <t>15.g(2)2</t>
  </si>
  <si>
    <t>16.4.(6)1</t>
  </si>
  <si>
    <t>16.4.(6)2</t>
  </si>
  <si>
    <t>16.6.1(1)1</t>
  </si>
  <si>
    <t>16.6.1(1)2</t>
  </si>
  <si>
    <t>16.6.2.b(3)1</t>
  </si>
  <si>
    <t>16.6.2.b(4)1</t>
  </si>
  <si>
    <t>16.6.2.b(5)1</t>
  </si>
  <si>
    <t>16.6.2.b(3)2</t>
  </si>
  <si>
    <t>16.6.2.b(4)2</t>
  </si>
  <si>
    <t>16.6.2.b(5)2</t>
  </si>
  <si>
    <t>17.1.a(2)</t>
  </si>
  <si>
    <t>17.1.a(3)</t>
  </si>
  <si>
    <t>17.1.a(4)</t>
  </si>
  <si>
    <t>17.1.a(5)</t>
  </si>
  <si>
    <t>17.1.a(6)</t>
  </si>
  <si>
    <t>17.1.a(7)</t>
  </si>
  <si>
    <t>17.1.b</t>
  </si>
  <si>
    <t>17.2.a</t>
  </si>
  <si>
    <t>17.2.b</t>
  </si>
  <si>
    <t>I.1.1</t>
  </si>
  <si>
    <t>I.1.2</t>
  </si>
  <si>
    <t>I.2.1</t>
  </si>
  <si>
    <t>I.2.2.</t>
  </si>
  <si>
    <t>I.3.a1</t>
  </si>
  <si>
    <t>I.3.a2</t>
  </si>
  <si>
    <t>osztályfőnöki pótlék 120*26000*4/12</t>
  </si>
  <si>
    <t>I.3.b1</t>
  </si>
  <si>
    <t>I.3.b2</t>
  </si>
  <si>
    <r>
      <t>Üdülőhelyi feladatok (16.000.000*2)(18.000.000*1)(</t>
    </r>
    <r>
      <rPr>
        <b/>
        <sz val="12"/>
        <color indexed="8"/>
        <rFont val="Times New Roman"/>
        <family val="1"/>
      </rPr>
      <t>22.000.000*1,5)</t>
    </r>
  </si>
  <si>
    <r>
      <t xml:space="preserve">  okmányi.munkaáll.(39886*324)(30638*276)</t>
    </r>
    <r>
      <rPr>
        <b/>
        <sz val="12"/>
        <color indexed="8"/>
        <rFont val="Times New Roman"/>
        <family val="1"/>
      </rPr>
      <t>(27366*276)</t>
    </r>
  </si>
  <si>
    <t>különbözet</t>
  </si>
  <si>
    <t>kieg hozz. Építésügyi ig. feladatokhoz (7729*591)</t>
  </si>
  <si>
    <t>Kimutatás az önkormányzatot 2009-2010-2011. években felhasználási kötöttség nélkül</t>
  </si>
  <si>
    <t>és felhasználási kötöttséggel megillető normatív támogatásokról illetve személyi jövedelemadó bevételéről</t>
  </si>
  <si>
    <t>SZISZI- pártolói tagdíjak</t>
  </si>
  <si>
    <t xml:space="preserve">           Pedagógiai szakmai szolgáltatás 8*1200000</t>
  </si>
  <si>
    <t xml:space="preserve">           Osztályfőnöki pótlék kiegészítése</t>
  </si>
  <si>
    <t xml:space="preserve">           Gyógypedagógiai pótlék kiegészítése</t>
  </si>
  <si>
    <t xml:space="preserve">           Egyes jövedelempótló támogatások kiegészítése</t>
  </si>
  <si>
    <t>1.3.5. Normatív kötött felh.támog.</t>
  </si>
  <si>
    <t>1. 3.5. Kötött normatív támogatás mindösszesen</t>
  </si>
  <si>
    <r>
      <t xml:space="preserve"> -okmányir.munkaáll.</t>
    </r>
    <r>
      <rPr>
        <b/>
        <sz val="9"/>
        <rFont val="Times New Roman"/>
        <family val="1"/>
      </rPr>
      <t xml:space="preserve"> 27366*276</t>
    </r>
  </si>
  <si>
    <r>
      <t xml:space="preserve"> - körzetközpontnak gyám. ügy.felad </t>
    </r>
    <r>
      <rPr>
        <b/>
        <sz val="9"/>
        <rFont val="Times New Roman"/>
        <family val="1"/>
      </rPr>
      <t>485*28600</t>
    </r>
  </si>
  <si>
    <r>
      <t xml:space="preserve"> - körzetközpontnak ép. ügy.felad alap hzj. </t>
    </r>
    <r>
      <rPr>
        <b/>
        <sz val="9"/>
        <rFont val="Times New Roman"/>
        <family val="1"/>
      </rPr>
      <t>44256*56</t>
    </r>
  </si>
  <si>
    <r>
      <t xml:space="preserve"> - körzetközpontnak ép. ügy.felad kieg.hzj 591</t>
    </r>
    <r>
      <rPr>
        <b/>
        <sz val="9"/>
        <rFont val="Times New Roman"/>
        <family val="1"/>
      </rPr>
      <t>*7729</t>
    </r>
  </si>
  <si>
    <r>
      <t xml:space="preserve">Lakott területtel kapcs feladatok </t>
    </r>
    <r>
      <rPr>
        <b/>
        <sz val="9"/>
        <rFont val="Times New Roman"/>
        <family val="1"/>
      </rPr>
      <t>49*3088</t>
    </r>
  </si>
  <si>
    <t>Szoc. Étkezés 190*55360</t>
  </si>
  <si>
    <r>
      <t xml:space="preserve">Ingyenes bölcsődei étk. </t>
    </r>
    <r>
      <rPr>
        <b/>
        <sz val="10"/>
        <rFont val="Times New Roman"/>
        <family val="1"/>
      </rPr>
      <t xml:space="preserve"> 13*68000</t>
    </r>
  </si>
  <si>
    <t xml:space="preserve">           Szociális továbbképzés szakvizsga   14 x 9.400 Ft</t>
  </si>
  <si>
    <r>
      <t>Óvodai nev.alaphzj. 1-3.nev.év (467*2350*4/12)</t>
    </r>
    <r>
      <rPr>
        <b/>
        <sz val="10"/>
        <color indexed="8"/>
        <rFont val="Times New Roman"/>
        <family val="1"/>
      </rPr>
      <t>460*2350*4/12</t>
    </r>
  </si>
  <si>
    <r>
      <t>Óvodai nev.alaphzj. 1-3.nev.év (457*2350000*8/12)</t>
    </r>
    <r>
      <rPr>
        <b/>
        <sz val="10"/>
        <color indexed="8"/>
        <rFont val="Times New Roman"/>
        <family val="1"/>
      </rPr>
      <t>465*2350*8/12</t>
    </r>
  </si>
  <si>
    <r>
      <t>Isk.okt.alaphzj.4.évf.(147*2350000*8/12)</t>
    </r>
    <r>
      <rPr>
        <b/>
        <sz val="10"/>
        <color indexed="8"/>
        <rFont val="Times New Roman"/>
        <family val="1"/>
      </rPr>
      <t>(160*2350000*8/12)</t>
    </r>
  </si>
  <si>
    <r>
      <t>Isk.okt.alaphzj.8.évf.(182*2350000*8/12)</t>
    </r>
    <r>
      <rPr>
        <b/>
        <sz val="10"/>
        <color indexed="8"/>
        <rFont val="Times New Roman"/>
        <family val="1"/>
      </rPr>
      <t>154*2350000*8/12</t>
    </r>
  </si>
  <si>
    <r>
      <t>Isk.okt.alaphzj.1-2.évf(197*2350000*4/12)</t>
    </r>
    <r>
      <rPr>
        <b/>
        <sz val="10"/>
        <color indexed="8"/>
        <rFont val="Times New Roman"/>
        <family val="1"/>
      </rPr>
      <t>250*2350000*4/12</t>
    </r>
  </si>
  <si>
    <r>
      <t>Isk.okt.alaphzj.3.évf.(99*2350000*4/12)</t>
    </r>
    <r>
      <rPr>
        <b/>
        <sz val="10"/>
        <color indexed="8"/>
        <rFont val="Times New Roman"/>
        <family val="1"/>
      </rPr>
      <t>97*2350000*4/12</t>
    </r>
  </si>
  <si>
    <r>
      <t>Isk.okt.alaphzj.4.évf.(160*2350000*4/12)</t>
    </r>
    <r>
      <rPr>
        <b/>
        <sz val="10"/>
        <color indexed="8"/>
        <rFont val="Times New Roman"/>
        <family val="1"/>
      </rPr>
      <t>124*2350000*4/12</t>
    </r>
  </si>
  <si>
    <r>
      <t>Isk.okt.alaphzj.5-6.évf.(236*2350000*4/12)</t>
    </r>
    <r>
      <rPr>
        <b/>
        <sz val="10"/>
        <color indexed="8"/>
        <rFont val="Times New Roman"/>
        <family val="1"/>
      </rPr>
      <t>265*2350000*4/12</t>
    </r>
  </si>
  <si>
    <r>
      <t>Isk.okt.alaphzj.7.évf.(138*2350000*4/12)</t>
    </r>
    <r>
      <rPr>
        <b/>
        <sz val="10"/>
        <color indexed="8"/>
        <rFont val="Times New Roman"/>
        <family val="1"/>
      </rPr>
      <t>106*2350000*4/12</t>
    </r>
  </si>
  <si>
    <r>
      <t>Isk.okt.alaphzj.8.évf.(154*2350000*4/12)</t>
    </r>
    <r>
      <rPr>
        <b/>
        <sz val="10"/>
        <color indexed="8"/>
        <rFont val="Times New Roman"/>
        <family val="1"/>
      </rPr>
      <t>138*2350000*4/12</t>
    </r>
  </si>
  <si>
    <r>
      <t>SNI gyógyped.nev.visszah.(2*134400*4/12)</t>
    </r>
    <r>
      <rPr>
        <b/>
        <sz val="10"/>
        <color indexed="8"/>
        <rFont val="Times New Roman"/>
        <family val="1"/>
      </rPr>
      <t xml:space="preserve"> 4*134400*4/12</t>
    </r>
  </si>
  <si>
    <r>
      <t>SNI testi,érzéksz.,autista(5*358400*8/12)</t>
    </r>
    <r>
      <rPr>
        <b/>
        <sz val="10"/>
        <color indexed="8"/>
        <rFont val="Times New Roman"/>
        <family val="1"/>
      </rPr>
      <t>5*358400*8/12</t>
    </r>
  </si>
  <si>
    <r>
      <t>SNI testi,érzéksz.,autista(4*358400*4/12)</t>
    </r>
    <r>
      <rPr>
        <b/>
        <sz val="10"/>
        <color indexed="8"/>
        <rFont val="Times New Roman"/>
        <family val="1"/>
      </rPr>
      <t>3*358400*4/12</t>
    </r>
  </si>
  <si>
    <r>
      <t>SNI beszédfogy.(35*179200*8/12</t>
    </r>
    <r>
      <rPr>
        <b/>
        <sz val="10"/>
        <color indexed="8"/>
        <rFont val="Times New Roman"/>
        <family val="1"/>
      </rPr>
      <t>)43*179200*8/12</t>
    </r>
  </si>
  <si>
    <r>
      <t>SNI beszédfogy.(39*179200*4/12)</t>
    </r>
    <r>
      <rPr>
        <b/>
        <sz val="10"/>
        <color indexed="8"/>
        <rFont val="Times New Roman"/>
        <family val="1"/>
      </rPr>
      <t>39*179200*4/12</t>
    </r>
  </si>
  <si>
    <r>
      <t>SNI viselkedés fejl.(26*134400*8/12)</t>
    </r>
    <r>
      <rPr>
        <b/>
        <sz val="10"/>
        <color indexed="8"/>
        <rFont val="Times New Roman"/>
        <family val="1"/>
      </rPr>
      <t>44*134400*8/12</t>
    </r>
  </si>
  <si>
    <r>
      <t xml:space="preserve">SNI viselkedés fejl.(35*134400*4/12) </t>
    </r>
    <r>
      <rPr>
        <b/>
        <sz val="10"/>
        <color indexed="8"/>
        <rFont val="Times New Roman"/>
        <family val="1"/>
      </rPr>
      <t>41*134400*4/12</t>
    </r>
  </si>
  <si>
    <r>
      <t>Isk.okt.9-10.évf.(749*2350000*8/12)</t>
    </r>
    <r>
      <rPr>
        <b/>
        <sz val="10"/>
        <color indexed="8"/>
        <rFont val="Times New Roman"/>
        <family val="1"/>
      </rPr>
      <t>752*2350000*8/12</t>
    </r>
  </si>
  <si>
    <r>
      <t>isk.okt.11-12.évf.</t>
    </r>
    <r>
      <rPr>
        <b/>
        <sz val="10"/>
        <color indexed="8"/>
        <rFont val="Times New Roman"/>
        <family val="1"/>
      </rPr>
      <t>503*2350000*8/12</t>
    </r>
  </si>
  <si>
    <r>
      <t>isk.okt.13.évf.</t>
    </r>
    <r>
      <rPr>
        <b/>
        <sz val="10"/>
        <color indexed="8"/>
        <rFont val="Times New Roman"/>
        <family val="1"/>
      </rPr>
      <t>51*2350000*8/12</t>
    </r>
  </si>
  <si>
    <r>
      <t>Isk.szakképzés 9-11.évf.(384*2350000*8/12)</t>
    </r>
    <r>
      <rPr>
        <b/>
        <sz val="10"/>
        <color indexed="8"/>
        <rFont val="Times New Roman"/>
        <family val="1"/>
      </rPr>
      <t>381*2350000*8/12</t>
    </r>
  </si>
  <si>
    <r>
      <t>Isk.gyak.okt.9-10.évf(214*35000*8/12)</t>
    </r>
    <r>
      <rPr>
        <b/>
        <sz val="10"/>
        <color indexed="8"/>
        <rFont val="Times New Roman"/>
        <family val="1"/>
      </rPr>
      <t>221*35000*8/12</t>
    </r>
  </si>
  <si>
    <r>
      <t>Isk.gyak.okt.9-10.évf.(210*35000*4/12)</t>
    </r>
    <r>
      <rPr>
        <b/>
        <sz val="10"/>
        <color indexed="8"/>
        <rFont val="Times New Roman"/>
        <family val="1"/>
      </rPr>
      <t>238*35000*4/12</t>
    </r>
  </si>
  <si>
    <r>
      <t>Isk.gyak.(1 évf.képz.)7*98000*8/12)</t>
    </r>
    <r>
      <rPr>
        <b/>
        <sz val="10"/>
        <color indexed="8"/>
        <rFont val="Times New Roman"/>
        <family val="1"/>
      </rPr>
      <t>5*98000*8/12</t>
    </r>
  </si>
  <si>
    <r>
      <t>Isk.gyak.(első évf.)47*137200*8/12)</t>
    </r>
    <r>
      <rPr>
        <b/>
        <sz val="10"/>
        <color indexed="8"/>
        <rFont val="Times New Roman"/>
        <family val="1"/>
      </rPr>
      <t>58*137200*8/12</t>
    </r>
  </si>
  <si>
    <r>
      <t xml:space="preserve">Isk.gyak.(ut.évf.)(27*58800*8/12) </t>
    </r>
    <r>
      <rPr>
        <b/>
        <sz val="10"/>
        <color indexed="8"/>
        <rFont val="Times New Roman"/>
        <family val="1"/>
      </rPr>
      <t>25*58800*8/12</t>
    </r>
  </si>
  <si>
    <r>
      <t xml:space="preserve">Isk.gyak.(tan.szerz.)(139*19600*8/12) </t>
    </r>
    <r>
      <rPr>
        <b/>
        <sz val="10"/>
        <color indexed="8"/>
        <rFont val="Times New Roman"/>
        <family val="1"/>
      </rPr>
      <t>187*19600*8/12</t>
    </r>
  </si>
  <si>
    <r>
      <t xml:space="preserve">Isk.gyak.(1 évf.képz.)(16*98000*4/12) </t>
    </r>
    <r>
      <rPr>
        <b/>
        <sz val="10"/>
        <color indexed="8"/>
        <rFont val="Times New Roman"/>
        <family val="1"/>
      </rPr>
      <t>3*9800*4/12</t>
    </r>
  </si>
  <si>
    <r>
      <t xml:space="preserve">Isk.gyak.(első évf.)(50*137200*4/12) </t>
    </r>
    <r>
      <rPr>
        <b/>
        <sz val="10"/>
        <color indexed="8"/>
        <rFont val="Times New Roman"/>
        <family val="1"/>
      </rPr>
      <t>62*137200*4/12</t>
    </r>
  </si>
  <si>
    <r>
      <t xml:space="preserve">Isk.gyak.(ut.évf.)(22*58800*4/12) </t>
    </r>
    <r>
      <rPr>
        <b/>
        <sz val="10"/>
        <color indexed="8"/>
        <rFont val="Times New Roman"/>
        <family val="1"/>
      </rPr>
      <t>27*58800*4/12</t>
    </r>
  </si>
  <si>
    <r>
      <t xml:space="preserve">Isk.gyak.(tan.szerz.)(121*19600*4/12) </t>
    </r>
    <r>
      <rPr>
        <b/>
        <sz val="10"/>
        <color indexed="8"/>
        <rFont val="Times New Roman"/>
        <family val="1"/>
      </rPr>
      <t>196*19600*4/12</t>
    </r>
  </si>
  <si>
    <r>
      <t xml:space="preserve">Alapf.műv.zene min.(274*2350000*8/12) </t>
    </r>
    <r>
      <rPr>
        <b/>
        <sz val="10"/>
        <color indexed="8"/>
        <rFont val="Times New Roman"/>
        <family val="1"/>
      </rPr>
      <t>265*2350000*8/12</t>
    </r>
  </si>
  <si>
    <r>
      <t xml:space="preserve">Alapf.műv.képző  min.(94*2350000*8/12) </t>
    </r>
    <r>
      <rPr>
        <b/>
        <sz val="10"/>
        <color indexed="8"/>
        <rFont val="Times New Roman"/>
        <family val="1"/>
      </rPr>
      <t>119*2350000*8/12</t>
    </r>
  </si>
  <si>
    <r>
      <t xml:space="preserve">Alapf.műv.zene min.(274*2350000*4/12) </t>
    </r>
    <r>
      <rPr>
        <b/>
        <sz val="10"/>
        <color indexed="8"/>
        <rFont val="Times New Roman"/>
        <family val="1"/>
      </rPr>
      <t>265*2350000*4/12</t>
    </r>
  </si>
  <si>
    <r>
      <t xml:space="preserve">Alapf.műv.képző  min.(94*2350000*4/12) </t>
    </r>
    <r>
      <rPr>
        <b/>
        <sz val="10"/>
        <color indexed="8"/>
        <rFont val="Times New Roman"/>
        <family val="1"/>
      </rPr>
      <t>119*2350000*4/12</t>
    </r>
  </si>
  <si>
    <r>
      <t xml:space="preserve">Ped.módsz.tám.min.zene (274*44900*8/12) </t>
    </r>
    <r>
      <rPr>
        <b/>
        <sz val="10"/>
        <color indexed="8"/>
        <rFont val="Times New Roman"/>
        <family val="1"/>
      </rPr>
      <t>265*44900*8/12</t>
    </r>
  </si>
  <si>
    <r>
      <t xml:space="preserve">Ped.módsz.tám.min.képző (94*17600*8/12) </t>
    </r>
    <r>
      <rPr>
        <b/>
        <sz val="10"/>
        <color indexed="8"/>
        <rFont val="Times New Roman"/>
        <family val="1"/>
      </rPr>
      <t>119*17600*8/12</t>
    </r>
  </si>
  <si>
    <r>
      <t xml:space="preserve">Ped.szakmai fel.középsz.érettségi vizsga </t>
    </r>
    <r>
      <rPr>
        <b/>
        <sz val="10"/>
        <color indexed="8"/>
        <rFont val="Times New Roman"/>
        <family val="1"/>
      </rPr>
      <t>235*6000</t>
    </r>
  </si>
  <si>
    <r>
      <t xml:space="preserve">Ped.szakmai fel.szakmai vizsga </t>
    </r>
    <r>
      <rPr>
        <b/>
        <sz val="10"/>
        <color indexed="8"/>
        <rFont val="Times New Roman"/>
        <family val="1"/>
      </rPr>
      <t>155*6000</t>
    </r>
  </si>
  <si>
    <r>
      <t xml:space="preserve">szakmai informatikai fejlesztési feladatok </t>
    </r>
    <r>
      <rPr>
        <b/>
        <sz val="10"/>
        <color indexed="8"/>
        <rFont val="Times New Roman"/>
        <family val="1"/>
      </rPr>
      <t>2306*1750</t>
    </r>
  </si>
  <si>
    <r>
      <t xml:space="preserve">Kollégiumi ell.(73*2350000*8/12) </t>
    </r>
    <r>
      <rPr>
        <b/>
        <sz val="10"/>
        <color indexed="8"/>
        <rFont val="Times New Roman"/>
        <family val="1"/>
      </rPr>
      <t>66*2350000*8/12</t>
    </r>
  </si>
  <si>
    <r>
      <t xml:space="preserve">Kollégiumi ell.(72*2350000*4/12) </t>
    </r>
    <r>
      <rPr>
        <b/>
        <sz val="10"/>
        <color indexed="8"/>
        <rFont val="Times New Roman"/>
        <family val="1"/>
      </rPr>
      <t>66*2350000*4/12</t>
    </r>
  </si>
  <si>
    <r>
      <t xml:space="preserve">Kollégiumi lakh.felt.megt(73*165000*8/12) </t>
    </r>
    <r>
      <rPr>
        <b/>
        <sz val="10"/>
        <color indexed="8"/>
        <rFont val="Times New Roman"/>
        <family val="1"/>
      </rPr>
      <t>66*165000*8/12</t>
    </r>
  </si>
  <si>
    <r>
      <t xml:space="preserve">Napközis fogl.5-8.évf.(114*2350000*8/12) </t>
    </r>
    <r>
      <rPr>
        <b/>
        <sz val="10"/>
        <color indexed="8"/>
        <rFont val="Times New Roman"/>
        <family val="1"/>
      </rPr>
      <t>147*2350000*8/12</t>
    </r>
  </si>
  <si>
    <r>
      <t xml:space="preserve">Napközis folg.1-4.évf.(366*2350000*4/12) </t>
    </r>
    <r>
      <rPr>
        <b/>
        <sz val="10"/>
        <color indexed="8"/>
        <rFont val="Times New Roman"/>
        <family val="1"/>
      </rPr>
      <t xml:space="preserve"> 409*2350000*4/12</t>
    </r>
  </si>
  <si>
    <r>
      <t xml:space="preserve">Napközis fogl.5-8.évf.(100*2350000*4/12) </t>
    </r>
    <r>
      <rPr>
        <b/>
        <sz val="10"/>
        <color indexed="8"/>
        <rFont val="Times New Roman"/>
        <family val="1"/>
      </rPr>
      <t>147*2350000*4/12</t>
    </r>
  </si>
  <si>
    <r>
      <t xml:space="preserve">Nyelvi felkészítő (26*64000*8/12) </t>
    </r>
    <r>
      <rPr>
        <b/>
        <sz val="10"/>
        <color indexed="8"/>
        <rFont val="Times New Roman"/>
        <family val="1"/>
      </rPr>
      <t>37*64000*8/12</t>
    </r>
  </si>
  <si>
    <r>
      <t xml:space="preserve">Nyelvi felkészítő (35*64000*4/12) </t>
    </r>
    <r>
      <rPr>
        <b/>
        <sz val="10"/>
        <color indexed="8"/>
        <rFont val="Times New Roman"/>
        <family val="1"/>
      </rPr>
      <t>32*64000*4/12</t>
    </r>
  </si>
  <si>
    <r>
      <t xml:space="preserve">Bejáró tanuló (942*15300*8/12) </t>
    </r>
    <r>
      <rPr>
        <b/>
        <sz val="10"/>
        <color indexed="8"/>
        <rFont val="Times New Roman"/>
        <family val="1"/>
      </rPr>
      <t>981*15300*8/12</t>
    </r>
  </si>
  <si>
    <r>
      <t xml:space="preserve">Bejáró tanuló (955*15300*4/12) </t>
    </r>
    <r>
      <rPr>
        <b/>
        <sz val="10"/>
        <color indexed="8"/>
        <rFont val="Times New Roman"/>
        <family val="1"/>
      </rPr>
      <t>1000*15300*4/12</t>
    </r>
  </si>
  <si>
    <r>
      <t xml:space="preserve">Int.fent.társ.ált.isk.bejáró 1-4.évf (47*36300*8/12) </t>
    </r>
    <r>
      <rPr>
        <b/>
        <sz val="10"/>
        <color indexed="8"/>
        <rFont val="Times New Roman"/>
        <family val="1"/>
      </rPr>
      <t>126*36300*8/12</t>
    </r>
  </si>
  <si>
    <r>
      <t xml:space="preserve">Int.fent.társ.ált.isk.bejáró 5-7.évf. (39*36300*8/12) </t>
    </r>
    <r>
      <rPr>
        <b/>
        <sz val="10"/>
        <color indexed="8"/>
        <rFont val="Times New Roman"/>
        <family val="1"/>
      </rPr>
      <t>50*36300*8/12</t>
    </r>
  </si>
  <si>
    <r>
      <t xml:space="preserve">Int.fent.társ.ált.isk.bejáró 7-8.évf.(48*36300*8/12) </t>
    </r>
    <r>
      <rPr>
        <b/>
        <sz val="10"/>
        <color indexed="8"/>
        <rFont val="Times New Roman"/>
        <family val="1"/>
      </rPr>
      <t>25*36300*8/12</t>
    </r>
  </si>
  <si>
    <r>
      <t xml:space="preserve">Kedvezményes étkeztetés Óvoda (149*65000) </t>
    </r>
    <r>
      <rPr>
        <b/>
        <sz val="10"/>
        <color indexed="8"/>
        <rFont val="Times New Roman"/>
        <family val="1"/>
      </rPr>
      <t>196*68000</t>
    </r>
  </si>
  <si>
    <r>
      <t xml:space="preserve">                                        ált.iskola(358*65000) </t>
    </r>
    <r>
      <rPr>
        <b/>
        <sz val="10"/>
        <color indexed="8"/>
        <rFont val="Times New Roman"/>
        <family val="1"/>
      </rPr>
      <t>476*68000</t>
    </r>
  </si>
  <si>
    <r>
      <t xml:space="preserve">                                        gimnázium(49*65000) </t>
    </r>
    <r>
      <rPr>
        <b/>
        <sz val="10"/>
        <color indexed="8"/>
        <rFont val="Times New Roman"/>
        <family val="1"/>
      </rPr>
      <t>60*68000</t>
    </r>
  </si>
  <si>
    <r>
      <t xml:space="preserve">                                        szakközépiskola(16*65000) </t>
    </r>
    <r>
      <rPr>
        <b/>
        <sz val="10"/>
        <color indexed="8"/>
        <rFont val="Times New Roman"/>
        <family val="1"/>
      </rPr>
      <t>12*68000</t>
    </r>
  </si>
  <si>
    <r>
      <t xml:space="preserve">                                        kollégium(42*65000) </t>
    </r>
    <r>
      <rPr>
        <b/>
        <sz val="10"/>
        <color indexed="8"/>
        <rFont val="Times New Roman"/>
        <family val="1"/>
      </rPr>
      <t>43*68000</t>
    </r>
  </si>
  <si>
    <t>Egyéni fejlesztő felkészítés 3fő*427000</t>
  </si>
  <si>
    <r>
      <t>b./ járm. üzem, karb( 86678*115</t>
    </r>
    <r>
      <rPr>
        <b/>
        <i/>
        <sz val="10"/>
        <rFont val="Times New Roman"/>
        <family val="1"/>
      </rPr>
      <t>)8</t>
    </r>
    <r>
      <rPr>
        <sz val="10"/>
        <rFont val="Times New Roman"/>
        <family val="1"/>
      </rPr>
      <t>4855*115) 77869</t>
    </r>
    <r>
      <rPr>
        <b/>
        <sz val="10"/>
        <rFont val="Times New Roman"/>
        <family val="1"/>
      </rPr>
      <t>*138</t>
    </r>
  </si>
  <si>
    <r>
      <t>a./ készenl.szolg.(59*3603785)( 59*3917582</t>
    </r>
    <r>
      <rPr>
        <b/>
        <i/>
        <sz val="10"/>
        <rFont val="Times New Roman"/>
        <family val="1"/>
      </rPr>
      <t>) 68*3620169</t>
    </r>
  </si>
  <si>
    <t>Személyi juttatáshoz</t>
  </si>
  <si>
    <t xml:space="preserve">     Az önkormányzat 2011. évi bevételi előirányzatai összesen</t>
  </si>
  <si>
    <t>kazán karbantartás, felülvizsgálat</t>
  </si>
  <si>
    <t>Bőlcsőde bővítés bér + járulék, dologi fedezetére</t>
  </si>
  <si>
    <t xml:space="preserve"> Szent László Gimnázium 100. évfordulójának előkészületére</t>
  </si>
  <si>
    <t>pályázati önerő - Tüo. Védőeszköz beszerzés (kötelezettség)</t>
  </si>
  <si>
    <t xml:space="preserve">Projekt azonosítója:             ÉMOP-2.1.1/B-2f-2009-0024         </t>
  </si>
  <si>
    <t xml:space="preserve">Projekt azonosítója: KEOP-4.2.0/B/09-2010-0010        </t>
  </si>
  <si>
    <t xml:space="preserve">Projekt azonosítója:             ÉMOP-4.2.1/B-09-2009-0003     </t>
  </si>
  <si>
    <t>Projekt azonosítója:             ÉMOP-3.1.2/B-09-2009-0001</t>
  </si>
  <si>
    <t xml:space="preserve">Projekt azonosítója:             ÉMOP-5.1.3-09-2009-0013 </t>
  </si>
  <si>
    <t>Projekt azonosítója:             ÉMOP-3.2.1/D-09-2010-0006</t>
  </si>
  <si>
    <t>EU-s projekt címe:              Vonzó és élhető városi környezet kialakítása Mezőkövesden</t>
  </si>
  <si>
    <t>EU-s projekt címe:              Zsóry Gyógy- és Strandfürdő fejlesztése</t>
  </si>
  <si>
    <t xml:space="preserve">EU-s projekt címe:    Zsóry Fürdő terrmálvíz hasznosításra épülő épületgépészeti rekonstrukció  </t>
  </si>
  <si>
    <t>EU-s projekt címe:              Mezőkövesd Városi Bölcsőde kapacitásbővítő fejlesztése</t>
  </si>
  <si>
    <t xml:space="preserve">EU-s projekt címe:              A mezőkövesdi Eper u. közlekedésfejlesztése </t>
  </si>
  <si>
    <t>EU-s projekt címe:              Mezőkövesd kerékpárforgalmi hálózatának fejlesztése</t>
  </si>
  <si>
    <t>EU-s projekt címe:              Kánya-patak középső szakaszának rekonstrukciója</t>
  </si>
  <si>
    <t>Helyi TDM szervezet támogatása</t>
  </si>
  <si>
    <t>Helyi TDM szervezet támogatása - térségi feladatok ellátása</t>
  </si>
  <si>
    <t>Helyi TDM szervezet támogatása - térségi fel.</t>
  </si>
  <si>
    <t>Projekt azonosítója: KEOP-7.1.2.0-2008-0125</t>
  </si>
  <si>
    <t xml:space="preserve">          - Szennyvízcs. alap.tám.középső</t>
  </si>
  <si>
    <t xml:space="preserve">          - Víziközmű társ. Hitel törl. és hitelkamatra</t>
  </si>
  <si>
    <t xml:space="preserve">          - MSE támogatása(sportp.hit.kam és hitel törl.)</t>
  </si>
  <si>
    <t>Finanszíro-zási műv.</t>
  </si>
  <si>
    <t>Szennyvízcsatorna III. ütem I. forduló</t>
  </si>
  <si>
    <t>Szennyvízcsatorna III. ütem II. forduló</t>
  </si>
  <si>
    <t>Kánya patak középső szakaszának rekonstrukciója</t>
  </si>
  <si>
    <t>Város rehabilitáció</t>
  </si>
  <si>
    <t>Zsóry Gyógy- és Standfürdő fejlesztése ÉMOP-2.1.1/B-2f-2009-0024</t>
  </si>
  <si>
    <t>Zsóry Gyógy- és Standfürdő fejlesztése KEOP-4.2.0/B09-2010-0010</t>
  </si>
  <si>
    <t>Kerékpárforgalmi hálózat fejlesztése</t>
  </si>
  <si>
    <t>Eper út közlekedésfejlesztés ÉMOP3.1.2/B</t>
  </si>
  <si>
    <t>Városi Bölcsőde kapacitásbővítő fejlesztése</t>
  </si>
  <si>
    <t xml:space="preserve">             Bölcsődei ellátás öszesen:</t>
  </si>
  <si>
    <t>Szennyvízcsatorna Zsóry</t>
  </si>
  <si>
    <t>Gimnázium kerítés építés</t>
  </si>
  <si>
    <t>Járda felújítás</t>
  </si>
  <si>
    <t>Közvilágítás hálózat fejlesztés</t>
  </si>
  <si>
    <t xml:space="preserve">             Önkormányzati jogalkotás összesen</t>
  </si>
  <si>
    <t>Notebook beszerzés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</si>
  <si>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</si>
  <si>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</si>
  <si>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</si>
  <si>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</si>
  <si>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</si>
  <si>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</si>
  <si>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</si>
  <si>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</si>
  <si>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</si>
  <si>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</si>
  <si>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</si>
  <si>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</si>
  <si>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</si>
  <si>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</si>
  <si>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</si>
  <si>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</si>
  <si>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</si>
  <si>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</si>
  <si>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</si>
  <si>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</si>
  <si>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</si>
  <si>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</si>
  <si>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</si>
  <si>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</si>
  <si>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</si>
  <si>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</si>
  <si>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</si>
  <si>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</si>
  <si>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</si>
  <si>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</si>
  <si>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</si>
  <si>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</si>
  <si>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</si>
  <si>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</si>
  <si>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</si>
  <si>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</si>
  <si>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</si>
  <si>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</si>
  <si>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</si>
  <si>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</si>
  <si>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</si>
  <si>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</si>
  <si>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</si>
  <si>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</si>
  <si>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</si>
  <si>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</si>
  <si>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</si>
  <si>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</si>
  <si>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</si>
  <si>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</si>
  <si>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</si>
  <si>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>Kiegészítő gyermekvédelmi pótlék</t>
  </si>
  <si>
    <t>Iskolatej program támogatás</t>
  </si>
  <si>
    <t>HPV oltás támogatás</t>
  </si>
  <si>
    <t xml:space="preserve">    - Polg.Hiv.Többcélú Kist.Társulásnak</t>
  </si>
  <si>
    <t xml:space="preserve">          - MÉDIA Nonprofit Kft</t>
  </si>
  <si>
    <t xml:space="preserve">          - Rendőrség - közbiztonság elősegítése</t>
  </si>
  <si>
    <t xml:space="preserve">          - Térségi TDM szervezet támogatása</t>
  </si>
  <si>
    <t xml:space="preserve">          - Helyi TDM szervezet támogatása</t>
  </si>
  <si>
    <t>Közbesz. elj. lebony.</t>
  </si>
  <si>
    <t>Adó, kiszab. beszed. ell.</t>
  </si>
  <si>
    <t xml:space="preserve">civil szerv. műk. és progr. tám. </t>
  </si>
  <si>
    <t xml:space="preserve">    - MITISZK Szakképzés-szervezési Társulás</t>
  </si>
  <si>
    <t>2011. évi kiküldetés, saját szgk*haszn.</t>
  </si>
  <si>
    <t>Könyvtári állomány nyilvántart.</t>
  </si>
  <si>
    <t>Képviselőktől - Notebook részlet</t>
  </si>
  <si>
    <t xml:space="preserve">Önkorm. Pályázatokra: </t>
  </si>
  <si>
    <t xml:space="preserve">  - Szennyvízcsatorna III. ütem I. forduló EU Önerő Alap</t>
  </si>
  <si>
    <t xml:space="preserve">  - Szennyvízcsatorna III. ütem I. forduló KEOP</t>
  </si>
  <si>
    <t xml:space="preserve">  - Szennyvízcsatorna III. ütem II. forduló KEOP</t>
  </si>
  <si>
    <t xml:space="preserve"> - Város rehabilitáció ÉMOP</t>
  </si>
  <si>
    <t xml:space="preserve"> - Zsóry fejlesztés KEOP</t>
  </si>
  <si>
    <t xml:space="preserve"> - Zsóry fejlesztés ÉMOP</t>
  </si>
  <si>
    <t xml:space="preserve"> - Bölcsőde kapacitásbőv.fejl. ÉMOP</t>
  </si>
  <si>
    <t xml:space="preserve"> - Eper út közlekedés fejl. ÉMOP</t>
  </si>
  <si>
    <t xml:space="preserve"> - Kerékpárforg.hálózat fejl. ÉMOP</t>
  </si>
  <si>
    <t xml:space="preserve"> - Kánya patak középső szakasz.rek. ÉMOP</t>
  </si>
  <si>
    <t>P.H.-hoz tartozó önállóan működő intézmények:</t>
  </si>
  <si>
    <t>Önállóan műk. Int össz.</t>
  </si>
  <si>
    <t>2011. évben induló beruh.</t>
  </si>
  <si>
    <t>Lakosságtól - Zsóry szennyvíz egyösszegű befiz.</t>
  </si>
  <si>
    <t>Közfoglalkoztatottak 400 fő 4 órás fogl.</t>
  </si>
  <si>
    <t xml:space="preserve">Polgármesteri Hivatal prémiumévesek 11 fő </t>
  </si>
  <si>
    <t xml:space="preserve">  2010. évi áthúzódó út-járda karb.</t>
  </si>
  <si>
    <t xml:space="preserve">  2011. évi kátyúzás</t>
  </si>
  <si>
    <t>Víz-,csatorna felújitás</t>
  </si>
  <si>
    <t>kötvény hitelkamatok változására, ill. kötv. kamat fed. tart.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</si>
  <si>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</si>
  <si>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</si>
  <si>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</si>
  <si>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</si>
  <si>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</si>
  <si>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</si>
  <si>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</si>
  <si>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</si>
  <si>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</si>
  <si>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</si>
  <si>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</si>
  <si>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</si>
  <si>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</si>
  <si>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</si>
  <si>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</si>
  <si>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</si>
  <si>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</si>
  <si>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</si>
  <si>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</si>
  <si>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</si>
  <si>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</si>
  <si>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</si>
  <si>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</si>
  <si>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</si>
  <si>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</si>
  <si>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</si>
  <si>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</si>
  <si>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</si>
  <si>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</si>
  <si>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</si>
  <si>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</si>
  <si>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</si>
  <si>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</si>
  <si>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</si>
  <si>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</si>
  <si>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</si>
  <si>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</si>
  <si>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</si>
  <si>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</si>
  <si>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</si>
  <si>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</si>
  <si>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</si>
  <si>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</si>
  <si>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</si>
  <si>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</si>
  <si>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</si>
  <si>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</si>
  <si>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</si>
  <si>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</si>
  <si>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</si>
  <si>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</si>
  <si>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</si>
  <si>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                   Általános (kockázati) tartalék</t>
  </si>
  <si>
    <t>3. Általános (kockázati) tartalék</t>
  </si>
  <si>
    <t xml:space="preserve">(x) Az önkormányzat költségvetési rendletének 24 §-ában </t>
  </si>
  <si>
    <t>Orvosi gép-műszer beszerzés</t>
  </si>
  <si>
    <t>1. melléklet a    3/2011. (II.24.) önkormányzati rendelethez</t>
  </si>
  <si>
    <t>2. melléklet a 3/2011. (II.24.) önkormányzati rendelethez</t>
  </si>
  <si>
    <t>3. melléklet a 3/2011. (II.24.) önkormányzati rendelethez</t>
  </si>
  <si>
    <t>4. melléklet a 3/2011. (II.24.) önkormányzati rendelethez</t>
  </si>
  <si>
    <t>5. melléklet a 3/2011. (II.24.) önkormányzati rendelethez</t>
  </si>
  <si>
    <t>6. melléklet a 3/2011. (II.24.) önkormányzati rendelethez</t>
  </si>
  <si>
    <t>7. melléklet a 3/2011. (II.24.) önkormányzati rendelethez</t>
  </si>
  <si>
    <t>8. melléklet a 3/2011. (II.24.) önkormányzati rendelethez</t>
  </si>
  <si>
    <t>9. melléklet a 3/2011. (II.24.) önkormányzati rendelethez</t>
  </si>
  <si>
    <t>10. melléklet a 3/2011. (II.24.) önkormányzati rendelethez</t>
  </si>
  <si>
    <t>11. melléklet a 3/2011. (II.24.) önkormányzati rendelethez</t>
  </si>
  <si>
    <t>12. melléklet a 3/2011. (II.24.) önkormányzati rendelethez</t>
  </si>
  <si>
    <t>13. melléklet a 3/2011. (II.24.) önkormányzati rendelethez</t>
  </si>
  <si>
    <t>14. melléklet a 3/2011. (II.24.) önkormányzati rendelethez</t>
  </si>
  <si>
    <t>15. melléklet a 3/2011. (II.24.) önkormányzati rendelethez</t>
  </si>
  <si>
    <t>16. melléklet a 3/2011. (II.24.) önkormányzati rendelethez</t>
  </si>
  <si>
    <t>17. melléklet a 3/2011. (II.24.) önkormányzati rendelethez</t>
  </si>
  <si>
    <t>18. melléklet a 3/2011. (II.24.) önkormányzati rendelethez</t>
  </si>
  <si>
    <t>19. melléklet a 3/2011. (II.24.) önkormányzati rendelethez</t>
  </si>
  <si>
    <t>20. melléklet a 3/2011. (II.24.) önkormányzati rendelethez</t>
  </si>
  <si>
    <t>21. melléklet a 3/2011. (II.24.) önkormányzati rendelethez</t>
  </si>
  <si>
    <t>22. melléklet a 3/2011. (II.24.) önkormányzati rendelethez</t>
  </si>
  <si>
    <t>23. melléklet a 3/2011. (II.24.) önkormányzati rendelethez</t>
  </si>
  <si>
    <t>24. melléklet a 3/2011. (II.24.) önkormányzati rendelethez</t>
  </si>
  <si>
    <t>25. melléklet a 3/2011. (II.24.) önkormányzati rendelethez</t>
  </si>
  <si>
    <t>26. melléklet a 3/2011. (II.24.) önkormányzati rendelethez</t>
  </si>
  <si>
    <t>27. melléklet a 3/2011. (II.24.) önkormányzati rendelethez</t>
  </si>
  <si>
    <t>28. melléklet a 3/2011. (II.24.) önkormányzati rendelethez</t>
  </si>
  <si>
    <t>29. melléklet a 3/2011. (II.24.) önkormányzati rendelethez</t>
  </si>
  <si>
    <t>30. melléklet a 3/2011. (II.24.) önkormányzati rendelethez</t>
  </si>
  <si>
    <t>31. melléklet a 3/2011. (II.24.) önkormányzati rendelethez</t>
  </si>
  <si>
    <t>32. melléklet a 3/2011. (II.24.) önkormányzati rendelethez</t>
  </si>
  <si>
    <t>33. melléklet a 3/2011. (II.24.) önkormányzati rendelethez</t>
  </si>
  <si>
    <t>34. melléklet a 3/2011. (II.24.) önkormányzati rendelethez</t>
  </si>
  <si>
    <t>35. melléklet a 3/2011. (II.24.) önkormányzati rendelethez</t>
  </si>
  <si>
    <t>36. melléklet a 3/2011. (II.24.) önkormányzati rendelethez</t>
  </si>
  <si>
    <t>37. melléklet a 3/2011. (II.24.) önkormányzati rendelethez</t>
  </si>
  <si>
    <t>38. melléklet a 3/2011. (II.24.) önkormányzati rendelethez</t>
  </si>
  <si>
    <t>39. melléklet a 3/2011. (II.24.) önkormányzati rendelethez</t>
  </si>
  <si>
    <t>40. melléklet a 3/2011. (II.24.) önkormányzati rendelethez</t>
  </si>
  <si>
    <t>41. melléklet a 3/2011. (II.24.) önkormányzati rendelethez</t>
  </si>
  <si>
    <t>42. melléklet a 3/2011. (II.24.) önkormányzati rendelethez</t>
  </si>
  <si>
    <t>43. melléklet a 3/2011. (II.24.) önkormányzati rendelethez</t>
  </si>
  <si>
    <t>44. melléklet a 3/2011. (II.24.) önkormányzati rendelethez</t>
  </si>
  <si>
    <t>45. melléklet a 3/2011. (II.24.) önkormányzati rendelethez</t>
  </si>
  <si>
    <t>46. melléklet a 3/2011. (II.24.) önkormányzati rendelethez</t>
  </si>
  <si>
    <t>47. melléklet a 3/2011. (II.24.) önkormányzati rendelethez</t>
  </si>
  <si>
    <t>48. melléklet a 3/2011. (II.24.) önkormányzati rendelethez</t>
  </si>
  <si>
    <t>49. melléklet a 3/2011. (II.24.) önkormányzati rendelethez</t>
  </si>
  <si>
    <t>50. melléklet a 3/2011. (II.24.) önkormányzati rendelethez</t>
  </si>
  <si>
    <t>51. melléklet a 3/2011. (II.24.) önkormányzati rendelethez</t>
  </si>
  <si>
    <t>1. függelék a 3/2011. (II.24.) önkormányzati rendelethez</t>
  </si>
  <si>
    <t>2. függelék a 3/2011. (II.24.) önkormányzati rendelethez</t>
  </si>
  <si>
    <t>3. függelék a 3/2011. (II.24.) önkormányzati rendelethez</t>
  </si>
  <si>
    <t>48. melléklet a 3/2011. (II.11.) önkormányzati rendelethez</t>
  </si>
  <si>
    <t>5. melléklet a 5/2011. (II.24.) önkormányzati rendelethez</t>
  </si>
  <si>
    <t>Prémium évek program támogatása</t>
  </si>
  <si>
    <t xml:space="preserve">          - Mezőkövesdi Civil Szövetség Egy.</t>
  </si>
  <si>
    <t xml:space="preserve">          - Óvoda és Bölcsőde: -BAZ m-i Kormányhivatal bértámogatás</t>
  </si>
  <si>
    <t xml:space="preserve">          - Városgondnokság:   -BAZ m-i Kormányhivatal bértámogatás</t>
  </si>
  <si>
    <t xml:space="preserve">          - MÁAMIPSZ: - BAZ m-i Kormányhivatal bértámogatás</t>
  </si>
  <si>
    <t xml:space="preserve">                                      - Iskola gyümölcs</t>
  </si>
  <si>
    <t xml:space="preserve">                                      - Wekerle S. Alapkezelő - Útravaló ösztöndíj</t>
  </si>
  <si>
    <t xml:space="preserve">                                      - Nemzeti Sport Intézet - Utánpótlás támogatás</t>
  </si>
  <si>
    <t xml:space="preserve">                                      - Szentistváni önk. - Zeneiskola támogatása</t>
  </si>
  <si>
    <t xml:space="preserve">           - MÁAMIPSZ: - MOB - olimpiai iskolák támogatása</t>
  </si>
  <si>
    <t xml:space="preserve">                                       - Victória a gyermekekért Alapítványi támogatás</t>
  </si>
  <si>
    <t xml:space="preserve">           - GIMNÁZIUM: - Oktatásért Közalapítvány pályázati támog.</t>
  </si>
  <si>
    <t xml:space="preserve">          - GIMNÁZIUM: - Munkaügyi Központ bértámogatás</t>
  </si>
  <si>
    <t xml:space="preserve">                                        - Wekerle Alapkezelő "Útravaló" ösztöndíj</t>
  </si>
  <si>
    <t xml:space="preserve">          - KOLLÉGIUM: - Munkaügyi Központ bértámogatás</t>
  </si>
  <si>
    <t xml:space="preserve">          - SZÉCHENYI SZKI: - Munkaügyi Központ bértámogatás</t>
  </si>
  <si>
    <t xml:space="preserve">                                               - Wekerle Alapkezelő "Útravaló" ösztöndíj</t>
  </si>
  <si>
    <t xml:space="preserve">                                               - NSZFI "Szakiskolai" tanulm.ösztöndíj</t>
  </si>
  <si>
    <t>védőruhák beszerzése 10 db</t>
  </si>
  <si>
    <t>Önállóan működő és gazdálkodó intézmények összesen:</t>
  </si>
  <si>
    <t>Önállóan működő intézmények összesen:</t>
  </si>
  <si>
    <t>kazán felújítás</t>
  </si>
  <si>
    <t>Önállóan működő intézmények</t>
  </si>
  <si>
    <t>Önállóan működő és önállóan gazdálkodó intézmények</t>
  </si>
  <si>
    <t>86.</t>
  </si>
  <si>
    <t>87.</t>
  </si>
  <si>
    <t>88.</t>
  </si>
  <si>
    <r>
      <t xml:space="preserve">Int.fent.társ.ált.isk.bejáró óvoda </t>
    </r>
    <r>
      <rPr>
        <b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>*32000*4/12</t>
    </r>
  </si>
  <si>
    <r>
      <t xml:space="preserve">Int.fent.társ.ált.isk.bejáró 1-4.évf. </t>
    </r>
    <r>
      <rPr>
        <b/>
        <sz val="10"/>
        <color indexed="8"/>
        <rFont val="Times New Roman"/>
        <family val="1"/>
      </rPr>
      <t>49</t>
    </r>
    <r>
      <rPr>
        <b/>
        <sz val="10"/>
        <color indexed="8"/>
        <rFont val="Times New Roman"/>
        <family val="1"/>
      </rPr>
      <t>*32000*4/12</t>
    </r>
  </si>
  <si>
    <r>
      <t xml:space="preserve">Int.fent.társ.ált.isk.bejáró 5-8.évf. </t>
    </r>
    <r>
      <rPr>
        <b/>
        <sz val="10"/>
        <color indexed="8"/>
        <rFont val="Times New Roman"/>
        <family val="1"/>
      </rPr>
      <t>69</t>
    </r>
    <r>
      <rPr>
        <b/>
        <sz val="10"/>
        <color indexed="8"/>
        <rFont val="Times New Roman"/>
        <family val="1"/>
      </rPr>
      <t>*32000*4/12</t>
    </r>
  </si>
  <si>
    <t>Tűzoltó vízszállítú gépjármű</t>
  </si>
  <si>
    <t>Kisebbségi Önk. választások</t>
  </si>
  <si>
    <t>.- Tüzöltó vízszállító gépjármű beszerzés támogatása</t>
  </si>
  <si>
    <t xml:space="preserve">          - Területi és Orsz. Kisebbségi Önk. választás támogatása</t>
  </si>
  <si>
    <t xml:space="preserve">          - Praxis működési költségeinek tám.</t>
  </si>
  <si>
    <t xml:space="preserve">          - Takács István Kulturális Alapítvány</t>
  </si>
  <si>
    <t>Háziorvosi alapellátás</t>
  </si>
  <si>
    <t xml:space="preserve">          - LAKSZÖVnek önk. lakásra</t>
  </si>
  <si>
    <t xml:space="preserve">          - Virágos felület növelésének tám.</t>
  </si>
  <si>
    <t>Városi Rendelőintézet felújítása</t>
  </si>
  <si>
    <t xml:space="preserve"> - Tudásdepó Express TIOP</t>
  </si>
  <si>
    <t>Pedagógiai szakami szolg.</t>
  </si>
  <si>
    <t>Szavazatszámláló</t>
  </si>
  <si>
    <t>Nyári gyermekétkeztetés támogatása</t>
  </si>
  <si>
    <t xml:space="preserve">          - TÁMOP 3.3.2-08/2-2008-0081 Egyenlő eséllyel Matyóföldön</t>
  </si>
  <si>
    <t xml:space="preserve">          Városgazd. Szolg. mindösszesen</t>
  </si>
  <si>
    <t>Kisjankó Bori u. 6. sz. alatti tájház felújítás</t>
  </si>
  <si>
    <t>Közcélú munkavégzés támogatása</t>
  </si>
  <si>
    <t>Napköziotthonos Óvoda és Bölcsőde</t>
  </si>
  <si>
    <t>Informatikai pályázat terhére számítógépek, projektor</t>
  </si>
  <si>
    <t xml:space="preserve">                               - Támogatás ért. EU. Pály.</t>
  </si>
  <si>
    <t xml:space="preserve">                               - Munkaügyi Központtól</t>
  </si>
  <si>
    <t>EU-s projekt címe:              Szakképzés sz intézményi stratégia tükrében Tiszaújvárosban és Mezőkövesden (Konzorciumi tag: Városi Önkormányzat Rendelőintézete Mezőkövesd)</t>
  </si>
  <si>
    <t xml:space="preserve">Projekt azonosítója:             TÁMOP-6.2.2/A-09/2-2010-0019 </t>
  </si>
  <si>
    <t>EU-s projekt címe: Mezőkövesd város szennyvízcsatorna-hálózatának fejlesztése a lakosság életminőségének javítása és a települési környezet védelme érdekében I. forduló</t>
  </si>
  <si>
    <t>EU-s projekt címe: Mezőkövesd város szennyvízcsatorna-hálózatának fejlesztése a lakosság életminőségének javítása és a települési környezet védelme érdekében II. forduló</t>
  </si>
  <si>
    <t>Projekt azonosítója:             ÉMOP-3.1.2/A-2f-2010-0005</t>
  </si>
  <si>
    <t xml:space="preserve">  - Saját erőből központi támogatás</t>
  </si>
  <si>
    <t xml:space="preserve">EU-s projekt címe:             "Tudásdepó Expressz" - "Összehangolt informatikai és infrastruktúrafejlesztés a felsőzsolcai és mezőkövesdi könyvtárakban   </t>
  </si>
  <si>
    <t>Projekt azonosítója:            TIOP-1.2.3-09/1-2009-0010</t>
  </si>
  <si>
    <t>EU-s projekt címe:             Szent Imre tagiskola fejlesztése</t>
  </si>
  <si>
    <t>Projekt azonosítója:            ÉMOP-4.3.1/2/2F-2f-2009-0014</t>
  </si>
  <si>
    <t>EU-s projekt címe:             "Egyenlő eséllyel Matyóföldön" Mezőkövesd oktatási intézményeiben</t>
  </si>
  <si>
    <t>Projekt azonosítója:            TÁMOP-3.3.2-08/2-2008-0081</t>
  </si>
  <si>
    <t>PV laptop beszerzés</t>
  </si>
  <si>
    <t>Tűzoltóság szertár felújítás</t>
  </si>
  <si>
    <t>EU Önerő Alap - Többcélú körzeti ált. isk. fejl.</t>
  </si>
  <si>
    <t>Közművelődési érdekeltségnövelő támogatás</t>
  </si>
  <si>
    <t xml:space="preserve">  - Előző évi pénzmaradvány</t>
  </si>
  <si>
    <t>Kirándulás Zsóry Fürdőbe</t>
  </si>
  <si>
    <t>Rendezvény jogdíj</t>
  </si>
  <si>
    <t xml:space="preserve">                                        - TÁMOP-3.1.5-ped.képz.pály.támog.</t>
  </si>
  <si>
    <t xml:space="preserve">                                        - Nemzeti Összetartozás Napja rendezv.támog.</t>
  </si>
  <si>
    <t>Tanulói lap-top program TIOP-1.1.1-09/1 (Gimnázium)</t>
  </si>
  <si>
    <t xml:space="preserve"> - Tanulói lap-top program TIOP-1.1.1-09/1 (Gimn.)</t>
  </si>
  <si>
    <t>Projekt azonosítója: KEOP-1.2.0/2F/09-2010-0027</t>
  </si>
  <si>
    <t>Értékesített tárgyi eszköz ÁFÁ-ja</t>
  </si>
  <si>
    <t>Beruh., felúj. Kapcs. ÁFA visszatérülés</t>
  </si>
  <si>
    <t>közfoglalkoztatás</t>
  </si>
  <si>
    <t xml:space="preserve">          - KSH-tól népszámlálással kapcsolatos feladatok</t>
  </si>
  <si>
    <t>Statisztikai tevékenység</t>
  </si>
  <si>
    <t xml:space="preserve">          - VG Zrt.-Lakossági víz-és csat.szolg</t>
  </si>
  <si>
    <t>Lakossági víz,csat. szolg.tám.</t>
  </si>
  <si>
    <t>LTP szerződést kötöttek (szennyvíz.) támogatása</t>
  </si>
  <si>
    <t>Otthonteremtési támogatás</t>
  </si>
  <si>
    <t>Óvodáztatási támogatás</t>
  </si>
  <si>
    <t>Rendszeres szoc. segély önk. rend.</t>
  </si>
  <si>
    <t xml:space="preserve">          - Gyermektartásdíj megelőleg.</t>
  </si>
  <si>
    <t xml:space="preserve">          - Pénzbeni gyermekvédelmi támogatás</t>
  </si>
  <si>
    <t xml:space="preserve">          - Kiegészítő gyermekvédelmi támogatás</t>
  </si>
  <si>
    <t>Pénzbeni gyermekvédelmi támogatás</t>
  </si>
  <si>
    <t xml:space="preserve">          - Könyvtári szolg. fejl. TÁMOP 3.2.4</t>
  </si>
  <si>
    <t xml:space="preserve">          - Munkaügyi kp. Támog</t>
  </si>
  <si>
    <t>EU-s projekt címe:             "Tudásdepó-Expressz" Könyvtárhasználók igényeinek hatékonyabb kielégítését szolgáló fejlesztés</t>
  </si>
  <si>
    <t>Projekt azonosítója:            TÁMOP-3.2.4-08/1-2009-0048</t>
  </si>
  <si>
    <t>Projekt azonosítója:    TÁMOP-5.2.5.-08/1-2008-0188</t>
  </si>
  <si>
    <t>EU-s projekt címe:             Informatikai infrastruktúra fejlesztése a mezőkövesdi Szent László Gimnázium és Közgazdasági Szakközépiskolában</t>
  </si>
  <si>
    <t>Projekt azonosítója:            TIOP-1.1.1-09/1-2010-0111</t>
  </si>
  <si>
    <t>Meggy út aszfaltozás</t>
  </si>
  <si>
    <t>Városrehabilitáció - Galéria</t>
  </si>
  <si>
    <t xml:space="preserve">            Önkormányzati inatlanok építése összesen:</t>
  </si>
  <si>
    <t>Ingatlanok bérbeadása + üzemeltetése + építése</t>
  </si>
  <si>
    <t>Támogatási előleg visszafizetés - Eper u.</t>
  </si>
  <si>
    <t>Föld értékesítés</t>
  </si>
  <si>
    <t>Gép, berendezés értékesítés</t>
  </si>
  <si>
    <t xml:space="preserve"> - Szent Imre Tagiskola fejlesztése</t>
  </si>
  <si>
    <t xml:space="preserve">   Egyéb lakossági igények kezelése (Br.8 mó)</t>
  </si>
  <si>
    <t>közutak üzemeltetése + építése</t>
  </si>
  <si>
    <t>3.Egyéb központi támogatás-bérkompenzáció</t>
  </si>
  <si>
    <t>EU-s projekt címe:      Helyi érték" A mezőkövesdi ifjúsági információs pont szolgáltatásainak fejlesztése</t>
  </si>
  <si>
    <t>Mező F. tagisk. Fűtéskorsz.</t>
  </si>
  <si>
    <t>Lombard Finanszírozási Zrt.</t>
  </si>
  <si>
    <t>Személygépkocsi vás.</t>
  </si>
  <si>
    <t>Raiffeisen Bank Zrt.</t>
  </si>
  <si>
    <t>Kötvénykibocsátás</t>
  </si>
  <si>
    <t xml:space="preserve">                 az önkormányzat által felvett hitelek és kibocsátott kötvények állományáról </t>
  </si>
  <si>
    <t>Munkáltatói lakásépítési kölcsön</t>
  </si>
  <si>
    <t>Első lakáshozjutók támogatása</t>
  </si>
  <si>
    <t>Lakáscélú kamatmentes kölcsön</t>
  </si>
  <si>
    <t>Praxis privatizáció</t>
  </si>
  <si>
    <t>kamattámogatás</t>
  </si>
  <si>
    <t>Hosszú lejáratú hitelek, kölcsönök összesen</t>
  </si>
  <si>
    <t>Rövidlejáratú kölcsönök összesen</t>
  </si>
  <si>
    <t xml:space="preserve">     35/2009. (XII.23.) ÖK. sz. rend. 3. §. 25 %-os kedv. </t>
  </si>
  <si>
    <t xml:space="preserve">      - ellátottak térítési díjának méltányossági alapon történő elengedése</t>
  </si>
  <si>
    <t xml:space="preserve">     - lakosság részére lakásépítéshez, lakásfelújításhoz nyújtott kölcsönök elengedése</t>
  </si>
  <si>
    <t xml:space="preserve">     -helyiségek, eszközök hasznosításából származó bevételből nyújtott kedvezmény, mentesség</t>
  </si>
  <si>
    <t xml:space="preserve">    - egyéb nyújtott kedvezmény, vagy kölcsön elengedésének összege</t>
  </si>
  <si>
    <r>
      <rPr>
        <b/>
        <sz val="12"/>
        <rFont val="Times New Roman CE"/>
        <family val="0"/>
      </rPr>
      <t>Adókedvezmény</t>
    </r>
    <r>
      <rPr>
        <sz val="12"/>
        <rFont val="Times New Roman CE"/>
        <family val="1"/>
      </rPr>
      <t xml:space="preserve"> környezetvédelmi osztályba sorolás miatt</t>
    </r>
  </si>
  <si>
    <t>Egyéb közvetett támogatások:</t>
  </si>
  <si>
    <t xml:space="preserve">                                      - Vidéki önk. tanulói tk. hzj</t>
  </si>
  <si>
    <t>Mező F. tagiskola nyilászáró csere</t>
  </si>
  <si>
    <t>Intézmények fejlesztése, felújítása</t>
  </si>
  <si>
    <t>Könyvtári érdekeltségnövelő támogatás</t>
  </si>
  <si>
    <t>Esélyegyenlőséget, felzárkóztatást segítő támogatások</t>
  </si>
  <si>
    <t>Eszközbeszerzés Rendőrkapitányság részére</t>
  </si>
  <si>
    <t xml:space="preserve">          - Tűzoltóság -OKF-től túlóra kifizetésre</t>
  </si>
  <si>
    <t>Tűzoltóság - Alapítványtól szertár felújításra</t>
  </si>
  <si>
    <t xml:space="preserve">          - Szent László Alapítvány - kerítés felújítás</t>
  </si>
  <si>
    <t>EU Önerő Alap - Szennyvízcsatorna III. ütem I. forduló</t>
  </si>
  <si>
    <t xml:space="preserve">          - KÖZKINCS-TÁR nonprof. Kft.-érd.növ</t>
  </si>
  <si>
    <t xml:space="preserve">          - TIOP-1.1.1-09/1 Tanulói lap-top (Gimn.) </t>
  </si>
  <si>
    <t>Számítógépek, monitorok Informatikai pályázat terhére</t>
  </si>
  <si>
    <t>Taninform szoftver Informatikai pályázat terhére</t>
  </si>
  <si>
    <t>Hullámpálya beszerzés</t>
  </si>
  <si>
    <t>Bojler csere-Bayer Róbert Kollégium és Élelmezési központ</t>
  </si>
  <si>
    <t>Értékesített tárgyi eszközök ÁFÁ-ja</t>
  </si>
  <si>
    <t>Szoftver: EMCO esztergagéphez vezérlő szoftver</t>
  </si>
  <si>
    <t>Ügyvitel, szám.techn.: számítógépek, lap-top-ok</t>
  </si>
  <si>
    <t>Egyéb gép,berend.: eszterga-, marógép; mérőműszerek</t>
  </si>
  <si>
    <t>Vagyoni ért.jog: Taninform szoftver felh.jog szakmai-tanügyig. normatívából</t>
  </si>
  <si>
    <t xml:space="preserve">                                               - MITISZK SzSzT SZKHJ célú támogatás</t>
  </si>
  <si>
    <t xml:space="preserve"> Ügyvitel, számítástechn.berendezések</t>
  </si>
  <si>
    <t xml:space="preserve"> Egyéb gép, berend.felszerelés</t>
  </si>
  <si>
    <t xml:space="preserve">                                        - Zemplén TISZK SzSzT SZKHJ célú támogatás</t>
  </si>
  <si>
    <t>SZOC-FP-Szociális Földprogram pály.tám.-ból eszközök,szerszámok</t>
  </si>
  <si>
    <t>TÁMOP-3.2.4-08/1(Bükkábrányi)könyvtárfejl.pály. eszköfejlesztés</t>
  </si>
  <si>
    <t xml:space="preserve">             Könyvtári állomány nyilvántart. mindösszesen:</t>
  </si>
  <si>
    <t xml:space="preserve"> - SZOC-FP-Szociális Földprogram pály.támog.</t>
  </si>
  <si>
    <t xml:space="preserve"> - TÁMOP-3.2.4(Bükkábrány) pály.támog.</t>
  </si>
  <si>
    <t xml:space="preserve">          - SZOC-FP Szociális Földprogram pály.támog.</t>
  </si>
  <si>
    <t xml:space="preserve">          - TÁMOP-3.2.4(Bükkábrány) könyvtárfejl.pály.támog.</t>
  </si>
  <si>
    <t xml:space="preserve">    - Tisza-tavi Egycélú Társ.</t>
  </si>
  <si>
    <t xml:space="preserve">          - Háziorvosok számítógép vásárlásának tám.</t>
  </si>
  <si>
    <t>Foglalkoztatást helyettesítő támogatás</t>
  </si>
  <si>
    <t>Helyi lakásfenntartási támogatás</t>
  </si>
  <si>
    <t>Nemzeti ünnepek p.</t>
  </si>
  <si>
    <t>Központi költségvetési befiz.</t>
  </si>
  <si>
    <t xml:space="preserve">    - Pályázati előelg visszafizetés</t>
  </si>
  <si>
    <t>Ár- és belvíz védelem</t>
  </si>
  <si>
    <t>Önkorm. Elszámolásai</t>
  </si>
  <si>
    <t>89.</t>
  </si>
  <si>
    <t xml:space="preserve">             Okt.kieg.tev., önk.ifj.progr. összesen</t>
  </si>
  <si>
    <t xml:space="preserve">             Közfoglalkoztatás összesen:</t>
  </si>
  <si>
    <t>Közfoglalkozatás értékteremtő pályázat</t>
  </si>
  <si>
    <t>Bimbó úti üdülő fejlesztése</t>
  </si>
  <si>
    <t xml:space="preserve">            Óvodai nevelés, ellátás öszesen:</t>
  </si>
  <si>
    <t>90.</t>
  </si>
  <si>
    <t>91.</t>
  </si>
  <si>
    <t>92.</t>
  </si>
  <si>
    <t>Egri úti tagóvoda bővítés</t>
  </si>
  <si>
    <t>Bölcsődei, Óvodai ellátás</t>
  </si>
  <si>
    <t xml:space="preserve">          - TIOP-1.1.1-07/1 Informatikai infrastruktúra fejlesztése </t>
  </si>
  <si>
    <r>
      <t xml:space="preserve">Bölcsődei ellátás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40*494100</t>
    </r>
  </si>
  <si>
    <r>
      <t>Isk.okt.alaphzj.1-2.évf.(232*2350000*8/12</t>
    </r>
    <r>
      <rPr>
        <b/>
        <sz val="10"/>
        <color indexed="8"/>
        <rFont val="Times New Roman"/>
        <family val="1"/>
      </rPr>
      <t>)(175*2350000*8/12)</t>
    </r>
  </si>
  <si>
    <r>
      <t>Isk.okt.alaphzj.3.évf.(119*2350000*8/12</t>
    </r>
    <r>
      <rPr>
        <b/>
        <sz val="10"/>
        <color indexed="8"/>
        <rFont val="Times New Roman"/>
        <family val="1"/>
      </rPr>
      <t>)(98*2350000*8/12)</t>
    </r>
  </si>
  <si>
    <r>
      <t>Isk.okt.alaphzj.5-6.évf.(269*2350000*8/12)</t>
    </r>
    <r>
      <rPr>
        <b/>
        <sz val="10"/>
        <color indexed="8"/>
        <rFont val="Times New Roman"/>
        <family val="1"/>
      </rPr>
      <t>224*2350000*8/12</t>
    </r>
  </si>
  <si>
    <r>
      <t>Isk.okt.alaphzj.7.évf.(145*2350000*8/12)</t>
    </r>
    <r>
      <rPr>
        <b/>
        <sz val="10"/>
        <color indexed="8"/>
        <rFont val="Times New Roman"/>
        <family val="1"/>
      </rPr>
      <t>133*2350000*8/12</t>
    </r>
  </si>
  <si>
    <r>
      <t>SNI gyógyped.nev.visszah.(2*134400*8/12) 2</t>
    </r>
    <r>
      <rPr>
        <b/>
        <sz val="10"/>
        <color indexed="8"/>
        <rFont val="Times New Roman"/>
        <family val="1"/>
      </rPr>
      <t>*134400*8/12</t>
    </r>
  </si>
  <si>
    <r>
      <t>Korai fejl.gond.(11*240000)7</t>
    </r>
    <r>
      <rPr>
        <b/>
        <sz val="10"/>
        <color indexed="8"/>
        <rFont val="Times New Roman"/>
        <family val="1"/>
      </rPr>
      <t>*240000</t>
    </r>
  </si>
  <si>
    <r>
      <t>Isk.okt.9-10.évf.(719*2350000*4/12)</t>
    </r>
    <r>
      <rPr>
        <b/>
        <sz val="10"/>
        <color indexed="8"/>
        <rFont val="Times New Roman"/>
        <family val="1"/>
      </rPr>
      <t>702*2350000*4/12</t>
    </r>
  </si>
  <si>
    <r>
      <t xml:space="preserve">Isk. okt. 11-13. évf. </t>
    </r>
    <r>
      <rPr>
        <b/>
        <sz val="10"/>
        <color indexed="8"/>
        <rFont val="Times New Roman"/>
        <family val="1"/>
      </rPr>
      <t>560*2350000*4/12</t>
    </r>
  </si>
  <si>
    <r>
      <t>Isk.szakképzés 9-11.évf.(396*2350000*4/12)392</t>
    </r>
    <r>
      <rPr>
        <b/>
        <sz val="10"/>
        <color indexed="8"/>
        <rFont val="Times New Roman"/>
        <family val="1"/>
      </rPr>
      <t>*2350000*4/12</t>
    </r>
  </si>
  <si>
    <r>
      <t xml:space="preserve">Napközis fogl.1-4.évf.(382*2350000*8/12) </t>
    </r>
    <r>
      <rPr>
        <b/>
        <sz val="10"/>
        <color indexed="8"/>
        <rFont val="Times New Roman"/>
        <family val="1"/>
      </rPr>
      <t>378</t>
    </r>
    <r>
      <rPr>
        <b/>
        <sz val="10"/>
        <color indexed="8"/>
        <rFont val="Times New Roman"/>
        <family val="1"/>
      </rPr>
      <t>*2350000*8/12</t>
    </r>
  </si>
  <si>
    <r>
      <t xml:space="preserve">tanulói tankönyv ingyenes (1227*10000)(1233*10000) </t>
    </r>
    <r>
      <rPr>
        <b/>
        <sz val="10"/>
        <color indexed="8"/>
        <rFont val="Times New Roman"/>
        <family val="1"/>
      </rPr>
      <t>1330*12000</t>
    </r>
  </si>
  <si>
    <t xml:space="preserve">           Pedagógus szakvizsga, továbbképzés 282*10500</t>
  </si>
  <si>
    <t>Lakosságtól - viziközmű éredekeltségi hozzájárulás</t>
  </si>
  <si>
    <t>Lakosságtól - lakáscélú támogatás visszafizetése</t>
  </si>
  <si>
    <t>Vagyon bérbeadás ÁFA-ja</t>
  </si>
  <si>
    <t>Jármű értékesítés</t>
  </si>
  <si>
    <t>Rtg. Digitalizáló berendezés felújítása</t>
  </si>
  <si>
    <t>Rendelőintézet - Kazántest értékesítés</t>
  </si>
  <si>
    <t>EU-s projekt címe:             Informatikai infrastruktúra fejlesztése a Mezőkövesd Város önkormányzata által fenntartott intézményekben</t>
  </si>
  <si>
    <t>Projekt azonosítója:            TIOP-1.1.1-07/1-2008-0097</t>
  </si>
  <si>
    <t>Óvoda-Bölcsőde-zongora értékesítés</t>
  </si>
  <si>
    <t>I/4.4 Előző évi költségvetési kieg. visszatérülés.</t>
  </si>
  <si>
    <t xml:space="preserve">        Tűzoltóság -  Előző évi költségvetési kieg. visszatérülés.</t>
  </si>
  <si>
    <t>93.</t>
  </si>
  <si>
    <t xml:space="preserve">             Okt.kieg.tev. összesen</t>
  </si>
  <si>
    <t>Értékpapír értékesítés hozama</t>
  </si>
  <si>
    <t>52. melléklet a 3/2011. (II.24.) önkormányzati rendelethez</t>
  </si>
  <si>
    <t>53. melléklet a 3/2011. (II.24.) önkormányzati rendelethez</t>
  </si>
  <si>
    <t xml:space="preserve">V. Értékpapírok vásárlásának kiadásai </t>
  </si>
  <si>
    <t xml:space="preserve">Értékpapír értékesítés </t>
  </si>
  <si>
    <t>Értékpapír vásárlás</t>
  </si>
  <si>
    <t>Egyenlő eséllyel Matyóföldön TÁMOP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</si>
</sst>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-40E]yyyy\.\ mmmm\ d\."/>
    <numFmt numFmtId="174" formatCode="0.000"/>
    <numFmt numFmtId="175" formatCode="0.0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b/>
      <u val="single"/>
      <sz val="11"/>
      <name val="Times New Roman"/>
      <family val="1"/>
    </font>
    <font>
      <i/>
      <sz val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69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6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16" xfId="0" applyNumberFormat="1" applyFont="1" applyBorder="1" applyAlignment="1">
      <alignment/>
    </xf>
    <xf numFmtId="0" fontId="27" fillId="0" borderId="0" xfId="0" applyFont="1" applyAlignment="1">
      <alignment/>
    </xf>
    <xf numFmtId="0" fontId="25" fillId="0" borderId="17" xfId="0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19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/>
    </xf>
    <xf numFmtId="3" fontId="19" fillId="0" borderId="24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2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27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19" fillId="0" borderId="28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5" xfId="0" applyFont="1" applyBorder="1" applyAlignment="1">
      <alignment horizontal="left" vertical="center"/>
    </xf>
    <xf numFmtId="0" fontId="48" fillId="0" borderId="12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0" xfId="4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>
      <alignment horizontal="center"/>
    </xf>
    <xf numFmtId="0" fontId="19" fillId="0" borderId="0" xfId="54" applyFont="1" applyProtection="1">
      <alignment/>
      <protection/>
    </xf>
    <xf numFmtId="0" fontId="25" fillId="0" borderId="21" xfId="54" applyFont="1" applyBorder="1" applyAlignment="1" applyProtection="1">
      <alignment vertical="center"/>
      <protection/>
    </xf>
    <xf numFmtId="0" fontId="25" fillId="0" borderId="21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41" fillId="0" borderId="16" xfId="54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0" fontId="25" fillId="0" borderId="31" xfId="54" applyFont="1" applyBorder="1" applyProtection="1">
      <alignment/>
      <protection/>
    </xf>
    <xf numFmtId="3" fontId="25" fillId="0" borderId="31" xfId="54" applyNumberFormat="1" applyFont="1" applyBorder="1" applyProtection="1">
      <alignment/>
      <protection/>
    </xf>
    <xf numFmtId="3" fontId="25" fillId="0" borderId="32" xfId="54" applyNumberFormat="1" applyFont="1" applyBorder="1" applyProtection="1">
      <alignment/>
      <protection/>
    </xf>
    <xf numFmtId="0" fontId="25" fillId="0" borderId="32" xfId="54" applyFont="1" applyBorder="1" applyProtection="1">
      <alignment/>
      <protection/>
    </xf>
    <xf numFmtId="0" fontId="19" fillId="0" borderId="21" xfId="54" applyFont="1" applyBorder="1" applyProtection="1">
      <alignment/>
      <protection/>
    </xf>
    <xf numFmtId="3" fontId="19" fillId="0" borderId="21" xfId="54" applyNumberFormat="1" applyFont="1" applyBorder="1" applyProtection="1">
      <alignment/>
      <protection/>
    </xf>
    <xf numFmtId="0" fontId="25" fillId="0" borderId="20" xfId="54" applyFont="1" applyBorder="1" applyAlignment="1" applyProtection="1">
      <alignment vertical="center"/>
      <protection/>
    </xf>
    <xf numFmtId="0" fontId="25" fillId="0" borderId="33" xfId="54" applyFont="1" applyBorder="1" applyAlignment="1" applyProtection="1">
      <alignment horizontal="center" vertical="center" wrapText="1"/>
      <protection/>
    </xf>
    <xf numFmtId="0" fontId="19" fillId="0" borderId="34" xfId="54" applyFont="1" applyBorder="1" applyProtection="1">
      <alignment/>
      <protection/>
    </xf>
    <xf numFmtId="0" fontId="19" fillId="0" borderId="23" xfId="54" applyFont="1" applyBorder="1" applyProtection="1">
      <alignment/>
      <protection/>
    </xf>
    <xf numFmtId="0" fontId="19" fillId="0" borderId="11" xfId="54" applyFont="1" applyBorder="1" applyAlignment="1" applyProtection="1">
      <alignment wrapText="1"/>
      <protection/>
    </xf>
    <xf numFmtId="3" fontId="25" fillId="0" borderId="20" xfId="54" applyNumberFormat="1" applyFont="1" applyBorder="1" applyProtection="1">
      <alignment/>
      <protection/>
    </xf>
    <xf numFmtId="0" fontId="25" fillId="0" borderId="20" xfId="54" applyFont="1" applyBorder="1" applyProtection="1">
      <alignment/>
      <protection/>
    </xf>
    <xf numFmtId="3" fontId="19" fillId="0" borderId="24" xfId="54" applyNumberFormat="1" applyFont="1" applyBorder="1" applyProtection="1">
      <alignment/>
      <protection/>
    </xf>
    <xf numFmtId="3" fontId="19" fillId="0" borderId="20" xfId="54" applyNumberFormat="1" applyFont="1" applyBorder="1" applyProtection="1">
      <alignment/>
      <protection/>
    </xf>
    <xf numFmtId="0" fontId="19" fillId="0" borderId="20" xfId="54" applyFont="1" applyBorder="1" applyProtection="1">
      <alignment/>
      <protection/>
    </xf>
    <xf numFmtId="3" fontId="25" fillId="0" borderId="16" xfId="54" applyNumberFormat="1" applyFont="1" applyBorder="1" applyProtection="1">
      <alignment/>
      <protection/>
    </xf>
    <xf numFmtId="0" fontId="25" fillId="0" borderId="16" xfId="54" applyFont="1" applyBorder="1" applyProtection="1">
      <alignment/>
      <protection/>
    </xf>
    <xf numFmtId="3" fontId="25" fillId="0" borderId="11" xfId="54" applyNumberFormat="1" applyFont="1" applyBorder="1" applyProtection="1">
      <alignment/>
      <protection/>
    </xf>
    <xf numFmtId="0" fontId="25" fillId="0" borderId="11" xfId="54" applyFont="1" applyBorder="1" applyProtection="1">
      <alignment/>
      <protection/>
    </xf>
    <xf numFmtId="0" fontId="25" fillId="0" borderId="0" xfId="0" applyFont="1" applyAlignment="1">
      <alignment horizontal="right"/>
    </xf>
    <xf numFmtId="3" fontId="25" fillId="24" borderId="20" xfId="0" applyNumberFormat="1" applyFont="1" applyFill="1" applyBorder="1" applyAlignment="1">
      <alignment/>
    </xf>
    <xf numFmtId="3" fontId="33" fillId="0" borderId="16" xfId="40" applyNumberFormat="1" applyFont="1" applyFill="1" applyBorder="1" applyAlignment="1" applyProtection="1">
      <alignment vertical="center"/>
      <protection/>
    </xf>
    <xf numFmtId="3" fontId="33" fillId="0" borderId="25" xfId="40" applyNumberFormat="1" applyFont="1" applyFill="1" applyBorder="1" applyAlignment="1" applyProtection="1">
      <alignment vertical="center"/>
      <protection/>
    </xf>
    <xf numFmtId="3" fontId="33" fillId="0" borderId="11" xfId="40" applyNumberFormat="1" applyFont="1" applyFill="1" applyBorder="1" applyAlignment="1" applyProtection="1">
      <alignment vertical="center" wrapText="1"/>
      <protection/>
    </xf>
    <xf numFmtId="3" fontId="33" fillId="0" borderId="10" xfId="40" applyNumberFormat="1" applyFont="1" applyFill="1" applyBorder="1" applyAlignment="1" applyProtection="1">
      <alignment vertical="center" wrapText="1"/>
      <protection/>
    </xf>
    <xf numFmtId="3" fontId="33" fillId="0" borderId="11" xfId="40" applyNumberFormat="1" applyFont="1" applyFill="1" applyBorder="1" applyAlignment="1" applyProtection="1">
      <alignment vertical="center"/>
      <protection/>
    </xf>
    <xf numFmtId="3" fontId="33" fillId="0" borderId="10" xfId="40" applyNumberFormat="1" applyFont="1" applyFill="1" applyBorder="1" applyAlignment="1" applyProtection="1">
      <alignment vertical="center"/>
      <protection/>
    </xf>
    <xf numFmtId="0" fontId="33" fillId="0" borderId="15" xfId="0" applyFont="1" applyBorder="1" applyAlignment="1">
      <alignment vertical="center"/>
    </xf>
    <xf numFmtId="3" fontId="33" fillId="0" borderId="24" xfId="40" applyNumberFormat="1" applyFont="1" applyFill="1" applyBorder="1" applyAlignment="1" applyProtection="1">
      <alignment vertical="center"/>
      <protection/>
    </xf>
    <xf numFmtId="3" fontId="33" fillId="0" borderId="0" xfId="40" applyNumberFormat="1" applyFont="1" applyFill="1" applyBorder="1" applyAlignment="1" applyProtection="1">
      <alignment vertical="center"/>
      <protection/>
    </xf>
    <xf numFmtId="3" fontId="19" fillId="0" borderId="35" xfId="0" applyNumberFormat="1" applyFont="1" applyBorder="1" applyAlignment="1">
      <alignment vertical="center"/>
    </xf>
    <xf numFmtId="3" fontId="19" fillId="0" borderId="35" xfId="40" applyNumberFormat="1" applyFont="1" applyFill="1" applyBorder="1" applyAlignment="1" applyProtection="1">
      <alignment vertical="center"/>
      <protection/>
    </xf>
    <xf numFmtId="3" fontId="19" fillId="0" borderId="21" xfId="40" applyNumberFormat="1" applyFont="1" applyFill="1" applyBorder="1" applyAlignment="1" applyProtection="1">
      <alignment vertical="center"/>
      <protection/>
    </xf>
    <xf numFmtId="3" fontId="19" fillId="0" borderId="36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23" xfId="40" applyNumberFormat="1" applyFont="1" applyFill="1" applyBorder="1" applyAlignment="1" applyProtection="1">
      <alignment vertical="center"/>
      <protection/>
    </xf>
    <xf numFmtId="3" fontId="19" fillId="0" borderId="34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9" fillId="0" borderId="37" xfId="40" applyNumberFormat="1" applyFont="1" applyFill="1" applyBorder="1" applyAlignment="1" applyProtection="1">
      <alignment vertical="center"/>
      <protection/>
    </xf>
    <xf numFmtId="3" fontId="19" fillId="0" borderId="18" xfId="0" applyNumberFormat="1" applyFont="1" applyBorder="1" applyAlignment="1">
      <alignment horizontal="right" vertical="center"/>
    </xf>
    <xf numFmtId="3" fontId="19" fillId="0" borderId="38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52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43" fillId="0" borderId="0" xfId="0" applyFont="1" applyAlignment="1">
      <alignment horizontal="justify"/>
    </xf>
    <xf numFmtId="0" fontId="52" fillId="0" borderId="0" xfId="0" applyFont="1" applyAlignment="1">
      <alignment/>
    </xf>
    <xf numFmtId="0" fontId="43" fillId="0" borderId="15" xfId="0" applyFont="1" applyBorder="1" applyAlignment="1">
      <alignment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5" fillId="0" borderId="25" xfId="0" applyFont="1" applyBorder="1" applyAlignment="1">
      <alignment horizontal="center"/>
    </xf>
    <xf numFmtId="0" fontId="19" fillId="0" borderId="39" xfId="0" applyFont="1" applyBorder="1" applyAlignment="1">
      <alignment/>
    </xf>
    <xf numFmtId="0" fontId="32" fillId="0" borderId="28" xfId="0" applyFont="1" applyBorder="1" applyAlignment="1">
      <alignment wrapText="1"/>
    </xf>
    <xf numFmtId="3" fontId="32" fillId="0" borderId="40" xfId="40" applyNumberFormat="1" applyFont="1" applyFill="1" applyBorder="1" applyAlignment="1" applyProtection="1">
      <alignment/>
      <protection/>
    </xf>
    <xf numFmtId="3" fontId="32" fillId="0" borderId="28" xfId="0" applyNumberFormat="1" applyFont="1" applyBorder="1" applyAlignment="1">
      <alignment/>
    </xf>
    <xf numFmtId="3" fontId="32" fillId="0" borderId="41" xfId="0" applyNumberFormat="1" applyFont="1" applyBorder="1" applyAlignment="1">
      <alignment/>
    </xf>
    <xf numFmtId="3" fontId="32" fillId="0" borderId="10" xfId="40" applyNumberFormat="1" applyFont="1" applyFill="1" applyBorder="1" applyAlignment="1" applyProtection="1">
      <alignment/>
      <protection/>
    </xf>
    <xf numFmtId="3" fontId="32" fillId="0" borderId="28" xfId="40" applyNumberFormat="1" applyFont="1" applyFill="1" applyBorder="1" applyAlignment="1" applyProtection="1">
      <alignment/>
      <protection/>
    </xf>
    <xf numFmtId="0" fontId="19" fillId="0" borderId="39" xfId="0" applyFont="1" applyBorder="1" applyAlignment="1">
      <alignment wrapText="1"/>
    </xf>
    <xf numFmtId="0" fontId="49" fillId="0" borderId="0" xfId="0" applyFont="1" applyBorder="1" applyAlignment="1">
      <alignment/>
    </xf>
    <xf numFmtId="3" fontId="49" fillId="0" borderId="0" xfId="40" applyNumberFormat="1" applyFont="1" applyFill="1" applyBorder="1" applyAlignment="1" applyProtection="1">
      <alignment/>
      <protection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3" fontId="32" fillId="0" borderId="41" xfId="40" applyNumberFormat="1" applyFont="1" applyFill="1" applyBorder="1" applyAlignment="1" applyProtection="1">
      <alignment/>
      <protection/>
    </xf>
    <xf numFmtId="0" fontId="50" fillId="0" borderId="0" xfId="0" applyFont="1" applyAlignment="1">
      <alignment horizontal="right"/>
    </xf>
    <xf numFmtId="0" fontId="25" fillId="0" borderId="44" xfId="0" applyFont="1" applyBorder="1" applyAlignment="1">
      <alignment horizontal="center" vertical="center"/>
    </xf>
    <xf numFmtId="3" fontId="19" fillId="0" borderId="28" xfId="0" applyNumberFormat="1" applyFont="1" applyBorder="1" applyAlignment="1">
      <alignment vertical="center"/>
    </xf>
    <xf numFmtId="3" fontId="19" fillId="0" borderId="45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5" fillId="0" borderId="46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36" fillId="0" borderId="0" xfId="0" applyFont="1" applyAlignment="1">
      <alignment/>
    </xf>
    <xf numFmtId="0" fontId="23" fillId="0" borderId="28" xfId="0" applyFont="1" applyBorder="1" applyAlignment="1">
      <alignment/>
    </xf>
    <xf numFmtId="3" fontId="33" fillId="0" borderId="28" xfId="0" applyNumberFormat="1" applyFont="1" applyBorder="1" applyAlignment="1">
      <alignment/>
    </xf>
    <xf numFmtId="0" fontId="48" fillId="0" borderId="0" xfId="0" applyFont="1" applyAlignment="1">
      <alignment/>
    </xf>
    <xf numFmtId="0" fontId="23" fillId="0" borderId="28" xfId="0" applyFont="1" applyBorder="1" applyAlignment="1">
      <alignment horizontal="center"/>
    </xf>
    <xf numFmtId="0" fontId="23" fillId="0" borderId="28" xfId="0" applyFont="1" applyBorder="1" applyAlignment="1">
      <alignment horizontal="center" wrapText="1"/>
    </xf>
    <xf numFmtId="10" fontId="33" fillId="0" borderId="28" xfId="0" applyNumberFormat="1" applyFont="1" applyBorder="1" applyAlignment="1">
      <alignment/>
    </xf>
    <xf numFmtId="0" fontId="32" fillId="0" borderId="28" xfId="0" applyFont="1" applyBorder="1" applyAlignment="1">
      <alignment/>
    </xf>
    <xf numFmtId="0" fontId="32" fillId="0" borderId="28" xfId="0" applyFont="1" applyBorder="1" applyAlignment="1">
      <alignment horizontal="justify"/>
    </xf>
    <xf numFmtId="3" fontId="33" fillId="0" borderId="28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3" fontId="19" fillId="0" borderId="17" xfId="0" applyNumberFormat="1" applyFont="1" applyBorder="1" applyAlignment="1">
      <alignment/>
    </xf>
    <xf numFmtId="3" fontId="19" fillId="24" borderId="16" xfId="0" applyNumberFormat="1" applyFont="1" applyFill="1" applyBorder="1" applyAlignment="1">
      <alignment/>
    </xf>
    <xf numFmtId="3" fontId="25" fillId="0" borderId="25" xfId="0" applyNumberFormat="1" applyFont="1" applyBorder="1" applyAlignment="1">
      <alignment/>
    </xf>
    <xf numFmtId="0" fontId="25" fillId="0" borderId="47" xfId="0" applyFont="1" applyBorder="1" applyAlignment="1">
      <alignment/>
    </xf>
    <xf numFmtId="3" fontId="25" fillId="0" borderId="48" xfId="0" applyNumberFormat="1" applyFont="1" applyBorder="1" applyAlignment="1">
      <alignment/>
    </xf>
    <xf numFmtId="3" fontId="25" fillId="0" borderId="49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0" fontId="19" fillId="0" borderId="51" xfId="0" applyFont="1" applyBorder="1" applyAlignment="1">
      <alignment/>
    </xf>
    <xf numFmtId="3" fontId="19" fillId="0" borderId="52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3" fontId="19" fillId="24" borderId="24" xfId="0" applyNumberFormat="1" applyFont="1" applyFill="1" applyBorder="1" applyAlignment="1">
      <alignment/>
    </xf>
    <xf numFmtId="3" fontId="19" fillId="24" borderId="51" xfId="0" applyNumberFormat="1" applyFont="1" applyFill="1" applyBorder="1" applyAlignment="1">
      <alignment/>
    </xf>
    <xf numFmtId="3" fontId="19" fillId="24" borderId="53" xfId="0" applyNumberFormat="1" applyFont="1" applyFill="1" applyBorder="1" applyAlignment="1">
      <alignment/>
    </xf>
    <xf numFmtId="3" fontId="19" fillId="0" borderId="55" xfId="0" applyNumberFormat="1" applyFont="1" applyBorder="1" applyAlignment="1">
      <alignment/>
    </xf>
    <xf numFmtId="3" fontId="19" fillId="24" borderId="48" xfId="0" applyNumberFormat="1" applyFont="1" applyFill="1" applyBorder="1" applyAlignment="1">
      <alignment/>
    </xf>
    <xf numFmtId="3" fontId="19" fillId="24" borderId="49" xfId="0" applyNumberFormat="1" applyFont="1" applyFill="1" applyBorder="1" applyAlignment="1">
      <alignment/>
    </xf>
    <xf numFmtId="3" fontId="19" fillId="0" borderId="56" xfId="0" applyNumberFormat="1" applyFont="1" applyBorder="1" applyAlignment="1">
      <alignment/>
    </xf>
    <xf numFmtId="0" fontId="19" fillId="0" borderId="57" xfId="0" applyFont="1" applyBorder="1" applyAlignment="1">
      <alignment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5" fillId="0" borderId="62" xfId="0" applyNumberFormat="1" applyFont="1" applyBorder="1" applyAlignment="1">
      <alignment/>
    </xf>
    <xf numFmtId="0" fontId="19" fillId="0" borderId="62" xfId="0" applyFont="1" applyBorder="1" applyAlignment="1">
      <alignment/>
    </xf>
    <xf numFmtId="3" fontId="19" fillId="0" borderId="62" xfId="0" applyNumberFormat="1" applyFont="1" applyBorder="1" applyAlignment="1">
      <alignment/>
    </xf>
    <xf numFmtId="3" fontId="25" fillId="0" borderId="6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0" fontId="25" fillId="0" borderId="67" xfId="0" applyFont="1" applyBorder="1" applyAlignment="1">
      <alignment/>
    </xf>
    <xf numFmtId="3" fontId="19" fillId="0" borderId="68" xfId="0" applyNumberFormat="1" applyFont="1" applyBorder="1" applyAlignment="1">
      <alignment/>
    </xf>
    <xf numFmtId="0" fontId="25" fillId="0" borderId="69" xfId="0" applyFont="1" applyBorder="1" applyAlignment="1">
      <alignment/>
    </xf>
    <xf numFmtId="3" fontId="19" fillId="0" borderId="70" xfId="0" applyNumberFormat="1" applyFont="1" applyBorder="1" applyAlignment="1">
      <alignment/>
    </xf>
    <xf numFmtId="0" fontId="19" fillId="0" borderId="71" xfId="0" applyFont="1" applyBorder="1" applyAlignment="1">
      <alignment/>
    </xf>
    <xf numFmtId="3" fontId="19" fillId="0" borderId="72" xfId="0" applyNumberFormat="1" applyFont="1" applyBorder="1" applyAlignment="1">
      <alignment/>
    </xf>
    <xf numFmtId="3" fontId="25" fillId="24" borderId="63" xfId="0" applyNumberFormat="1" applyFont="1" applyFill="1" applyBorder="1" applyAlignment="1">
      <alignment/>
    </xf>
    <xf numFmtId="3" fontId="19" fillId="24" borderId="62" xfId="0" applyNumberFormat="1" applyFont="1" applyFill="1" applyBorder="1" applyAlignment="1">
      <alignment/>
    </xf>
    <xf numFmtId="3" fontId="19" fillId="24" borderId="66" xfId="0" applyNumberFormat="1" applyFont="1" applyFill="1" applyBorder="1" applyAlignment="1">
      <alignment/>
    </xf>
    <xf numFmtId="3" fontId="19" fillId="24" borderId="65" xfId="0" applyNumberFormat="1" applyFont="1" applyFill="1" applyBorder="1" applyAlignment="1">
      <alignment/>
    </xf>
    <xf numFmtId="3" fontId="19" fillId="24" borderId="72" xfId="0" applyNumberFormat="1" applyFont="1" applyFill="1" applyBorder="1" applyAlignment="1">
      <alignment/>
    </xf>
    <xf numFmtId="3" fontId="19" fillId="0" borderId="73" xfId="0" applyNumberFormat="1" applyFont="1" applyBorder="1" applyAlignment="1">
      <alignment/>
    </xf>
    <xf numFmtId="3" fontId="25" fillId="24" borderId="74" xfId="0" applyNumberFormat="1" applyFont="1" applyFill="1" applyBorder="1" applyAlignment="1">
      <alignment/>
    </xf>
    <xf numFmtId="0" fontId="23" fillId="0" borderId="30" xfId="0" applyFont="1" applyBorder="1" applyAlignment="1">
      <alignment/>
    </xf>
    <xf numFmtId="0" fontId="19" fillId="0" borderId="29" xfId="0" applyFont="1" applyBorder="1" applyAlignment="1">
      <alignment/>
    </xf>
    <xf numFmtId="3" fontId="25" fillId="0" borderId="75" xfId="0" applyNumberFormat="1" applyFont="1" applyBorder="1" applyAlignment="1">
      <alignment/>
    </xf>
    <xf numFmtId="0" fontId="19" fillId="0" borderId="75" xfId="0" applyFont="1" applyBorder="1" applyAlignment="1">
      <alignment/>
    </xf>
    <xf numFmtId="0" fontId="23" fillId="0" borderId="76" xfId="0" applyFont="1" applyBorder="1" applyAlignment="1">
      <alignment/>
    </xf>
    <xf numFmtId="0" fontId="34" fillId="0" borderId="77" xfId="0" applyFont="1" applyBorder="1" applyAlignment="1">
      <alignment horizontal="center" vertical="center" wrapText="1"/>
    </xf>
    <xf numFmtId="0" fontId="25" fillId="0" borderId="78" xfId="0" applyFont="1" applyBorder="1" applyAlignment="1">
      <alignment/>
    </xf>
    <xf numFmtId="3" fontId="19" fillId="0" borderId="79" xfId="0" applyNumberFormat="1" applyFont="1" applyBorder="1" applyAlignment="1">
      <alignment/>
    </xf>
    <xf numFmtId="0" fontId="19" fillId="0" borderId="78" xfId="0" applyFont="1" applyBorder="1" applyAlignment="1">
      <alignment/>
    </xf>
    <xf numFmtId="3" fontId="25" fillId="0" borderId="79" xfId="0" applyNumberFormat="1" applyFont="1" applyBorder="1" applyAlignment="1">
      <alignment/>
    </xf>
    <xf numFmtId="0" fontId="0" fillId="0" borderId="79" xfId="0" applyBorder="1" applyAlignment="1">
      <alignment/>
    </xf>
    <xf numFmtId="0" fontId="19" fillId="0" borderId="80" xfId="0" applyFont="1" applyBorder="1" applyAlignment="1">
      <alignment/>
    </xf>
    <xf numFmtId="3" fontId="19" fillId="0" borderId="81" xfId="0" applyNumberFormat="1" applyFont="1" applyBorder="1" applyAlignment="1">
      <alignment/>
    </xf>
    <xf numFmtId="3" fontId="19" fillId="0" borderId="82" xfId="0" applyNumberFormat="1" applyFont="1" applyBorder="1" applyAlignment="1">
      <alignment/>
    </xf>
    <xf numFmtId="0" fontId="25" fillId="0" borderId="83" xfId="0" applyFont="1" applyBorder="1" applyAlignment="1">
      <alignment/>
    </xf>
    <xf numFmtId="3" fontId="25" fillId="0" borderId="84" xfId="0" applyNumberFormat="1" applyFont="1" applyBorder="1" applyAlignment="1">
      <alignment/>
    </xf>
    <xf numFmtId="3" fontId="25" fillId="0" borderId="81" xfId="0" applyNumberFormat="1" applyFont="1" applyBorder="1" applyAlignment="1">
      <alignment/>
    </xf>
    <xf numFmtId="3" fontId="25" fillId="0" borderId="82" xfId="0" applyNumberFormat="1" applyFont="1" applyBorder="1" applyAlignment="1">
      <alignment/>
    </xf>
    <xf numFmtId="0" fontId="0" fillId="0" borderId="85" xfId="0" applyBorder="1" applyAlignment="1">
      <alignment/>
    </xf>
    <xf numFmtId="0" fontId="25" fillId="0" borderId="3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86" xfId="0" applyFont="1" applyBorder="1" applyAlignment="1">
      <alignment/>
    </xf>
    <xf numFmtId="0" fontId="19" fillId="0" borderId="87" xfId="0" applyFont="1" applyBorder="1" applyAlignment="1">
      <alignment/>
    </xf>
    <xf numFmtId="0" fontId="19" fillId="0" borderId="88" xfId="0" applyFont="1" applyBorder="1" applyAlignment="1">
      <alignment/>
    </xf>
    <xf numFmtId="0" fontId="37" fillId="0" borderId="71" xfId="0" applyFont="1" applyBorder="1" applyAlignment="1">
      <alignment/>
    </xf>
    <xf numFmtId="0" fontId="19" fillId="0" borderId="89" xfId="0" applyFont="1" applyBorder="1" applyAlignment="1">
      <alignment/>
    </xf>
    <xf numFmtId="0" fontId="25" fillId="0" borderId="90" xfId="0" applyFont="1" applyBorder="1" applyAlignment="1">
      <alignment/>
    </xf>
    <xf numFmtId="0" fontId="25" fillId="0" borderId="71" xfId="0" applyFont="1" applyBorder="1" applyAlignment="1">
      <alignment/>
    </xf>
    <xf numFmtId="0" fontId="25" fillId="0" borderId="91" xfId="0" applyFont="1" applyBorder="1" applyAlignment="1">
      <alignment/>
    </xf>
    <xf numFmtId="0" fontId="25" fillId="0" borderId="92" xfId="0" applyFont="1" applyBorder="1" applyAlignment="1">
      <alignment/>
    </xf>
    <xf numFmtId="0" fontId="25" fillId="0" borderId="93" xfId="0" applyFont="1" applyBorder="1" applyAlignment="1">
      <alignment wrapText="1"/>
    </xf>
    <xf numFmtId="0" fontId="37" fillId="0" borderId="89" xfId="0" applyFont="1" applyBorder="1" applyAlignment="1">
      <alignment/>
    </xf>
    <xf numFmtId="0" fontId="37" fillId="0" borderId="93" xfId="0" applyFont="1" applyBorder="1" applyAlignment="1">
      <alignment/>
    </xf>
    <xf numFmtId="0" fontId="25" fillId="0" borderId="91" xfId="0" applyFont="1" applyBorder="1" applyAlignment="1">
      <alignment wrapText="1"/>
    </xf>
    <xf numFmtId="0" fontId="25" fillId="0" borderId="89" xfId="0" applyFont="1" applyBorder="1" applyAlignment="1">
      <alignment/>
    </xf>
    <xf numFmtId="0" fontId="25" fillId="24" borderId="91" xfId="0" applyFont="1" applyFill="1" applyBorder="1" applyAlignment="1">
      <alignment wrapText="1"/>
    </xf>
    <xf numFmtId="0" fontId="25" fillId="24" borderId="71" xfId="0" applyFont="1" applyFill="1" applyBorder="1" applyAlignment="1">
      <alignment/>
    </xf>
    <xf numFmtId="0" fontId="58" fillId="24" borderId="94" xfId="0" applyFont="1" applyFill="1" applyBorder="1" applyAlignment="1">
      <alignment/>
    </xf>
    <xf numFmtId="0" fontId="19" fillId="24" borderId="93" xfId="0" applyFont="1" applyFill="1" applyBorder="1" applyAlignment="1">
      <alignment/>
    </xf>
    <xf numFmtId="0" fontId="19" fillId="24" borderId="95" xfId="0" applyFont="1" applyFill="1" applyBorder="1" applyAlignment="1">
      <alignment/>
    </xf>
    <xf numFmtId="0" fontId="25" fillId="24" borderId="90" xfId="0" applyFont="1" applyFill="1" applyBorder="1" applyAlignment="1">
      <alignment/>
    </xf>
    <xf numFmtId="0" fontId="19" fillId="24" borderId="89" xfId="0" applyFont="1" applyFill="1" applyBorder="1" applyAlignment="1">
      <alignment/>
    </xf>
    <xf numFmtId="0" fontId="58" fillId="0" borderId="96" xfId="0" applyFont="1" applyBorder="1" applyAlignment="1">
      <alignment wrapText="1"/>
    </xf>
    <xf numFmtId="0" fontId="41" fillId="0" borderId="92" xfId="0" applyFont="1" applyBorder="1" applyAlignment="1">
      <alignment/>
    </xf>
    <xf numFmtId="0" fontId="41" fillId="0" borderId="89" xfId="0" applyFont="1" applyBorder="1" applyAlignment="1">
      <alignment/>
    </xf>
    <xf numFmtId="0" fontId="25" fillId="24" borderId="97" xfId="0" applyFont="1" applyFill="1" applyBorder="1" applyAlignment="1">
      <alignment/>
    </xf>
    <xf numFmtId="0" fontId="25" fillId="0" borderId="98" xfId="0" applyFont="1" applyBorder="1" applyAlignment="1">
      <alignment/>
    </xf>
    <xf numFmtId="0" fontId="25" fillId="0" borderId="90" xfId="0" applyFont="1" applyBorder="1" applyAlignment="1">
      <alignment wrapText="1"/>
    </xf>
    <xf numFmtId="3" fontId="25" fillId="0" borderId="85" xfId="0" applyNumberFormat="1" applyFont="1" applyBorder="1" applyAlignment="1">
      <alignment/>
    </xf>
    <xf numFmtId="0" fontId="25" fillId="24" borderId="90" xfId="0" applyFont="1" applyFill="1" applyBorder="1" applyAlignment="1">
      <alignment wrapText="1"/>
    </xf>
    <xf numFmtId="3" fontId="19" fillId="0" borderId="99" xfId="0" applyNumberFormat="1" applyFont="1" applyBorder="1" applyAlignment="1">
      <alignment/>
    </xf>
    <xf numFmtId="3" fontId="25" fillId="0" borderId="100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25" fillId="0" borderId="99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5" fillId="0" borderId="101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25" fillId="0" borderId="99" xfId="0" applyNumberFormat="1" applyFont="1" applyBorder="1" applyAlignment="1">
      <alignment/>
    </xf>
    <xf numFmtId="3" fontId="25" fillId="0" borderId="100" xfId="0" applyNumberFormat="1" applyFont="1" applyBorder="1" applyAlignment="1">
      <alignment/>
    </xf>
    <xf numFmtId="3" fontId="25" fillId="0" borderId="102" xfId="0" applyNumberFormat="1" applyFont="1" applyBorder="1" applyAlignment="1">
      <alignment/>
    </xf>
    <xf numFmtId="3" fontId="19" fillId="0" borderId="86" xfId="0" applyNumberFormat="1" applyFont="1" applyBorder="1" applyAlignment="1">
      <alignment/>
    </xf>
    <xf numFmtId="3" fontId="25" fillId="0" borderId="103" xfId="0" applyNumberFormat="1" applyFont="1" applyBorder="1" applyAlignment="1">
      <alignment/>
    </xf>
    <xf numFmtId="3" fontId="19" fillId="0" borderId="104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25" fillId="0" borderId="86" xfId="0" applyNumberFormat="1" applyFont="1" applyBorder="1" applyAlignment="1">
      <alignment/>
    </xf>
    <xf numFmtId="3" fontId="19" fillId="0" borderId="103" xfId="0" applyNumberFormat="1" applyFont="1" applyBorder="1" applyAlignment="1">
      <alignment/>
    </xf>
    <xf numFmtId="3" fontId="25" fillId="0" borderId="105" xfId="0" applyNumberFormat="1" applyFont="1" applyBorder="1" applyAlignment="1">
      <alignment/>
    </xf>
    <xf numFmtId="3" fontId="25" fillId="0" borderId="104" xfId="0" applyNumberFormat="1" applyFont="1" applyBorder="1" applyAlignment="1">
      <alignment/>
    </xf>
    <xf numFmtId="3" fontId="19" fillId="24" borderId="104" xfId="0" applyNumberFormat="1" applyFont="1" applyFill="1" applyBorder="1" applyAlignment="1">
      <alignment/>
    </xf>
    <xf numFmtId="3" fontId="19" fillId="0" borderId="106" xfId="0" applyNumberFormat="1" applyFont="1" applyBorder="1" applyAlignment="1">
      <alignment/>
    </xf>
    <xf numFmtId="3" fontId="25" fillId="0" borderId="86" xfId="0" applyNumberFormat="1" applyFont="1" applyBorder="1" applyAlignment="1">
      <alignment/>
    </xf>
    <xf numFmtId="3" fontId="25" fillId="0" borderId="103" xfId="0" applyNumberFormat="1" applyFont="1" applyBorder="1" applyAlignment="1">
      <alignment/>
    </xf>
    <xf numFmtId="3" fontId="25" fillId="0" borderId="104" xfId="0" applyNumberFormat="1" applyFont="1" applyBorder="1" applyAlignment="1">
      <alignment/>
    </xf>
    <xf numFmtId="3" fontId="25" fillId="0" borderId="106" xfId="0" applyNumberFormat="1" applyFont="1" applyBorder="1" applyAlignment="1">
      <alignment/>
    </xf>
    <xf numFmtId="0" fontId="25" fillId="0" borderId="76" xfId="0" applyFont="1" applyBorder="1" applyAlignment="1">
      <alignment horizontal="center"/>
    </xf>
    <xf numFmtId="0" fontId="25" fillId="0" borderId="107" xfId="0" applyFont="1" applyBorder="1" applyAlignment="1">
      <alignment horizontal="center"/>
    </xf>
    <xf numFmtId="3" fontId="25" fillId="0" borderId="55" xfId="0" applyNumberFormat="1" applyFont="1" applyBorder="1" applyAlignment="1">
      <alignment/>
    </xf>
    <xf numFmtId="3" fontId="19" fillId="0" borderId="108" xfId="0" applyNumberFormat="1" applyFont="1" applyBorder="1" applyAlignment="1">
      <alignment/>
    </xf>
    <xf numFmtId="3" fontId="25" fillId="0" borderId="54" xfId="0" applyNumberFormat="1" applyFont="1" applyBorder="1" applyAlignment="1">
      <alignment/>
    </xf>
    <xf numFmtId="3" fontId="25" fillId="0" borderId="108" xfId="0" applyNumberFormat="1" applyFont="1" applyBorder="1" applyAlignment="1">
      <alignment/>
    </xf>
    <xf numFmtId="3" fontId="25" fillId="0" borderId="54" xfId="0" applyNumberFormat="1" applyFont="1" applyBorder="1" applyAlignment="1">
      <alignment/>
    </xf>
    <xf numFmtId="3" fontId="25" fillId="0" borderId="55" xfId="0" applyNumberFormat="1" applyFont="1" applyBorder="1" applyAlignment="1">
      <alignment/>
    </xf>
    <xf numFmtId="3" fontId="19" fillId="24" borderId="103" xfId="0" applyNumberFormat="1" applyFont="1" applyFill="1" applyBorder="1" applyAlignment="1">
      <alignment/>
    </xf>
    <xf numFmtId="0" fontId="19" fillId="0" borderId="93" xfId="0" applyFont="1" applyBorder="1" applyAlignment="1">
      <alignment/>
    </xf>
    <xf numFmtId="0" fontId="25" fillId="24" borderId="0" xfId="0" applyFont="1" applyFill="1" applyBorder="1" applyAlignment="1">
      <alignment/>
    </xf>
    <xf numFmtId="3" fontId="19" fillId="24" borderId="86" xfId="0" applyNumberFormat="1" applyFont="1" applyFill="1" applyBorder="1" applyAlignment="1">
      <alignment/>
    </xf>
    <xf numFmtId="0" fontId="0" fillId="0" borderId="86" xfId="0" applyFont="1" applyBorder="1" applyAlignment="1">
      <alignment/>
    </xf>
    <xf numFmtId="3" fontId="19" fillId="0" borderId="99" xfId="0" applyNumberFormat="1" applyFont="1" applyBorder="1" applyAlignment="1">
      <alignment/>
    </xf>
    <xf numFmtId="3" fontId="19" fillId="0" borderId="86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0" fontId="25" fillId="0" borderId="90" xfId="0" applyFont="1" applyBorder="1" applyAlignment="1">
      <alignment horizontal="center" wrapText="1"/>
    </xf>
    <xf numFmtId="0" fontId="25" fillId="0" borderId="104" xfId="0" applyFont="1" applyBorder="1" applyAlignment="1">
      <alignment horizontal="center" vertical="center" wrapText="1"/>
    </xf>
    <xf numFmtId="0" fontId="58" fillId="0" borderId="109" xfId="0" applyFont="1" applyBorder="1" applyAlignment="1">
      <alignment horizontal="center" wrapText="1"/>
    </xf>
    <xf numFmtId="0" fontId="41" fillId="0" borderId="110" xfId="0" applyFont="1" applyBorder="1" applyAlignment="1">
      <alignment/>
    </xf>
    <xf numFmtId="3" fontId="19" fillId="0" borderId="103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5" fillId="0" borderId="105" xfId="0" applyNumberFormat="1" applyFont="1" applyBorder="1" applyAlignment="1">
      <alignment/>
    </xf>
    <xf numFmtId="3" fontId="25" fillId="0" borderId="101" xfId="0" applyNumberFormat="1" applyFont="1" applyBorder="1" applyAlignment="1">
      <alignment/>
    </xf>
    <xf numFmtId="3" fontId="19" fillId="0" borderId="106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2" xfId="0" applyFont="1" applyBorder="1" applyAlignment="1">
      <alignment/>
    </xf>
    <xf numFmtId="0" fontId="41" fillId="0" borderId="98" xfId="0" applyFont="1" applyBorder="1" applyAlignment="1">
      <alignment/>
    </xf>
    <xf numFmtId="0" fontId="25" fillId="0" borderId="86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3" fontId="25" fillId="2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54" xfId="0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24" borderId="105" xfId="0" applyNumberFormat="1" applyFont="1" applyFill="1" applyBorder="1" applyAlignment="1">
      <alignment/>
    </xf>
    <xf numFmtId="3" fontId="25" fillId="24" borderId="104" xfId="0" applyNumberFormat="1" applyFont="1" applyFill="1" applyBorder="1" applyAlignment="1">
      <alignment/>
    </xf>
    <xf numFmtId="3" fontId="19" fillId="24" borderId="106" xfId="0" applyNumberFormat="1" applyFont="1" applyFill="1" applyBorder="1" applyAlignment="1">
      <alignment/>
    </xf>
    <xf numFmtId="3" fontId="25" fillId="24" borderId="106" xfId="0" applyNumberFormat="1" applyFont="1" applyFill="1" applyBorder="1" applyAlignment="1">
      <alignment/>
    </xf>
    <xf numFmtId="3" fontId="25" fillId="24" borderId="102" xfId="0" applyNumberFormat="1" applyFont="1" applyFill="1" applyBorder="1" applyAlignment="1">
      <alignment/>
    </xf>
    <xf numFmtId="0" fontId="25" fillId="0" borderId="86" xfId="0" applyFont="1" applyBorder="1" applyAlignment="1">
      <alignment horizontal="center" wrapText="1"/>
    </xf>
    <xf numFmtId="0" fontId="25" fillId="0" borderId="99" xfId="0" applyFont="1" applyBorder="1" applyAlignment="1">
      <alignment horizontal="center" wrapText="1"/>
    </xf>
    <xf numFmtId="0" fontId="58" fillId="0" borderId="86" xfId="0" applyFont="1" applyBorder="1" applyAlignment="1">
      <alignment wrapText="1"/>
    </xf>
    <xf numFmtId="0" fontId="31" fillId="0" borderId="104" xfId="0" applyFont="1" applyBorder="1" applyAlignment="1">
      <alignment/>
    </xf>
    <xf numFmtId="3" fontId="31" fillId="0" borderId="104" xfId="0" applyNumberFormat="1" applyFont="1" applyBorder="1" applyAlignment="1">
      <alignment/>
    </xf>
    <xf numFmtId="0" fontId="25" fillId="0" borderId="77" xfId="0" applyFont="1" applyBorder="1" applyAlignment="1">
      <alignment horizontal="center"/>
    </xf>
    <xf numFmtId="0" fontId="34" fillId="0" borderId="111" xfId="0" applyFont="1" applyBorder="1" applyAlignment="1">
      <alignment horizontal="center"/>
    </xf>
    <xf numFmtId="0" fontId="34" fillId="0" borderId="112" xfId="0" applyFont="1" applyBorder="1" applyAlignment="1">
      <alignment horizontal="center"/>
    </xf>
    <xf numFmtId="3" fontId="19" fillId="0" borderId="16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0" borderId="51" xfId="0" applyNumberFormat="1" applyFont="1" applyBorder="1" applyAlignment="1">
      <alignment horizontal="right"/>
    </xf>
    <xf numFmtId="3" fontId="19" fillId="0" borderId="52" xfId="0" applyNumberFormat="1" applyFont="1" applyBorder="1" applyAlignment="1">
      <alignment horizontal="right"/>
    </xf>
    <xf numFmtId="3" fontId="25" fillId="0" borderId="53" xfId="0" applyNumberFormat="1" applyFont="1" applyBorder="1" applyAlignment="1">
      <alignment horizontal="right"/>
    </xf>
    <xf numFmtId="3" fontId="25" fillId="0" borderId="54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78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83" xfId="0" applyFont="1" applyBorder="1" applyAlignment="1">
      <alignment horizontal="left"/>
    </xf>
    <xf numFmtId="0" fontId="23" fillId="0" borderId="85" xfId="0" applyFont="1" applyBorder="1" applyAlignment="1">
      <alignment horizontal="center"/>
    </xf>
    <xf numFmtId="0" fontId="19" fillId="0" borderId="113" xfId="0" applyFont="1" applyBorder="1" applyAlignment="1">
      <alignment/>
    </xf>
    <xf numFmtId="0" fontId="19" fillId="0" borderId="114" xfId="0" applyFont="1" applyBorder="1" applyAlignment="1">
      <alignment/>
    </xf>
    <xf numFmtId="0" fontId="19" fillId="0" borderId="85" xfId="0" applyFont="1" applyBorder="1" applyAlignment="1">
      <alignment/>
    </xf>
    <xf numFmtId="0" fontId="25" fillId="0" borderId="104" xfId="0" applyFont="1" applyBorder="1" applyAlignment="1">
      <alignment/>
    </xf>
    <xf numFmtId="0" fontId="19" fillId="0" borderId="115" xfId="0" applyFont="1" applyBorder="1" applyAlignment="1">
      <alignment/>
    </xf>
    <xf numFmtId="0" fontId="25" fillId="0" borderId="116" xfId="0" applyFont="1" applyBorder="1" applyAlignment="1">
      <alignment horizontal="center"/>
    </xf>
    <xf numFmtId="0" fontId="25" fillId="0" borderId="106" xfId="0" applyFont="1" applyBorder="1" applyAlignment="1">
      <alignment horizontal="center"/>
    </xf>
    <xf numFmtId="0" fontId="25" fillId="0" borderId="86" xfId="0" applyFont="1" applyBorder="1" applyAlignment="1">
      <alignment horizontal="center"/>
    </xf>
    <xf numFmtId="3" fontId="19" fillId="0" borderId="117" xfId="0" applyNumberFormat="1" applyFont="1" applyBorder="1" applyAlignment="1">
      <alignment/>
    </xf>
    <xf numFmtId="3" fontId="25" fillId="0" borderId="117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3" fontId="25" fillId="0" borderId="119" xfId="0" applyNumberFormat="1" applyFont="1" applyBorder="1" applyAlignment="1">
      <alignment/>
    </xf>
    <xf numFmtId="0" fontId="23" fillId="0" borderId="76" xfId="0" applyFont="1" applyBorder="1" applyAlignment="1">
      <alignment horizontal="center"/>
    </xf>
    <xf numFmtId="0" fontId="25" fillId="0" borderId="93" xfId="0" applyFont="1" applyBorder="1" applyAlignment="1">
      <alignment/>
    </xf>
    <xf numFmtId="0" fontId="25" fillId="0" borderId="88" xfId="0" applyFont="1" applyBorder="1" applyAlignment="1">
      <alignment/>
    </xf>
    <xf numFmtId="0" fontId="19" fillId="0" borderId="94" xfId="0" applyFont="1" applyBorder="1" applyAlignment="1">
      <alignment/>
    </xf>
    <xf numFmtId="0" fontId="19" fillId="0" borderId="107" xfId="0" applyFont="1" applyBorder="1" applyAlignment="1">
      <alignment/>
    </xf>
    <xf numFmtId="0" fontId="25" fillId="0" borderId="97" xfId="0" applyFont="1" applyBorder="1" applyAlignment="1">
      <alignment/>
    </xf>
    <xf numFmtId="0" fontId="48" fillId="0" borderId="0" xfId="0" applyFont="1" applyAlignment="1">
      <alignment horizontal="center"/>
    </xf>
    <xf numFmtId="0" fontId="19" fillId="0" borderId="18" xfId="0" applyFont="1" applyFill="1" applyBorder="1" applyAlignment="1">
      <alignment/>
    </xf>
    <xf numFmtId="0" fontId="50" fillId="0" borderId="35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23" fillId="0" borderId="20" xfId="0" applyFont="1" applyBorder="1" applyAlignment="1">
      <alignment horizontal="center" wrapText="1"/>
    </xf>
    <xf numFmtId="0" fontId="48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2" xfId="0" applyFont="1" applyBorder="1" applyAlignment="1">
      <alignment wrapText="1"/>
    </xf>
    <xf numFmtId="0" fontId="33" fillId="0" borderId="29" xfId="0" applyFont="1" applyBorder="1" applyAlignment="1">
      <alignment wrapText="1"/>
    </xf>
    <xf numFmtId="0" fontId="33" fillId="0" borderId="18" xfId="0" applyFont="1" applyBorder="1" applyAlignment="1">
      <alignment wrapText="1"/>
    </xf>
    <xf numFmtId="0" fontId="33" fillId="0" borderId="15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33" fillId="0" borderId="11" xfId="0" applyFont="1" applyBorder="1" applyAlignment="1">
      <alignment/>
    </xf>
    <xf numFmtId="0" fontId="33" fillId="0" borderId="19" xfId="0" applyFont="1" applyBorder="1" applyAlignment="1">
      <alignment/>
    </xf>
    <xf numFmtId="0" fontId="23" fillId="0" borderId="0" xfId="0" applyFont="1" applyBorder="1" applyAlignment="1">
      <alignment/>
    </xf>
    <xf numFmtId="167" fontId="23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19" fillId="0" borderId="120" xfId="0" applyFont="1" applyBorder="1" applyAlignment="1">
      <alignment/>
    </xf>
    <xf numFmtId="0" fontId="33" fillId="0" borderId="18" xfId="0" applyFont="1" applyBorder="1" applyAlignment="1">
      <alignment vertical="center"/>
    </xf>
    <xf numFmtId="0" fontId="19" fillId="0" borderId="23" xfId="0" applyFont="1" applyBorder="1" applyAlignment="1">
      <alignment/>
    </xf>
    <xf numFmtId="0" fontId="32" fillId="0" borderId="0" xfId="0" applyFont="1" applyAlignment="1">
      <alignment/>
    </xf>
    <xf numFmtId="0" fontId="19" fillId="0" borderId="116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104" xfId="0" applyFont="1" applyBorder="1" applyAlignment="1">
      <alignment horizontal="center"/>
    </xf>
    <xf numFmtId="0" fontId="19" fillId="0" borderId="104" xfId="0" applyFont="1" applyFill="1" applyBorder="1" applyAlignment="1">
      <alignment horizontal="center"/>
    </xf>
    <xf numFmtId="0" fontId="19" fillId="0" borderId="105" xfId="0" applyFont="1" applyBorder="1" applyAlignment="1">
      <alignment/>
    </xf>
    <xf numFmtId="0" fontId="19" fillId="0" borderId="108" xfId="0" applyFont="1" applyBorder="1" applyAlignment="1">
      <alignment/>
    </xf>
    <xf numFmtId="0" fontId="33" fillId="0" borderId="121" xfId="0" applyFont="1" applyBorder="1" applyAlignment="1">
      <alignment horizontal="center"/>
    </xf>
    <xf numFmtId="0" fontId="49" fillId="0" borderId="90" xfId="0" applyFont="1" applyBorder="1" applyAlignment="1">
      <alignment/>
    </xf>
    <xf numFmtId="0" fontId="33" fillId="0" borderId="122" xfId="0" applyFont="1" applyBorder="1" applyAlignment="1">
      <alignment/>
    </xf>
    <xf numFmtId="0" fontId="32" fillId="0" borderId="90" xfId="0" applyFont="1" applyBorder="1" applyAlignment="1">
      <alignment/>
    </xf>
    <xf numFmtId="0" fontId="32" fillId="0" borderId="89" xfId="0" applyFont="1" applyBorder="1" applyAlignment="1">
      <alignment/>
    </xf>
    <xf numFmtId="0" fontId="61" fillId="0" borderId="93" xfId="0" applyFont="1" applyBorder="1" applyAlignment="1">
      <alignment/>
    </xf>
    <xf numFmtId="0" fontId="32" fillId="0" borderId="93" xfId="0" applyFont="1" applyFill="1" applyBorder="1" applyAlignment="1">
      <alignment/>
    </xf>
    <xf numFmtId="0" fontId="32" fillId="0" borderId="89" xfId="0" applyFont="1" applyFill="1" applyBorder="1" applyAlignment="1">
      <alignment/>
    </xf>
    <xf numFmtId="0" fontId="49" fillId="0" borderId="90" xfId="0" applyFont="1" applyBorder="1" applyAlignment="1">
      <alignment/>
    </xf>
    <xf numFmtId="3" fontId="32" fillId="0" borderId="75" xfId="0" applyNumberFormat="1" applyFont="1" applyBorder="1" applyAlignment="1">
      <alignment/>
    </xf>
    <xf numFmtId="3" fontId="32" fillId="0" borderId="75" xfId="40" applyNumberFormat="1" applyFont="1" applyFill="1" applyBorder="1" applyAlignment="1" applyProtection="1">
      <alignment/>
      <protection/>
    </xf>
    <xf numFmtId="0" fontId="19" fillId="0" borderId="123" xfId="0" applyFont="1" applyBorder="1" applyAlignment="1">
      <alignment/>
    </xf>
    <xf numFmtId="0" fontId="19" fillId="0" borderId="123" xfId="0" applyFont="1" applyBorder="1" applyAlignment="1">
      <alignment wrapText="1"/>
    </xf>
    <xf numFmtId="0" fontId="49" fillId="0" borderId="124" xfId="0" applyFont="1" applyBorder="1" applyAlignment="1">
      <alignment/>
    </xf>
    <xf numFmtId="0" fontId="49" fillId="0" borderId="125" xfId="0" applyFont="1" applyBorder="1" applyAlignment="1">
      <alignment/>
    </xf>
    <xf numFmtId="3" fontId="25" fillId="0" borderId="125" xfId="40" applyNumberFormat="1" applyFont="1" applyFill="1" applyBorder="1" applyAlignment="1" applyProtection="1">
      <alignment/>
      <protection/>
    </xf>
    <xf numFmtId="3" fontId="49" fillId="0" borderId="125" xfId="40" applyNumberFormat="1" applyFont="1" applyFill="1" applyBorder="1" applyAlignment="1" applyProtection="1">
      <alignment/>
      <protection/>
    </xf>
    <xf numFmtId="3" fontId="49" fillId="0" borderId="126" xfId="40" applyNumberFormat="1" applyFont="1" applyFill="1" applyBorder="1" applyAlignment="1" applyProtection="1">
      <alignment/>
      <protection/>
    </xf>
    <xf numFmtId="3" fontId="25" fillId="0" borderId="126" xfId="40" applyNumberFormat="1" applyFont="1" applyFill="1" applyBorder="1" applyAlignment="1" applyProtection="1">
      <alignment/>
      <protection/>
    </xf>
    <xf numFmtId="3" fontId="49" fillId="0" borderId="127" xfId="40" applyNumberFormat="1" applyFont="1" applyFill="1" applyBorder="1" applyAlignment="1" applyProtection="1">
      <alignment/>
      <protection/>
    </xf>
    <xf numFmtId="0" fontId="0" fillId="0" borderId="128" xfId="0" applyBorder="1" applyAlignment="1">
      <alignment/>
    </xf>
    <xf numFmtId="0" fontId="25" fillId="0" borderId="79" xfId="0" applyFont="1" applyBorder="1" applyAlignment="1">
      <alignment horizontal="center"/>
    </xf>
    <xf numFmtId="3" fontId="32" fillId="0" borderId="129" xfId="0" applyNumberFormat="1" applyFont="1" applyBorder="1" applyAlignment="1">
      <alignment/>
    </xf>
    <xf numFmtId="3" fontId="32" fillId="0" borderId="129" xfId="40" applyNumberFormat="1" applyFont="1" applyFill="1" applyBorder="1" applyAlignment="1" applyProtection="1">
      <alignment/>
      <protection/>
    </xf>
    <xf numFmtId="3" fontId="19" fillId="0" borderId="129" xfId="0" applyNumberFormat="1" applyFont="1" applyBorder="1" applyAlignment="1">
      <alignment/>
    </xf>
    <xf numFmtId="0" fontId="33" fillId="0" borderId="16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19" fillId="0" borderId="2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120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3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3" fontId="19" fillId="0" borderId="41" xfId="0" applyNumberFormat="1" applyFont="1" applyBorder="1" applyAlignment="1">
      <alignment vertical="center"/>
    </xf>
    <xf numFmtId="3" fontId="19" fillId="0" borderId="131" xfId="0" applyNumberFormat="1" applyFont="1" applyBorder="1" applyAlignment="1">
      <alignment vertical="center"/>
    </xf>
    <xf numFmtId="3" fontId="25" fillId="0" borderId="132" xfId="0" applyNumberFormat="1" applyFont="1" applyBorder="1" applyAlignment="1">
      <alignment horizontal="right" vertical="center"/>
    </xf>
    <xf numFmtId="3" fontId="19" fillId="0" borderId="133" xfId="0" applyNumberFormat="1" applyFont="1" applyBorder="1" applyAlignment="1">
      <alignment vertical="center"/>
    </xf>
    <xf numFmtId="0" fontId="50" fillId="0" borderId="0" xfId="0" applyFont="1" applyAlignment="1">
      <alignment/>
    </xf>
    <xf numFmtId="3" fontId="33" fillId="0" borderId="16" xfId="0" applyNumberFormat="1" applyFont="1" applyBorder="1" applyAlignment="1">
      <alignment horizontal="right" vertical="center"/>
    </xf>
    <xf numFmtId="3" fontId="33" fillId="0" borderId="11" xfId="0" applyNumberFormat="1" applyFont="1" applyBorder="1" applyAlignment="1">
      <alignment horizontal="right" vertical="center"/>
    </xf>
    <xf numFmtId="3" fontId="33" fillId="0" borderId="19" xfId="0" applyNumberFormat="1" applyFont="1" applyBorder="1" applyAlignment="1">
      <alignment horizontal="right" vertical="center"/>
    </xf>
    <xf numFmtId="0" fontId="55" fillId="0" borderId="79" xfId="0" applyFont="1" applyBorder="1" applyAlignment="1">
      <alignment horizontal="center" vertical="center" wrapText="1"/>
    </xf>
    <xf numFmtId="3" fontId="43" fillId="0" borderId="79" xfId="40" applyNumberFormat="1" applyFont="1" applyFill="1" applyBorder="1" applyAlignment="1" applyProtection="1">
      <alignment horizontal="right"/>
      <protection/>
    </xf>
    <xf numFmtId="3" fontId="44" fillId="0" borderId="79" xfId="40" applyNumberFormat="1" applyFont="1" applyFill="1" applyBorder="1" applyAlignment="1" applyProtection="1">
      <alignment horizontal="right"/>
      <protection/>
    </xf>
    <xf numFmtId="3" fontId="54" fillId="0" borderId="128" xfId="40" applyNumberFormat="1" applyFont="1" applyFill="1" applyBorder="1" applyAlignment="1" applyProtection="1">
      <alignment horizontal="right"/>
      <protection/>
    </xf>
    <xf numFmtId="3" fontId="19" fillId="0" borderId="29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39" fillId="0" borderId="29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3" fontId="25" fillId="0" borderId="15" xfId="0" applyNumberFormat="1" applyFont="1" applyBorder="1" applyAlignment="1">
      <alignment/>
    </xf>
    <xf numFmtId="3" fontId="37" fillId="0" borderId="134" xfId="0" applyNumberFormat="1" applyFont="1" applyBorder="1" applyAlignment="1">
      <alignment/>
    </xf>
    <xf numFmtId="3" fontId="25" fillId="0" borderId="135" xfId="0" applyNumberFormat="1" applyFont="1" applyBorder="1" applyAlignment="1">
      <alignment/>
    </xf>
    <xf numFmtId="3" fontId="19" fillId="0" borderId="135" xfId="0" applyNumberFormat="1" applyFont="1" applyBorder="1" applyAlignment="1">
      <alignment/>
    </xf>
    <xf numFmtId="3" fontId="37" fillId="0" borderId="29" xfId="0" applyNumberFormat="1" applyFont="1" applyBorder="1" applyAlignment="1">
      <alignment/>
    </xf>
    <xf numFmtId="3" fontId="25" fillId="0" borderId="136" xfId="0" applyNumberFormat="1" applyFont="1" applyBorder="1" applyAlignment="1">
      <alignment/>
    </xf>
    <xf numFmtId="3" fontId="19" fillId="0" borderId="137" xfId="0" applyNumberFormat="1" applyFont="1" applyBorder="1" applyAlignment="1">
      <alignment/>
    </xf>
    <xf numFmtId="3" fontId="25" fillId="0" borderId="121" xfId="0" applyNumberFormat="1" applyFont="1" applyBorder="1" applyAlignment="1">
      <alignment/>
    </xf>
    <xf numFmtId="0" fontId="34" fillId="0" borderId="90" xfId="0" applyFont="1" applyBorder="1" applyAlignment="1">
      <alignment/>
    </xf>
    <xf numFmtId="3" fontId="19" fillId="0" borderId="136" xfId="0" applyNumberFormat="1" applyFont="1" applyBorder="1" applyAlignment="1">
      <alignment/>
    </xf>
    <xf numFmtId="0" fontId="34" fillId="0" borderId="58" xfId="0" applyFont="1" applyBorder="1" applyAlignment="1">
      <alignment horizontal="center" vertical="center" wrapText="1"/>
    </xf>
    <xf numFmtId="3" fontId="19" fillId="24" borderId="89" xfId="0" applyNumberFormat="1" applyFont="1" applyFill="1" applyBorder="1" applyAlignment="1">
      <alignment/>
    </xf>
    <xf numFmtId="3" fontId="19" fillId="0" borderId="138" xfId="0" applyNumberFormat="1" applyFont="1" applyBorder="1" applyAlignment="1">
      <alignment/>
    </xf>
    <xf numFmtId="3" fontId="19" fillId="0" borderId="88" xfId="0" applyNumberFormat="1" applyFont="1" applyBorder="1" applyAlignment="1">
      <alignment/>
    </xf>
    <xf numFmtId="3" fontId="19" fillId="0" borderId="139" xfId="0" applyNumberFormat="1" applyFont="1" applyBorder="1" applyAlignment="1">
      <alignment/>
    </xf>
    <xf numFmtId="3" fontId="19" fillId="0" borderId="89" xfId="0" applyNumberFormat="1" applyFont="1" applyBorder="1" applyAlignment="1">
      <alignment/>
    </xf>
    <xf numFmtId="3" fontId="25" fillId="0" borderId="91" xfId="0" applyNumberFormat="1" applyFont="1" applyBorder="1" applyAlignment="1">
      <alignment/>
    </xf>
    <xf numFmtId="3" fontId="25" fillId="0" borderId="140" xfId="0" applyNumberFormat="1" applyFont="1" applyBorder="1" applyAlignment="1">
      <alignment/>
    </xf>
    <xf numFmtId="3" fontId="25" fillId="0" borderId="93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37" fillId="0" borderId="88" xfId="0" applyNumberFormat="1" applyFont="1" applyBorder="1" applyAlignment="1">
      <alignment/>
    </xf>
    <xf numFmtId="3" fontId="37" fillId="0" borderId="139" xfId="0" applyNumberFormat="1" applyFont="1" applyBorder="1" applyAlignment="1">
      <alignment/>
    </xf>
    <xf numFmtId="3" fontId="37" fillId="0" borderId="94" xfId="0" applyNumberFormat="1" applyFont="1" applyBorder="1" applyAlignment="1">
      <alignment/>
    </xf>
    <xf numFmtId="3" fontId="37" fillId="0" borderId="141" xfId="0" applyNumberFormat="1" applyFont="1" applyBorder="1" applyAlignment="1">
      <alignment/>
    </xf>
    <xf numFmtId="3" fontId="37" fillId="0" borderId="89" xfId="0" applyNumberFormat="1" applyFont="1" applyBorder="1" applyAlignment="1">
      <alignment/>
    </xf>
    <xf numFmtId="3" fontId="37" fillId="0" borderId="102" xfId="0" applyNumberFormat="1" applyFont="1" applyBorder="1" applyAlignment="1">
      <alignment/>
    </xf>
    <xf numFmtId="3" fontId="25" fillId="0" borderId="90" xfId="0" applyNumberFormat="1" applyFont="1" applyBorder="1" applyAlignment="1">
      <alignment/>
    </xf>
    <xf numFmtId="3" fontId="25" fillId="0" borderId="71" xfId="0" applyNumberFormat="1" applyFont="1" applyBorder="1" applyAlignment="1">
      <alignment/>
    </xf>
    <xf numFmtId="3" fontId="19" fillId="0" borderId="142" xfId="0" applyNumberFormat="1" applyFont="1" applyBorder="1" applyAlignment="1">
      <alignment/>
    </xf>
    <xf numFmtId="3" fontId="19" fillId="0" borderId="143" xfId="0" applyNumberFormat="1" applyFont="1" applyBorder="1" applyAlignment="1">
      <alignment/>
    </xf>
    <xf numFmtId="3" fontId="19" fillId="0" borderId="90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3" fontId="39" fillId="0" borderId="102" xfId="0" applyNumberFormat="1" applyFont="1" applyBorder="1" applyAlignment="1">
      <alignment/>
    </xf>
    <xf numFmtId="3" fontId="25" fillId="0" borderId="89" xfId="0" applyNumberFormat="1" applyFont="1" applyBorder="1" applyAlignment="1">
      <alignment/>
    </xf>
    <xf numFmtId="3" fontId="25" fillId="0" borderId="102" xfId="0" applyNumberFormat="1" applyFont="1" applyBorder="1" applyAlignment="1">
      <alignment/>
    </xf>
    <xf numFmtId="0" fontId="34" fillId="0" borderId="144" xfId="0" applyFont="1" applyBorder="1" applyAlignment="1">
      <alignment horizontal="center" vertical="center" wrapText="1"/>
    </xf>
    <xf numFmtId="3" fontId="25" fillId="0" borderId="109" xfId="0" applyNumberFormat="1" applyFont="1" applyBorder="1" applyAlignment="1">
      <alignment/>
    </xf>
    <xf numFmtId="0" fontId="34" fillId="0" borderId="116" xfId="0" applyFont="1" applyBorder="1" applyAlignment="1">
      <alignment horizontal="center" vertical="center" wrapText="1"/>
    </xf>
    <xf numFmtId="3" fontId="25" fillId="0" borderId="145" xfId="0" applyNumberFormat="1" applyFont="1" applyBorder="1" applyAlignment="1">
      <alignment/>
    </xf>
    <xf numFmtId="3" fontId="19" fillId="0" borderId="146" xfId="0" applyNumberFormat="1" applyFont="1" applyBorder="1" applyAlignment="1">
      <alignment/>
    </xf>
    <xf numFmtId="3" fontId="37" fillId="0" borderId="117" xfId="0" applyNumberFormat="1" applyFont="1" applyBorder="1" applyAlignment="1">
      <alignment/>
    </xf>
    <xf numFmtId="3" fontId="37" fillId="0" borderId="118" xfId="0" applyNumberFormat="1" applyFont="1" applyBorder="1" applyAlignment="1">
      <alignment/>
    </xf>
    <xf numFmtId="3" fontId="37" fillId="0" borderId="106" xfId="0" applyNumberFormat="1" applyFont="1" applyBorder="1" applyAlignment="1">
      <alignment/>
    </xf>
    <xf numFmtId="3" fontId="25" fillId="0" borderId="146" xfId="0" applyNumberFormat="1" applyFont="1" applyBorder="1" applyAlignment="1">
      <alignment/>
    </xf>
    <xf numFmtId="3" fontId="19" fillId="0" borderId="147" xfId="0" applyNumberFormat="1" applyFont="1" applyBorder="1" applyAlignment="1">
      <alignment/>
    </xf>
    <xf numFmtId="3" fontId="39" fillId="0" borderId="106" xfId="0" applyNumberFormat="1" applyFont="1" applyBorder="1" applyAlignment="1">
      <alignment/>
    </xf>
    <xf numFmtId="3" fontId="25" fillId="0" borderId="106" xfId="0" applyNumberFormat="1" applyFont="1" applyBorder="1" applyAlignment="1">
      <alignment/>
    </xf>
    <xf numFmtId="0" fontId="37" fillId="0" borderId="148" xfId="0" applyFont="1" applyBorder="1" applyAlignment="1">
      <alignment horizontal="center" vertical="center" wrapText="1"/>
    </xf>
    <xf numFmtId="0" fontId="37" fillId="0" borderId="149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25" fillId="0" borderId="90" xfId="0" applyFont="1" applyBorder="1" applyAlignment="1">
      <alignment vertical="center"/>
    </xf>
    <xf numFmtId="3" fontId="37" fillId="0" borderId="83" xfId="0" applyNumberFormat="1" applyFont="1" applyBorder="1" applyAlignment="1">
      <alignment horizontal="right" vertical="center" wrapText="1"/>
    </xf>
    <xf numFmtId="3" fontId="37" fillId="0" borderId="122" xfId="0" applyNumberFormat="1" applyFont="1" applyBorder="1" applyAlignment="1">
      <alignment horizontal="right" vertical="center" wrapText="1"/>
    </xf>
    <xf numFmtId="3" fontId="37" fillId="0" borderId="104" xfId="0" applyNumberFormat="1" applyFont="1" applyBorder="1" applyAlignment="1">
      <alignment horizontal="right" vertical="center" wrapText="1"/>
    </xf>
    <xf numFmtId="3" fontId="19" fillId="0" borderId="121" xfId="0" applyNumberFormat="1" applyFont="1" applyBorder="1" applyAlignment="1">
      <alignment/>
    </xf>
    <xf numFmtId="0" fontId="34" fillId="0" borderId="90" xfId="0" applyFont="1" applyBorder="1" applyAlignment="1">
      <alignment wrapText="1"/>
    </xf>
    <xf numFmtId="3" fontId="39" fillId="0" borderId="136" xfId="0" applyNumberFormat="1" applyFont="1" applyBorder="1" applyAlignment="1">
      <alignment/>
    </xf>
    <xf numFmtId="3" fontId="25" fillId="0" borderId="150" xfId="0" applyNumberFormat="1" applyFont="1" applyBorder="1" applyAlignment="1">
      <alignment/>
    </xf>
    <xf numFmtId="3" fontId="25" fillId="0" borderId="151" xfId="0" applyNumberFormat="1" applyFont="1" applyBorder="1" applyAlignment="1">
      <alignment/>
    </xf>
    <xf numFmtId="3" fontId="25" fillId="0" borderId="152" xfId="0" applyNumberFormat="1" applyFont="1" applyBorder="1" applyAlignment="1">
      <alignment/>
    </xf>
    <xf numFmtId="3" fontId="25" fillId="0" borderId="153" xfId="0" applyNumberFormat="1" applyFont="1" applyBorder="1" applyAlignment="1">
      <alignment/>
    </xf>
    <xf numFmtId="0" fontId="58" fillId="0" borderId="111" xfId="0" applyFont="1" applyBorder="1" applyAlignment="1">
      <alignment horizontal="center" vertical="center" wrapText="1"/>
    </xf>
    <xf numFmtId="0" fontId="58" fillId="0" borderId="83" xfId="0" applyFont="1" applyBorder="1" applyAlignment="1">
      <alignment wrapText="1"/>
    </xf>
    <xf numFmtId="3" fontId="25" fillId="0" borderId="154" xfId="0" applyNumberFormat="1" applyFont="1" applyBorder="1" applyAlignment="1">
      <alignment/>
    </xf>
    <xf numFmtId="3" fontId="19" fillId="0" borderId="155" xfId="0" applyNumberFormat="1" applyFont="1" applyBorder="1" applyAlignment="1">
      <alignment/>
    </xf>
    <xf numFmtId="3" fontId="39" fillId="0" borderId="155" xfId="0" applyNumberFormat="1" applyFont="1" applyBorder="1" applyAlignment="1">
      <alignment/>
    </xf>
    <xf numFmtId="0" fontId="58" fillId="0" borderId="83" xfId="0" applyFont="1" applyBorder="1" applyAlignment="1">
      <alignment/>
    </xf>
    <xf numFmtId="0" fontId="25" fillId="0" borderId="76" xfId="0" applyFont="1" applyBorder="1" applyAlignment="1">
      <alignment vertical="center"/>
    </xf>
    <xf numFmtId="0" fontId="25" fillId="0" borderId="98" xfId="0" applyFont="1" applyBorder="1" applyAlignment="1">
      <alignment vertical="center"/>
    </xf>
    <xf numFmtId="0" fontId="19" fillId="0" borderId="88" xfId="0" applyFont="1" applyFill="1" applyBorder="1" applyAlignment="1">
      <alignment/>
    </xf>
    <xf numFmtId="0" fontId="19" fillId="0" borderId="71" xfId="0" applyNumberFormat="1" applyFont="1" applyBorder="1" applyAlignment="1">
      <alignment/>
    </xf>
    <xf numFmtId="0" fontId="37" fillId="0" borderId="88" xfId="0" applyFont="1" applyBorder="1" applyAlignment="1">
      <alignment/>
    </xf>
    <xf numFmtId="0" fontId="37" fillId="0" borderId="94" xfId="0" applyFont="1" applyBorder="1" applyAlignment="1">
      <alignment/>
    </xf>
    <xf numFmtId="0" fontId="37" fillId="0" borderId="89" xfId="0" applyFont="1" applyBorder="1" applyAlignment="1">
      <alignment/>
    </xf>
    <xf numFmtId="0" fontId="39" fillId="0" borderId="89" xfId="0" applyFont="1" applyBorder="1" applyAlignment="1">
      <alignment/>
    </xf>
    <xf numFmtId="0" fontId="19" fillId="0" borderId="142" xfId="0" applyFont="1" applyBorder="1" applyAlignment="1">
      <alignment/>
    </xf>
    <xf numFmtId="0" fontId="19" fillId="0" borderId="150" xfId="0" applyFont="1" applyBorder="1" applyAlignment="1">
      <alignment wrapText="1"/>
    </xf>
    <xf numFmtId="0" fontId="58" fillId="0" borderId="91" xfId="0" applyFont="1" applyBorder="1" applyAlignment="1">
      <alignment wrapText="1"/>
    </xf>
    <xf numFmtId="0" fontId="59" fillId="0" borderId="71" xfId="0" applyFont="1" applyBorder="1" applyAlignment="1">
      <alignment/>
    </xf>
    <xf numFmtId="0" fontId="59" fillId="0" borderId="148" xfId="0" applyFont="1" applyBorder="1" applyAlignment="1">
      <alignment/>
    </xf>
    <xf numFmtId="0" fontId="59" fillId="0" borderId="78" xfId="0" applyFont="1" applyBorder="1" applyAlignment="1">
      <alignment/>
    </xf>
    <xf numFmtId="0" fontId="25" fillId="0" borderId="80" xfId="0" applyFont="1" applyBorder="1" applyAlignment="1">
      <alignment/>
    </xf>
    <xf numFmtId="3" fontId="25" fillId="0" borderId="156" xfId="0" applyNumberFormat="1" applyFont="1" applyBorder="1" applyAlignment="1">
      <alignment/>
    </xf>
    <xf numFmtId="0" fontId="39" fillId="0" borderId="157" xfId="0" applyFont="1" applyBorder="1" applyAlignment="1">
      <alignment/>
    </xf>
    <xf numFmtId="3" fontId="39" fillId="0" borderId="158" xfId="0" applyNumberFormat="1" applyFont="1" applyBorder="1" applyAlignment="1">
      <alignment/>
    </xf>
    <xf numFmtId="0" fontId="25" fillId="0" borderId="159" xfId="0" applyFont="1" applyBorder="1" applyAlignment="1">
      <alignment vertical="center"/>
    </xf>
    <xf numFmtId="0" fontId="34" fillId="0" borderId="160" xfId="0" applyFont="1" applyBorder="1" applyAlignment="1">
      <alignment horizontal="center" vertical="center" wrapText="1"/>
    </xf>
    <xf numFmtId="0" fontId="58" fillId="0" borderId="77" xfId="0" applyFont="1" applyFill="1" applyBorder="1" applyAlignment="1">
      <alignment horizontal="center" vertical="center" wrapText="1"/>
    </xf>
    <xf numFmtId="0" fontId="34" fillId="0" borderId="161" xfId="0" applyFont="1" applyBorder="1" applyAlignment="1">
      <alignment horizontal="center" vertical="center" wrapText="1"/>
    </xf>
    <xf numFmtId="3" fontId="37" fillId="0" borderId="121" xfId="0" applyNumberFormat="1" applyFont="1" applyBorder="1" applyAlignment="1">
      <alignment horizontal="right" vertical="center" wrapText="1"/>
    </xf>
    <xf numFmtId="0" fontId="37" fillId="0" borderId="101" xfId="0" applyFont="1" applyBorder="1" applyAlignment="1">
      <alignment horizontal="center" vertical="center" wrapText="1"/>
    </xf>
    <xf numFmtId="3" fontId="25" fillId="0" borderId="138" xfId="0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0" fontId="25" fillId="0" borderId="110" xfId="0" applyFont="1" applyBorder="1" applyAlignment="1">
      <alignment/>
    </xf>
    <xf numFmtId="3" fontId="25" fillId="0" borderId="162" xfId="0" applyNumberFormat="1" applyFont="1" applyBorder="1" applyAlignment="1">
      <alignment/>
    </xf>
    <xf numFmtId="0" fontId="41" fillId="0" borderId="142" xfId="0" applyFont="1" applyBorder="1" applyAlignment="1">
      <alignment/>
    </xf>
    <xf numFmtId="0" fontId="23" fillId="0" borderId="76" xfId="0" applyFont="1" applyBorder="1" applyAlignment="1">
      <alignment/>
    </xf>
    <xf numFmtId="0" fontId="25" fillId="0" borderId="77" xfId="0" applyFont="1" applyBorder="1" applyAlignment="1">
      <alignment/>
    </xf>
    <xf numFmtId="0" fontId="25" fillId="0" borderId="163" xfId="0" applyFont="1" applyBorder="1" applyAlignment="1">
      <alignment/>
    </xf>
    <xf numFmtId="0" fontId="19" fillId="0" borderId="107" xfId="0" applyFont="1" applyBorder="1" applyAlignment="1">
      <alignment/>
    </xf>
    <xf numFmtId="0" fontId="25" fillId="24" borderId="91" xfId="0" applyFont="1" applyFill="1" applyBorder="1" applyAlignment="1">
      <alignment/>
    </xf>
    <xf numFmtId="0" fontId="34" fillId="0" borderId="91" xfId="0" applyFont="1" applyBorder="1" applyAlignment="1">
      <alignment/>
    </xf>
    <xf numFmtId="164" fontId="34" fillId="0" borderId="67" xfId="0" applyNumberFormat="1" applyFont="1" applyBorder="1" applyAlignment="1">
      <alignment/>
    </xf>
    <xf numFmtId="164" fontId="37" fillId="0" borderId="69" xfId="0" applyNumberFormat="1" applyFont="1" applyBorder="1" applyAlignment="1">
      <alignment/>
    </xf>
    <xf numFmtId="164" fontId="37" fillId="0" borderId="88" xfId="0" applyNumberFormat="1" applyFont="1" applyBorder="1" applyAlignment="1">
      <alignment/>
    </xf>
    <xf numFmtId="164" fontId="37" fillId="0" borderId="142" xfId="0" applyNumberFormat="1" applyFont="1" applyBorder="1" applyAlignment="1">
      <alignment/>
    </xf>
    <xf numFmtId="0" fontId="37" fillId="0" borderId="69" xfId="0" applyFont="1" applyBorder="1" applyAlignment="1">
      <alignment/>
    </xf>
    <xf numFmtId="0" fontId="37" fillId="0" borderId="142" xfId="0" applyFont="1" applyBorder="1" applyAlignment="1">
      <alignment/>
    </xf>
    <xf numFmtId="164" fontId="37" fillId="0" borderId="88" xfId="0" applyNumberFormat="1" applyFont="1" applyBorder="1" applyAlignment="1">
      <alignment wrapText="1"/>
    </xf>
    <xf numFmtId="0" fontId="37" fillId="0" borderId="88" xfId="0" applyFont="1" applyBorder="1" applyAlignment="1">
      <alignment/>
    </xf>
    <xf numFmtId="0" fontId="37" fillId="0" borderId="67" xfId="0" applyFont="1" applyFill="1" applyBorder="1" applyAlignment="1">
      <alignment/>
    </xf>
    <xf numFmtId="3" fontId="19" fillId="0" borderId="140" xfId="0" applyNumberFormat="1" applyFont="1" applyBorder="1" applyAlignment="1">
      <alignment/>
    </xf>
    <xf numFmtId="3" fontId="19" fillId="24" borderId="140" xfId="0" applyNumberFormat="1" applyFont="1" applyFill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24" borderId="102" xfId="0" applyNumberFormat="1" applyFont="1" applyFill="1" applyBorder="1" applyAlignment="1">
      <alignment/>
    </xf>
    <xf numFmtId="0" fontId="34" fillId="0" borderId="111" xfId="0" applyFont="1" applyBorder="1" applyAlignment="1">
      <alignment horizontal="center" vertical="center" wrapText="1"/>
    </xf>
    <xf numFmtId="3" fontId="19" fillId="0" borderId="164" xfId="0" applyNumberFormat="1" applyFont="1" applyBorder="1" applyAlignment="1">
      <alignment/>
    </xf>
    <xf numFmtId="0" fontId="34" fillId="0" borderId="163" xfId="0" applyFont="1" applyBorder="1" applyAlignment="1">
      <alignment horizontal="center" vertical="center" wrapText="1"/>
    </xf>
    <xf numFmtId="3" fontId="19" fillId="24" borderId="99" xfId="0" applyNumberFormat="1" applyFont="1" applyFill="1" applyBorder="1" applyAlignment="1">
      <alignment/>
    </xf>
    <xf numFmtId="3" fontId="39" fillId="0" borderId="101" xfId="0" applyNumberFormat="1" applyFont="1" applyBorder="1" applyAlignment="1">
      <alignment/>
    </xf>
    <xf numFmtId="3" fontId="19" fillId="0" borderId="165" xfId="0" applyNumberFormat="1" applyFont="1" applyBorder="1" applyAlignment="1">
      <alignment/>
    </xf>
    <xf numFmtId="0" fontId="41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8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5" fillId="0" borderId="166" xfId="0" applyFont="1" applyBorder="1" applyAlignment="1">
      <alignment/>
    </xf>
    <xf numFmtId="0" fontId="25" fillId="0" borderId="167" xfId="0" applyFont="1" applyBorder="1" applyAlignment="1">
      <alignment/>
    </xf>
    <xf numFmtId="0" fontId="19" fillId="24" borderId="168" xfId="0" applyFont="1" applyFill="1" applyBorder="1" applyAlignment="1">
      <alignment/>
    </xf>
    <xf numFmtId="0" fontId="25" fillId="0" borderId="33" xfId="0" applyFont="1" applyBorder="1" applyAlignment="1">
      <alignment wrapText="1"/>
    </xf>
    <xf numFmtId="0" fontId="23" fillId="0" borderId="10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4" xfId="0" applyFont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25" fillId="0" borderId="111" xfId="0" applyFont="1" applyBorder="1" applyAlignment="1">
      <alignment horizontal="center"/>
    </xf>
    <xf numFmtId="0" fontId="25" fillId="0" borderId="112" xfId="0" applyFont="1" applyBorder="1" applyAlignment="1">
      <alignment horizontal="center"/>
    </xf>
    <xf numFmtId="3" fontId="19" fillId="0" borderId="70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19" fillId="0" borderId="169" xfId="0" applyNumberFormat="1" applyFont="1" applyBorder="1" applyAlignment="1">
      <alignment horizontal="right"/>
    </xf>
    <xf numFmtId="3" fontId="19" fillId="0" borderId="70" xfId="0" applyNumberFormat="1" applyFont="1" applyBorder="1" applyAlignment="1">
      <alignment/>
    </xf>
    <xf numFmtId="0" fontId="0" fillId="0" borderId="89" xfId="0" applyBorder="1" applyAlignment="1">
      <alignment/>
    </xf>
    <xf numFmtId="0" fontId="25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32" fillId="0" borderId="75" xfId="0" applyFont="1" applyBorder="1" applyAlignment="1">
      <alignment horizontal="right"/>
    </xf>
    <xf numFmtId="0" fontId="32" fillId="0" borderId="84" xfId="0" applyFont="1" applyBorder="1" applyAlignment="1">
      <alignment horizontal="right"/>
    </xf>
    <xf numFmtId="0" fontId="34" fillId="0" borderId="83" xfId="0" applyFont="1" applyBorder="1" applyAlignment="1">
      <alignment horizontal="justify" wrapText="1"/>
    </xf>
    <xf numFmtId="0" fontId="25" fillId="0" borderId="83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center" vertical="center"/>
    </xf>
    <xf numFmtId="0" fontId="33" fillId="0" borderId="80" xfId="0" applyFont="1" applyBorder="1" applyAlignment="1">
      <alignment vertical="center"/>
    </xf>
    <xf numFmtId="0" fontId="19" fillId="0" borderId="89" xfId="0" applyFont="1" applyBorder="1" applyAlignment="1">
      <alignment horizontal="left" vertical="center" wrapText="1"/>
    </xf>
    <xf numFmtId="0" fontId="25" fillId="0" borderId="91" xfId="0" applyFont="1" applyBorder="1" applyAlignment="1">
      <alignment horizontal="left" vertical="center" wrapText="1"/>
    </xf>
    <xf numFmtId="0" fontId="58" fillId="0" borderId="170" xfId="0" applyFont="1" applyBorder="1" applyAlignment="1">
      <alignment/>
    </xf>
    <xf numFmtId="0" fontId="19" fillId="0" borderId="171" xfId="0" applyFont="1" applyBorder="1" applyAlignment="1">
      <alignment/>
    </xf>
    <xf numFmtId="16" fontId="19" fillId="0" borderId="171" xfId="0" applyNumberFormat="1" applyFont="1" applyBorder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/>
    </xf>
    <xf numFmtId="0" fontId="59" fillId="0" borderId="83" xfId="0" applyFont="1" applyBorder="1" applyAlignment="1">
      <alignment wrapText="1"/>
    </xf>
    <xf numFmtId="0" fontId="58" fillId="0" borderId="160" xfId="0" applyFont="1" applyBorder="1" applyAlignment="1">
      <alignment horizontal="center" vertical="center" wrapText="1"/>
    </xf>
    <xf numFmtId="3" fontId="37" fillId="0" borderId="90" xfId="0" applyNumberFormat="1" applyFont="1" applyBorder="1" applyAlignment="1">
      <alignment horizontal="right" vertical="center" wrapText="1"/>
    </xf>
    <xf numFmtId="0" fontId="37" fillId="0" borderId="98" xfId="0" applyFont="1" applyBorder="1" applyAlignment="1">
      <alignment horizontal="center" vertical="center" wrapText="1"/>
    </xf>
    <xf numFmtId="3" fontId="25" fillId="0" borderId="122" xfId="0" applyNumberFormat="1" applyFont="1" applyBorder="1" applyAlignment="1">
      <alignment/>
    </xf>
    <xf numFmtId="3" fontId="25" fillId="0" borderId="149" xfId="0" applyNumberFormat="1" applyFont="1" applyBorder="1" applyAlignment="1">
      <alignment/>
    </xf>
    <xf numFmtId="3" fontId="25" fillId="0" borderId="172" xfId="0" applyNumberFormat="1" applyFont="1" applyBorder="1" applyAlignment="1">
      <alignment/>
    </xf>
    <xf numFmtId="3" fontId="25" fillId="0" borderId="173" xfId="0" applyNumberFormat="1" applyFont="1" applyBorder="1" applyAlignment="1">
      <alignment/>
    </xf>
    <xf numFmtId="3" fontId="19" fillId="0" borderId="174" xfId="0" applyNumberFormat="1" applyFont="1" applyBorder="1" applyAlignment="1">
      <alignment/>
    </xf>
    <xf numFmtId="0" fontId="58" fillId="0" borderId="163" xfId="0" applyFont="1" applyBorder="1" applyAlignment="1">
      <alignment horizontal="center" vertical="center" wrapText="1"/>
    </xf>
    <xf numFmtId="3" fontId="37" fillId="0" borderId="163" xfId="0" applyNumberFormat="1" applyFont="1" applyBorder="1" applyAlignment="1">
      <alignment horizontal="right" vertical="center" wrapText="1"/>
    </xf>
    <xf numFmtId="0" fontId="37" fillId="0" borderId="153" xfId="0" applyFont="1" applyBorder="1" applyAlignment="1">
      <alignment horizontal="center" vertical="center" wrapText="1"/>
    </xf>
    <xf numFmtId="3" fontId="19" fillId="24" borderId="175" xfId="0" applyNumberFormat="1" applyFont="1" applyFill="1" applyBorder="1" applyAlignment="1">
      <alignment/>
    </xf>
    <xf numFmtId="3" fontId="25" fillId="0" borderId="176" xfId="0" applyNumberFormat="1" applyFont="1" applyBorder="1" applyAlignment="1">
      <alignment/>
    </xf>
    <xf numFmtId="0" fontId="58" fillId="0" borderId="177" xfId="0" applyFont="1" applyFill="1" applyBorder="1" applyAlignment="1">
      <alignment horizontal="center" vertical="center" wrapText="1"/>
    </xf>
    <xf numFmtId="3" fontId="39" fillId="0" borderId="104" xfId="0" applyNumberFormat="1" applyFont="1" applyBorder="1" applyAlignment="1">
      <alignment/>
    </xf>
    <xf numFmtId="3" fontId="25" fillId="0" borderId="178" xfId="0" applyNumberFormat="1" applyFont="1" applyBorder="1" applyAlignment="1">
      <alignment/>
    </xf>
    <xf numFmtId="3" fontId="37" fillId="0" borderId="179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25" fillId="0" borderId="109" xfId="0" applyFont="1" applyBorder="1" applyAlignment="1">
      <alignment/>
    </xf>
    <xf numFmtId="0" fontId="23" fillId="0" borderId="180" xfId="0" applyFont="1" applyBorder="1" applyAlignment="1">
      <alignment horizontal="center"/>
    </xf>
    <xf numFmtId="0" fontId="34" fillId="0" borderId="54" xfId="0" applyFont="1" applyBorder="1" applyAlignment="1">
      <alignment wrapText="1"/>
    </xf>
    <xf numFmtId="0" fontId="25" fillId="0" borderId="54" xfId="0" applyFont="1" applyBorder="1" applyAlignment="1">
      <alignment wrapText="1"/>
    </xf>
    <xf numFmtId="0" fontId="19" fillId="0" borderId="95" xfId="0" applyFont="1" applyBorder="1" applyAlignment="1">
      <alignment/>
    </xf>
    <xf numFmtId="0" fontId="58" fillId="0" borderId="93" xfId="0" applyFont="1" applyBorder="1" applyAlignment="1">
      <alignment wrapText="1"/>
    </xf>
    <xf numFmtId="0" fontId="23" fillId="0" borderId="104" xfId="0" applyFont="1" applyBorder="1" applyAlignment="1">
      <alignment horizontal="center"/>
    </xf>
    <xf numFmtId="0" fontId="25" fillId="0" borderId="108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7" fillId="0" borderId="54" xfId="0" applyFont="1" applyBorder="1" applyAlignment="1">
      <alignment/>
    </xf>
    <xf numFmtId="3" fontId="25" fillId="0" borderId="105" xfId="0" applyNumberFormat="1" applyFont="1" applyBorder="1" applyAlignment="1">
      <alignment horizontal="right"/>
    </xf>
    <xf numFmtId="3" fontId="25" fillId="0" borderId="86" xfId="0" applyNumberFormat="1" applyFont="1" applyBorder="1" applyAlignment="1">
      <alignment horizontal="right"/>
    </xf>
    <xf numFmtId="3" fontId="19" fillId="0" borderId="86" xfId="0" applyNumberFormat="1" applyFont="1" applyBorder="1" applyAlignment="1">
      <alignment horizontal="right"/>
    </xf>
    <xf numFmtId="3" fontId="25" fillId="0" borderId="103" xfId="0" applyNumberFormat="1" applyFont="1" applyBorder="1" applyAlignment="1">
      <alignment horizontal="right"/>
    </xf>
    <xf numFmtId="3" fontId="25" fillId="0" borderId="104" xfId="0" applyNumberFormat="1" applyFont="1" applyBorder="1" applyAlignment="1">
      <alignment horizontal="right"/>
    </xf>
    <xf numFmtId="3" fontId="25" fillId="0" borderId="146" xfId="0" applyNumberFormat="1" applyFont="1" applyBorder="1" applyAlignment="1">
      <alignment horizontal="right"/>
    </xf>
    <xf numFmtId="3" fontId="25" fillId="0" borderId="117" xfId="0" applyNumberFormat="1" applyFont="1" applyBorder="1" applyAlignment="1">
      <alignment horizontal="right"/>
    </xf>
    <xf numFmtId="3" fontId="19" fillId="0" borderId="117" xfId="0" applyNumberFormat="1" applyFont="1" applyBorder="1" applyAlignment="1">
      <alignment horizontal="right"/>
    </xf>
    <xf numFmtId="3" fontId="25" fillId="0" borderId="106" xfId="0" applyNumberFormat="1" applyFont="1" applyBorder="1" applyAlignment="1">
      <alignment horizontal="right"/>
    </xf>
    <xf numFmtId="3" fontId="25" fillId="0" borderId="147" xfId="0" applyNumberFormat="1" applyFont="1" applyBorder="1" applyAlignment="1">
      <alignment horizontal="right"/>
    </xf>
    <xf numFmtId="0" fontId="27" fillId="0" borderId="86" xfId="0" applyFont="1" applyBorder="1" applyAlignment="1">
      <alignment/>
    </xf>
    <xf numFmtId="3" fontId="19" fillId="0" borderId="106" xfId="0" applyNumberFormat="1" applyFont="1" applyBorder="1" applyAlignment="1">
      <alignment horizontal="right"/>
    </xf>
    <xf numFmtId="3" fontId="25" fillId="0" borderId="119" xfId="0" applyNumberFormat="1" applyFont="1" applyBorder="1" applyAlignment="1">
      <alignment horizontal="right"/>
    </xf>
    <xf numFmtId="0" fontId="25" fillId="0" borderId="152" xfId="0" applyFont="1" applyBorder="1" applyAlignment="1">
      <alignment/>
    </xf>
    <xf numFmtId="0" fontId="25" fillId="24" borderId="86" xfId="0" applyFont="1" applyFill="1" applyBorder="1" applyAlignment="1">
      <alignment/>
    </xf>
    <xf numFmtId="0" fontId="19" fillId="0" borderId="118" xfId="0" applyFont="1" applyBorder="1" applyAlignment="1">
      <alignment/>
    </xf>
    <xf numFmtId="0" fontId="49" fillId="0" borderId="180" xfId="0" applyFont="1" applyBorder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19" fillId="0" borderId="168" xfId="0" applyFont="1" applyBorder="1" applyAlignment="1">
      <alignment/>
    </xf>
    <xf numFmtId="0" fontId="19" fillId="0" borderId="181" xfId="0" applyFont="1" applyBorder="1" applyAlignment="1">
      <alignment/>
    </xf>
    <xf numFmtId="0" fontId="19" fillId="0" borderId="38" xfId="0" applyFont="1" applyBorder="1" applyAlignment="1">
      <alignment/>
    </xf>
    <xf numFmtId="0" fontId="25" fillId="0" borderId="43" xfId="0" applyFont="1" applyFill="1" applyBorder="1" applyAlignment="1">
      <alignment horizontal="center"/>
    </xf>
    <xf numFmtId="0" fontId="25" fillId="0" borderId="81" xfId="0" applyFont="1" applyBorder="1" applyAlignment="1">
      <alignment horizontal="center"/>
    </xf>
    <xf numFmtId="0" fontId="37" fillId="0" borderId="11" xfId="54" applyFont="1" applyBorder="1" applyProtection="1">
      <alignment/>
      <protection/>
    </xf>
    <xf numFmtId="3" fontId="25" fillId="0" borderId="14" xfId="54" applyNumberFormat="1" applyFont="1" applyBorder="1" applyProtection="1">
      <alignment/>
      <protection/>
    </xf>
    <xf numFmtId="0" fontId="25" fillId="0" borderId="14" xfId="54" applyFont="1" applyBorder="1" applyProtection="1">
      <alignment/>
      <protection/>
    </xf>
    <xf numFmtId="0" fontId="25" fillId="0" borderId="24" xfId="54" applyFont="1" applyBorder="1" applyProtection="1">
      <alignment/>
      <protection/>
    </xf>
    <xf numFmtId="3" fontId="25" fillId="0" borderId="50" xfId="54" applyNumberFormat="1" applyFont="1" applyBorder="1" applyProtection="1">
      <alignment/>
      <protection/>
    </xf>
    <xf numFmtId="0" fontId="25" fillId="0" borderId="50" xfId="54" applyFont="1" applyBorder="1" applyProtection="1">
      <alignment/>
      <protection/>
    </xf>
    <xf numFmtId="3" fontId="25" fillId="0" borderId="53" xfId="54" applyNumberFormat="1" applyFont="1" applyBorder="1" applyProtection="1">
      <alignment/>
      <protection/>
    </xf>
    <xf numFmtId="0" fontId="25" fillId="0" borderId="53" xfId="54" applyFont="1" applyBorder="1" applyProtection="1">
      <alignment/>
      <protection/>
    </xf>
    <xf numFmtId="0" fontId="37" fillId="0" borderId="11" xfId="54" applyFont="1" applyBorder="1" applyAlignment="1" applyProtection="1">
      <alignment wrapText="1"/>
      <protection/>
    </xf>
    <xf numFmtId="3" fontId="25" fillId="0" borderId="165" xfId="54" applyNumberFormat="1" applyFont="1" applyBorder="1" applyProtection="1">
      <alignment/>
      <protection/>
    </xf>
    <xf numFmtId="0" fontId="25" fillId="0" borderId="165" xfId="54" applyFont="1" applyBorder="1" applyProtection="1">
      <alignment/>
      <protection/>
    </xf>
    <xf numFmtId="0" fontId="58" fillId="0" borderId="21" xfId="54" applyFont="1" applyBorder="1" applyProtection="1">
      <alignment/>
      <protection/>
    </xf>
    <xf numFmtId="0" fontId="72" fillId="0" borderId="75" xfId="0" applyFont="1" applyBorder="1" applyAlignment="1">
      <alignment/>
    </xf>
    <xf numFmtId="0" fontId="73" fillId="0" borderId="75" xfId="0" applyFont="1" applyBorder="1" applyAlignment="1">
      <alignment/>
    </xf>
    <xf numFmtId="3" fontId="73" fillId="0" borderId="75" xfId="0" applyNumberFormat="1" applyFont="1" applyBorder="1" applyAlignment="1">
      <alignment/>
    </xf>
    <xf numFmtId="3" fontId="72" fillId="0" borderId="75" xfId="0" applyNumberFormat="1" applyFont="1" applyBorder="1" applyAlignment="1">
      <alignment/>
    </xf>
    <xf numFmtId="0" fontId="73" fillId="0" borderId="75" xfId="0" applyFont="1" applyFill="1" applyBorder="1" applyAlignment="1">
      <alignment/>
    </xf>
    <xf numFmtId="3" fontId="73" fillId="0" borderId="172" xfId="0" applyNumberFormat="1" applyFont="1" applyBorder="1" applyAlignment="1">
      <alignment/>
    </xf>
    <xf numFmtId="0" fontId="73" fillId="0" borderId="0" xfId="0" applyFont="1" applyBorder="1" applyAlignment="1">
      <alignment/>
    </xf>
    <xf numFmtId="3" fontId="73" fillId="0" borderId="0" xfId="0" applyNumberFormat="1" applyFont="1" applyBorder="1" applyAlignment="1">
      <alignment/>
    </xf>
    <xf numFmtId="0" fontId="73" fillId="0" borderId="182" xfId="0" applyFont="1" applyBorder="1" applyAlignment="1">
      <alignment/>
    </xf>
    <xf numFmtId="3" fontId="73" fillId="0" borderId="75" xfId="40" applyNumberFormat="1" applyFont="1" applyBorder="1" applyAlignment="1">
      <alignment/>
    </xf>
    <xf numFmtId="3" fontId="73" fillId="0" borderId="75" xfId="40" applyNumberFormat="1" applyFont="1" applyBorder="1" applyAlignment="1">
      <alignment horizontal="right"/>
    </xf>
    <xf numFmtId="3" fontId="73" fillId="0" borderId="155" xfId="0" applyNumberFormat="1" applyFont="1" applyBorder="1" applyAlignment="1">
      <alignment/>
    </xf>
    <xf numFmtId="3" fontId="73" fillId="0" borderId="81" xfId="0" applyNumberFormat="1" applyFont="1" applyBorder="1" applyAlignment="1">
      <alignment/>
    </xf>
    <xf numFmtId="3" fontId="25" fillId="0" borderId="183" xfId="0" applyNumberFormat="1" applyFont="1" applyBorder="1" applyAlignment="1">
      <alignment/>
    </xf>
    <xf numFmtId="0" fontId="25" fillId="0" borderId="184" xfId="0" applyFont="1" applyBorder="1" applyAlignment="1">
      <alignment horizontal="center" vertical="center" wrapText="1"/>
    </xf>
    <xf numFmtId="1" fontId="72" fillId="0" borderId="75" xfId="0" applyNumberFormat="1" applyFont="1" applyBorder="1" applyAlignment="1">
      <alignment/>
    </xf>
    <xf numFmtId="0" fontId="72" fillId="0" borderId="182" xfId="0" applyFont="1" applyBorder="1" applyAlignment="1">
      <alignment/>
    </xf>
    <xf numFmtId="0" fontId="73" fillId="0" borderId="81" xfId="0" applyFont="1" applyBorder="1" applyAlignment="1">
      <alignment/>
    </xf>
    <xf numFmtId="14" fontId="73" fillId="0" borderId="81" xfId="0" applyNumberFormat="1" applyFont="1" applyBorder="1" applyAlignment="1">
      <alignment/>
    </xf>
    <xf numFmtId="0" fontId="72" fillId="0" borderId="0" xfId="0" applyFont="1" applyBorder="1" applyAlignment="1">
      <alignment/>
    </xf>
    <xf numFmtId="3" fontId="72" fillId="0" borderId="0" xfId="0" applyNumberFormat="1" applyFont="1" applyBorder="1" applyAlignment="1">
      <alignment/>
    </xf>
    <xf numFmtId="0" fontId="73" fillId="0" borderId="54" xfId="0" applyFont="1" applyBorder="1" applyAlignment="1">
      <alignment/>
    </xf>
    <xf numFmtId="0" fontId="73" fillId="0" borderId="54" xfId="0" applyFont="1" applyFill="1" applyBorder="1" applyAlignment="1">
      <alignment/>
    </xf>
    <xf numFmtId="3" fontId="73" fillId="0" borderId="54" xfId="0" applyNumberFormat="1" applyFont="1" applyBorder="1" applyAlignment="1">
      <alignment/>
    </xf>
    <xf numFmtId="3" fontId="37" fillId="0" borderId="149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/>
    </xf>
    <xf numFmtId="0" fontId="19" fillId="0" borderId="185" xfId="0" applyFont="1" applyBorder="1" applyAlignment="1">
      <alignment/>
    </xf>
    <xf numFmtId="0" fontId="33" fillId="0" borderId="81" xfId="0" applyFont="1" applyFill="1" applyBorder="1" applyAlignment="1">
      <alignment/>
    </xf>
    <xf numFmtId="0" fontId="33" fillId="0" borderId="75" xfId="0" applyFont="1" applyFill="1" applyBorder="1" applyAlignment="1">
      <alignment/>
    </xf>
    <xf numFmtId="3" fontId="33" fillId="0" borderId="75" xfId="0" applyNumberFormat="1" applyFont="1" applyFill="1" applyBorder="1" applyAlignment="1">
      <alignment/>
    </xf>
    <xf numFmtId="3" fontId="21" fillId="0" borderId="75" xfId="0" applyNumberFormat="1" applyFont="1" applyFill="1" applyBorder="1" applyAlignment="1">
      <alignment/>
    </xf>
    <xf numFmtId="0" fontId="73" fillId="0" borderId="75" xfId="0" applyFont="1" applyFill="1" applyBorder="1" applyAlignment="1">
      <alignment horizontal="left"/>
    </xf>
    <xf numFmtId="0" fontId="73" fillId="0" borderId="182" xfId="0" applyFont="1" applyFill="1" applyBorder="1" applyAlignment="1">
      <alignment/>
    </xf>
    <xf numFmtId="3" fontId="73" fillId="0" borderId="75" xfId="0" applyNumberFormat="1" applyFont="1" applyFill="1" applyBorder="1" applyAlignment="1">
      <alignment/>
    </xf>
    <xf numFmtId="3" fontId="74" fillId="0" borderId="75" xfId="0" applyNumberFormat="1" applyFont="1" applyFill="1" applyBorder="1" applyAlignment="1">
      <alignment/>
    </xf>
    <xf numFmtId="3" fontId="75" fillId="0" borderId="75" xfId="0" applyNumberFormat="1" applyFont="1" applyFill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99" xfId="0" applyNumberFormat="1" applyFont="1" applyBorder="1" applyAlignment="1">
      <alignment/>
    </xf>
    <xf numFmtId="0" fontId="37" fillId="0" borderId="95" xfId="0" applyFont="1" applyBorder="1" applyAlignment="1">
      <alignment/>
    </xf>
    <xf numFmtId="0" fontId="25" fillId="24" borderId="93" xfId="0" applyFont="1" applyFill="1" applyBorder="1" applyAlignment="1">
      <alignment wrapText="1"/>
    </xf>
    <xf numFmtId="0" fontId="25" fillId="24" borderId="93" xfId="0" applyFont="1" applyFill="1" applyBorder="1" applyAlignment="1">
      <alignment/>
    </xf>
    <xf numFmtId="0" fontId="58" fillId="24" borderId="93" xfId="0" applyFont="1" applyFill="1" applyBorder="1" applyAlignment="1">
      <alignment/>
    </xf>
    <xf numFmtId="0" fontId="19" fillId="24" borderId="98" xfId="0" applyFont="1" applyFill="1" applyBorder="1" applyAlignment="1">
      <alignment/>
    </xf>
    <xf numFmtId="0" fontId="41" fillId="0" borderId="93" xfId="0" applyFont="1" applyBorder="1" applyAlignment="1">
      <alignment/>
    </xf>
    <xf numFmtId="0" fontId="41" fillId="0" borderId="95" xfId="0" applyFont="1" applyBorder="1" applyAlignment="1">
      <alignment/>
    </xf>
    <xf numFmtId="0" fontId="0" fillId="0" borderId="102" xfId="0" applyBorder="1" applyAlignment="1">
      <alignment/>
    </xf>
    <xf numFmtId="3" fontId="19" fillId="0" borderId="93" xfId="0" applyNumberFormat="1" applyFont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98" xfId="0" applyNumberFormat="1" applyFont="1" applyBorder="1" applyAlignment="1">
      <alignment/>
    </xf>
    <xf numFmtId="3" fontId="25" fillId="0" borderId="95" xfId="0" applyNumberFormat="1" applyFont="1" applyBorder="1" applyAlignment="1">
      <alignment/>
    </xf>
    <xf numFmtId="3" fontId="25" fillId="0" borderId="98" xfId="0" applyNumberFormat="1" applyFont="1" applyBorder="1" applyAlignment="1">
      <alignment/>
    </xf>
    <xf numFmtId="3" fontId="25" fillId="24" borderId="93" xfId="0" applyNumberFormat="1" applyFont="1" applyFill="1" applyBorder="1" applyAlignment="1">
      <alignment/>
    </xf>
    <xf numFmtId="3" fontId="19" fillId="24" borderId="93" xfId="0" applyNumberFormat="1" applyFont="1" applyFill="1" applyBorder="1" applyAlignment="1">
      <alignment/>
    </xf>
    <xf numFmtId="0" fontId="0" fillId="0" borderId="95" xfId="0" applyBorder="1" applyAlignment="1">
      <alignment/>
    </xf>
    <xf numFmtId="3" fontId="31" fillId="0" borderId="90" xfId="0" applyNumberFormat="1" applyFont="1" applyBorder="1" applyAlignment="1">
      <alignment/>
    </xf>
    <xf numFmtId="0" fontId="0" fillId="0" borderId="103" xfId="0" applyBorder="1" applyAlignment="1">
      <alignment/>
    </xf>
    <xf numFmtId="0" fontId="0" fillId="0" borderId="106" xfId="0" applyBorder="1" applyAlignment="1">
      <alignment/>
    </xf>
    <xf numFmtId="3" fontId="31" fillId="0" borderId="121" xfId="0" applyNumberFormat="1" applyFont="1" applyBorder="1" applyAlignment="1">
      <alignment/>
    </xf>
    <xf numFmtId="3" fontId="39" fillId="0" borderId="105" xfId="0" applyNumberFormat="1" applyFont="1" applyBorder="1" applyAlignment="1">
      <alignment/>
    </xf>
    <xf numFmtId="3" fontId="25" fillId="0" borderId="87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31" xfId="0" applyFont="1" applyBorder="1" applyAlignment="1">
      <alignment/>
    </xf>
    <xf numFmtId="0" fontId="25" fillId="0" borderId="48" xfId="0" applyFont="1" applyBorder="1" applyAlignment="1">
      <alignment/>
    </xf>
    <xf numFmtId="3" fontId="49" fillId="0" borderId="0" xfId="0" applyNumberFormat="1" applyFont="1" applyBorder="1" applyAlignment="1">
      <alignment/>
    </xf>
    <xf numFmtId="3" fontId="19" fillId="0" borderId="40" xfId="0" applyNumberFormat="1" applyFont="1" applyBorder="1" applyAlignment="1">
      <alignment vertical="center"/>
    </xf>
    <xf numFmtId="3" fontId="25" fillId="0" borderId="186" xfId="0" applyNumberFormat="1" applyFont="1" applyBorder="1" applyAlignment="1">
      <alignment horizontal="center" vertical="center"/>
    </xf>
    <xf numFmtId="3" fontId="19" fillId="0" borderId="186" xfId="0" applyNumberFormat="1" applyFont="1" applyBorder="1" applyAlignment="1">
      <alignment vertical="center"/>
    </xf>
    <xf numFmtId="3" fontId="19" fillId="0" borderId="187" xfId="0" applyNumberFormat="1" applyFont="1" applyBorder="1" applyAlignment="1">
      <alignment vertical="center"/>
    </xf>
    <xf numFmtId="3" fontId="25" fillId="0" borderId="188" xfId="0" applyNumberFormat="1" applyFont="1" applyBorder="1" applyAlignment="1">
      <alignment horizontal="center" vertical="center"/>
    </xf>
    <xf numFmtId="0" fontId="33" fillId="0" borderId="88" xfId="0" applyFont="1" applyBorder="1" applyAlignment="1">
      <alignment/>
    </xf>
    <xf numFmtId="0" fontId="33" fillId="0" borderId="71" xfId="0" applyFont="1" applyBorder="1" applyAlignment="1">
      <alignment/>
    </xf>
    <xf numFmtId="0" fontId="19" fillId="0" borderId="81" xfId="0" applyFont="1" applyBorder="1" applyAlignment="1">
      <alignment/>
    </xf>
    <xf numFmtId="0" fontId="19" fillId="0" borderId="189" xfId="0" applyFont="1" applyBorder="1" applyAlignment="1">
      <alignment/>
    </xf>
    <xf numFmtId="0" fontId="19" fillId="0" borderId="190" xfId="0" applyFont="1" applyBorder="1" applyAlignment="1">
      <alignment/>
    </xf>
    <xf numFmtId="0" fontId="19" fillId="0" borderId="191" xfId="0" applyFont="1" applyBorder="1" applyAlignment="1">
      <alignment/>
    </xf>
    <xf numFmtId="3" fontId="19" fillId="0" borderId="114" xfId="0" applyNumberFormat="1" applyFont="1" applyBorder="1" applyAlignment="1">
      <alignment/>
    </xf>
    <xf numFmtId="3" fontId="19" fillId="0" borderId="192" xfId="0" applyNumberFormat="1" applyFont="1" applyBorder="1" applyAlignment="1">
      <alignment/>
    </xf>
    <xf numFmtId="3" fontId="19" fillId="0" borderId="75" xfId="0" applyNumberFormat="1" applyFont="1" applyBorder="1" applyAlignment="1">
      <alignment/>
    </xf>
    <xf numFmtId="3" fontId="19" fillId="0" borderId="189" xfId="0" applyNumberFormat="1" applyFont="1" applyBorder="1" applyAlignment="1">
      <alignment/>
    </xf>
    <xf numFmtId="3" fontId="19" fillId="0" borderId="193" xfId="0" applyNumberFormat="1" applyFont="1" applyBorder="1" applyAlignment="1">
      <alignment/>
    </xf>
    <xf numFmtId="0" fontId="25" fillId="0" borderId="85" xfId="0" applyFont="1" applyBorder="1" applyAlignment="1">
      <alignment/>
    </xf>
    <xf numFmtId="0" fontId="25" fillId="0" borderId="154" xfId="0" applyFont="1" applyBorder="1" applyAlignment="1">
      <alignment/>
    </xf>
    <xf numFmtId="0" fontId="19" fillId="0" borderId="71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19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5" fillId="0" borderId="105" xfId="0" applyFont="1" applyBorder="1" applyAlignment="1">
      <alignment horizontal="center" wrapText="1"/>
    </xf>
    <xf numFmtId="0" fontId="25" fillId="0" borderId="108" xfId="0" applyFont="1" applyBorder="1" applyAlignment="1">
      <alignment horizontal="center" wrapText="1"/>
    </xf>
    <xf numFmtId="0" fontId="25" fillId="0" borderId="101" xfId="0" applyFont="1" applyBorder="1" applyAlignment="1">
      <alignment horizontal="center" wrapText="1"/>
    </xf>
    <xf numFmtId="0" fontId="25" fillId="0" borderId="48" xfId="0" applyFont="1" applyBorder="1" applyAlignment="1">
      <alignment horizontal="center" wrapText="1"/>
    </xf>
    <xf numFmtId="0" fontId="25" fillId="0" borderId="49" xfId="0" applyFont="1" applyBorder="1" applyAlignment="1">
      <alignment horizontal="center" wrapText="1"/>
    </xf>
    <xf numFmtId="0" fontId="19" fillId="0" borderId="55" xfId="0" applyFont="1" applyBorder="1" applyAlignment="1">
      <alignment/>
    </xf>
    <xf numFmtId="0" fontId="59" fillId="0" borderId="54" xfId="0" applyFont="1" applyBorder="1" applyAlignment="1">
      <alignment wrapText="1"/>
    </xf>
    <xf numFmtId="0" fontId="58" fillId="0" borderId="0" xfId="0" applyFont="1" applyBorder="1" applyAlignment="1">
      <alignment wrapText="1"/>
    </xf>
    <xf numFmtId="0" fontId="58" fillId="0" borderId="54" xfId="0" applyFont="1" applyBorder="1" applyAlignment="1">
      <alignment wrapText="1"/>
    </xf>
    <xf numFmtId="0" fontId="19" fillId="0" borderId="17" xfId="0" applyFont="1" applyBorder="1" applyAlignment="1">
      <alignment/>
    </xf>
    <xf numFmtId="0" fontId="41" fillId="0" borderId="86" xfId="0" applyFont="1" applyBorder="1" applyAlignment="1">
      <alignment horizontal="right"/>
    </xf>
    <xf numFmtId="0" fontId="58" fillId="0" borderId="86" xfId="0" applyFont="1" applyBorder="1" applyAlignment="1">
      <alignment horizontal="right"/>
    </xf>
    <xf numFmtId="0" fontId="58" fillId="0" borderId="179" xfId="0" applyFont="1" applyBorder="1" applyAlignment="1">
      <alignment horizontal="right"/>
    </xf>
    <xf numFmtId="0" fontId="41" fillId="0" borderId="105" xfId="0" applyFont="1" applyBorder="1" applyAlignment="1">
      <alignment horizontal="right"/>
    </xf>
    <xf numFmtId="0" fontId="58" fillId="0" borderId="104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66" fillId="0" borderId="152" xfId="0" applyFont="1" applyBorder="1" applyAlignment="1">
      <alignment horizontal="center" wrapText="1"/>
    </xf>
    <xf numFmtId="0" fontId="66" fillId="0" borderId="150" xfId="0" applyFont="1" applyBorder="1" applyAlignment="1">
      <alignment horizontal="center"/>
    </xf>
    <xf numFmtId="0" fontId="66" fillId="0" borderId="152" xfId="0" applyFont="1" applyBorder="1" applyAlignment="1">
      <alignment horizontal="center"/>
    </xf>
    <xf numFmtId="0" fontId="66" fillId="0" borderId="195" xfId="0" applyFont="1" applyBorder="1" applyAlignment="1">
      <alignment horizontal="center"/>
    </xf>
    <xf numFmtId="0" fontId="19" fillId="0" borderId="72" xfId="0" applyFont="1" applyBorder="1" applyAlignment="1">
      <alignment/>
    </xf>
    <xf numFmtId="0" fontId="58" fillId="0" borderId="165" xfId="0" applyFont="1" applyBorder="1" applyAlignment="1">
      <alignment horizontal="center"/>
    </xf>
    <xf numFmtId="0" fontId="58" fillId="0" borderId="108" xfId="0" applyFont="1" applyBorder="1" applyAlignment="1">
      <alignment horizontal="center"/>
    </xf>
    <xf numFmtId="0" fontId="58" fillId="0" borderId="164" xfId="0" applyFont="1" applyBorder="1" applyAlignment="1">
      <alignment horizontal="center"/>
    </xf>
    <xf numFmtId="0" fontId="58" fillId="0" borderId="196" xfId="0" applyFont="1" applyBorder="1" applyAlignment="1">
      <alignment horizontal="center"/>
    </xf>
    <xf numFmtId="0" fontId="25" fillId="0" borderId="37" xfId="0" applyFont="1" applyBorder="1" applyAlignment="1">
      <alignment/>
    </xf>
    <xf numFmtId="0" fontId="37" fillId="0" borderId="34" xfId="0" applyFont="1" applyBorder="1" applyAlignment="1">
      <alignment/>
    </xf>
    <xf numFmtId="0" fontId="25" fillId="0" borderId="197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198" xfId="0" applyFont="1" applyBorder="1" applyAlignment="1">
      <alignment/>
    </xf>
    <xf numFmtId="0" fontId="25" fillId="0" borderId="194" xfId="0" applyFont="1" applyBorder="1" applyAlignment="1">
      <alignment wrapText="1"/>
    </xf>
    <xf numFmtId="0" fontId="37" fillId="0" borderId="102" xfId="0" applyFont="1" applyBorder="1" applyAlignment="1">
      <alignment/>
    </xf>
    <xf numFmtId="0" fontId="37" fillId="0" borderId="99" xfId="0" applyFont="1" applyBorder="1" applyAlignment="1">
      <alignment/>
    </xf>
    <xf numFmtId="0" fontId="37" fillId="0" borderId="162" xfId="0" applyFont="1" applyBorder="1" applyAlignment="1">
      <alignment/>
    </xf>
    <xf numFmtId="0" fontId="25" fillId="0" borderId="199" xfId="0" applyFont="1" applyBorder="1" applyAlignment="1">
      <alignment/>
    </xf>
    <xf numFmtId="0" fontId="25" fillId="0" borderId="33" xfId="0" applyFont="1" applyBorder="1" applyAlignment="1">
      <alignment/>
    </xf>
    <xf numFmtId="0" fontId="25" fillId="24" borderId="33" xfId="0" applyFont="1" applyFill="1" applyBorder="1" applyAlignment="1">
      <alignment wrapText="1"/>
    </xf>
    <xf numFmtId="0" fontId="25" fillId="24" borderId="34" xfId="0" applyFont="1" applyFill="1" applyBorder="1" applyAlignment="1">
      <alignment/>
    </xf>
    <xf numFmtId="0" fontId="58" fillId="24" borderId="200" xfId="0" applyFont="1" applyFill="1" applyBorder="1" applyAlignment="1">
      <alignment/>
    </xf>
    <xf numFmtId="0" fontId="19" fillId="24" borderId="194" xfId="0" applyFont="1" applyFill="1" applyBorder="1" applyAlignment="1">
      <alignment/>
    </xf>
    <xf numFmtId="0" fontId="19" fillId="24" borderId="201" xfId="0" applyFont="1" applyFill="1" applyBorder="1" applyAlignment="1">
      <alignment/>
    </xf>
    <xf numFmtId="0" fontId="25" fillId="24" borderId="197" xfId="0" applyFont="1" applyFill="1" applyBorder="1" applyAlignment="1">
      <alignment/>
    </xf>
    <xf numFmtId="0" fontId="19" fillId="24" borderId="37" xfId="0" applyFont="1" applyFill="1" applyBorder="1" applyAlignment="1">
      <alignment/>
    </xf>
    <xf numFmtId="0" fontId="58" fillId="0" borderId="202" xfId="0" applyFont="1" applyBorder="1" applyAlignment="1">
      <alignment wrapText="1"/>
    </xf>
    <xf numFmtId="0" fontId="41" fillId="0" borderId="203" xfId="0" applyFont="1" applyBorder="1" applyAlignment="1">
      <alignment/>
    </xf>
    <xf numFmtId="0" fontId="41" fillId="0" borderId="37" xfId="0" applyFont="1" applyBorder="1" applyAlignment="1">
      <alignment/>
    </xf>
    <xf numFmtId="0" fontId="25" fillId="24" borderId="204" xfId="0" applyFont="1" applyFill="1" applyBorder="1" applyAlignment="1">
      <alignment/>
    </xf>
    <xf numFmtId="0" fontId="41" fillId="0" borderId="179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41" fillId="0" borderId="152" xfId="0" applyFont="1" applyBorder="1" applyAlignment="1">
      <alignment horizontal="center"/>
    </xf>
    <xf numFmtId="0" fontId="23" fillId="0" borderId="90" xfId="0" applyFont="1" applyBorder="1" applyAlignment="1">
      <alignment/>
    </xf>
    <xf numFmtId="0" fontId="34" fillId="0" borderId="90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25" fillId="0" borderId="121" xfId="0" applyFont="1" applyBorder="1" applyAlignment="1">
      <alignment horizontal="center" wrapText="1"/>
    </xf>
    <xf numFmtId="0" fontId="41" fillId="0" borderId="104" xfId="0" applyFont="1" applyBorder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152" xfId="0" applyFont="1" applyBorder="1" applyAlignment="1">
      <alignment horizontal="center" vertical="center" wrapText="1"/>
    </xf>
    <xf numFmtId="3" fontId="19" fillId="0" borderId="179" xfId="0" applyNumberFormat="1" applyFont="1" applyBorder="1" applyAlignment="1">
      <alignment/>
    </xf>
    <xf numFmtId="0" fontId="25" fillId="0" borderId="104" xfId="0" applyFont="1" applyBorder="1" applyAlignment="1">
      <alignment horizontal="center" wrapText="1"/>
    </xf>
    <xf numFmtId="0" fontId="25" fillId="0" borderId="109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25" fillId="0" borderId="197" xfId="0" applyFont="1" applyBorder="1" applyAlignment="1">
      <alignment horizontal="center" wrapText="1"/>
    </xf>
    <xf numFmtId="0" fontId="41" fillId="0" borderId="104" xfId="0" applyFont="1" applyBorder="1" applyAlignment="1">
      <alignment horizontal="right"/>
    </xf>
    <xf numFmtId="3" fontId="25" fillId="0" borderId="85" xfId="0" applyNumberFormat="1" applyFont="1" applyBorder="1" applyAlignment="1">
      <alignment horizontal="right"/>
    </xf>
    <xf numFmtId="3" fontId="19" fillId="0" borderId="165" xfId="0" applyNumberFormat="1" applyFont="1" applyBorder="1" applyAlignment="1">
      <alignment horizontal="right"/>
    </xf>
    <xf numFmtId="3" fontId="32" fillId="0" borderId="75" xfId="0" applyNumberFormat="1" applyFont="1" applyBorder="1" applyAlignment="1">
      <alignment horizontal="right"/>
    </xf>
    <xf numFmtId="3" fontId="32" fillId="0" borderId="79" xfId="0" applyNumberFormat="1" applyFont="1" applyBorder="1" applyAlignment="1">
      <alignment horizontal="right"/>
    </xf>
    <xf numFmtId="3" fontId="32" fillId="0" borderId="84" xfId="0" applyNumberFormat="1" applyFont="1" applyBorder="1" applyAlignment="1">
      <alignment horizontal="right"/>
    </xf>
    <xf numFmtId="3" fontId="32" fillId="0" borderId="156" xfId="0" applyNumberFormat="1" applyFont="1" applyBorder="1" applyAlignment="1">
      <alignment horizontal="right"/>
    </xf>
    <xf numFmtId="3" fontId="32" fillId="0" borderId="84" xfId="0" applyNumberFormat="1" applyFont="1" applyBorder="1" applyAlignment="1">
      <alignment/>
    </xf>
    <xf numFmtId="3" fontId="32" fillId="0" borderId="156" xfId="0" applyNumberFormat="1" applyFont="1" applyBorder="1" applyAlignment="1">
      <alignment/>
    </xf>
    <xf numFmtId="3" fontId="49" fillId="0" borderId="85" xfId="0" applyNumberFormat="1" applyFont="1" applyBorder="1" applyAlignment="1">
      <alignment vertical="center" wrapText="1"/>
    </xf>
    <xf numFmtId="0" fontId="49" fillId="0" borderId="85" xfId="0" applyFont="1" applyBorder="1" applyAlignment="1">
      <alignment horizontal="right"/>
    </xf>
    <xf numFmtId="3" fontId="49" fillId="0" borderId="85" xfId="0" applyNumberFormat="1" applyFont="1" applyBorder="1" applyAlignment="1">
      <alignment horizontal="right"/>
    </xf>
    <xf numFmtId="3" fontId="49" fillId="0" borderId="154" xfId="0" applyNumberFormat="1" applyFont="1" applyBorder="1" applyAlignment="1">
      <alignment horizontal="right"/>
    </xf>
    <xf numFmtId="3" fontId="49" fillId="0" borderId="154" xfId="0" applyNumberFormat="1" applyFont="1" applyBorder="1" applyAlignment="1">
      <alignment/>
    </xf>
    <xf numFmtId="0" fontId="41" fillId="0" borderId="71" xfId="0" applyFont="1" applyBorder="1" applyAlignment="1">
      <alignment vertical="center"/>
    </xf>
    <xf numFmtId="3" fontId="19" fillId="0" borderId="205" xfId="0" applyNumberFormat="1" applyFont="1" applyBorder="1" applyAlignment="1">
      <alignment/>
    </xf>
    <xf numFmtId="3" fontId="19" fillId="0" borderId="206" xfId="0" applyNumberFormat="1" applyFont="1" applyBorder="1" applyAlignment="1">
      <alignment/>
    </xf>
    <xf numFmtId="0" fontId="19" fillId="0" borderId="142" xfId="0" applyFont="1" applyFill="1" applyBorder="1" applyAlignment="1">
      <alignment/>
    </xf>
    <xf numFmtId="0" fontId="19" fillId="0" borderId="207" xfId="0" applyFont="1" applyBorder="1" applyAlignment="1">
      <alignment/>
    </xf>
    <xf numFmtId="3" fontId="19" fillId="0" borderId="208" xfId="0" applyNumberFormat="1" applyFont="1" applyFill="1" applyBorder="1" applyAlignment="1">
      <alignment/>
    </xf>
    <xf numFmtId="0" fontId="19" fillId="0" borderId="209" xfId="0" applyFont="1" applyFill="1" applyBorder="1" applyAlignment="1">
      <alignment/>
    </xf>
    <xf numFmtId="0" fontId="41" fillId="0" borderId="116" xfId="0" applyFont="1" applyBorder="1" applyAlignment="1">
      <alignment wrapText="1"/>
    </xf>
    <xf numFmtId="0" fontId="19" fillId="0" borderId="109" xfId="0" applyFont="1" applyBorder="1" applyAlignment="1">
      <alignment horizontal="center"/>
    </xf>
    <xf numFmtId="0" fontId="19" fillId="0" borderId="121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19" fillId="0" borderId="101" xfId="0" applyFont="1" applyBorder="1" applyAlignment="1">
      <alignment/>
    </xf>
    <xf numFmtId="0" fontId="41" fillId="0" borderId="105" xfId="0" applyFont="1" applyBorder="1" applyAlignment="1">
      <alignment horizontal="center"/>
    </xf>
    <xf numFmtId="0" fontId="25" fillId="0" borderId="48" xfId="0" applyFont="1" applyBorder="1" applyAlignment="1">
      <alignment wrapText="1"/>
    </xf>
    <xf numFmtId="0" fontId="58" fillId="0" borderId="210" xfId="0" applyFont="1" applyBorder="1" applyAlignment="1">
      <alignment horizontal="center"/>
    </xf>
    <xf numFmtId="0" fontId="58" fillId="0" borderId="211" xfId="0" applyFont="1" applyBorder="1" applyAlignment="1">
      <alignment horizontal="center"/>
    </xf>
    <xf numFmtId="0" fontId="58" fillId="0" borderId="195" xfId="0" applyFont="1" applyBorder="1" applyAlignment="1">
      <alignment horizontal="center"/>
    </xf>
    <xf numFmtId="0" fontId="58" fillId="0" borderId="212" xfId="0" applyFont="1" applyBorder="1" applyAlignment="1">
      <alignment horizontal="center"/>
    </xf>
    <xf numFmtId="0" fontId="25" fillId="0" borderId="153" xfId="0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25" fillId="0" borderId="136" xfId="0" applyFont="1" applyBorder="1" applyAlignment="1">
      <alignment/>
    </xf>
    <xf numFmtId="3" fontId="25" fillId="0" borderId="48" xfId="0" applyNumberFormat="1" applyFont="1" applyBorder="1" applyAlignment="1">
      <alignment horizontal="right"/>
    </xf>
    <xf numFmtId="3" fontId="25" fillId="0" borderId="109" xfId="0" applyNumberFormat="1" applyFont="1" applyBorder="1" applyAlignment="1">
      <alignment horizontal="right"/>
    </xf>
    <xf numFmtId="0" fontId="25" fillId="0" borderId="47" xfId="0" applyFont="1" applyBorder="1" applyAlignment="1">
      <alignment horizontal="center"/>
    </xf>
    <xf numFmtId="0" fontId="25" fillId="0" borderId="109" xfId="0" applyFont="1" applyBorder="1" applyAlignment="1">
      <alignment horizontal="center" wrapText="1"/>
    </xf>
    <xf numFmtId="0" fontId="25" fillId="0" borderId="27" xfId="0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41" fillId="0" borderId="171" xfId="0" applyFont="1" applyBorder="1" applyAlignment="1">
      <alignment horizontal="right"/>
    </xf>
    <xf numFmtId="3" fontId="19" fillId="0" borderId="164" xfId="0" applyNumberFormat="1" applyFont="1" applyBorder="1" applyAlignment="1">
      <alignment horizontal="right"/>
    </xf>
    <xf numFmtId="0" fontId="25" fillId="0" borderId="160" xfId="0" applyFont="1" applyBorder="1" applyAlignment="1">
      <alignment/>
    </xf>
    <xf numFmtId="0" fontId="25" fillId="0" borderId="161" xfId="0" applyFont="1" applyBorder="1" applyAlignment="1">
      <alignment/>
    </xf>
    <xf numFmtId="0" fontId="25" fillId="0" borderId="213" xfId="0" applyFont="1" applyBorder="1" applyAlignment="1">
      <alignment horizontal="center" wrapText="1"/>
    </xf>
    <xf numFmtId="0" fontId="25" fillId="0" borderId="214" xfId="0" applyFont="1" applyBorder="1" applyAlignment="1">
      <alignment horizontal="center" wrapText="1"/>
    </xf>
    <xf numFmtId="0" fontId="41" fillId="0" borderId="215" xfId="0" applyFont="1" applyBorder="1" applyAlignment="1">
      <alignment horizontal="right"/>
    </xf>
    <xf numFmtId="0" fontId="25" fillId="0" borderId="180" xfId="0" applyFont="1" applyBorder="1" applyAlignment="1">
      <alignment/>
    </xf>
    <xf numFmtId="3" fontId="25" fillId="0" borderId="74" xfId="0" applyNumberFormat="1" applyFont="1" applyBorder="1" applyAlignment="1">
      <alignment/>
    </xf>
    <xf numFmtId="3" fontId="25" fillId="0" borderId="216" xfId="0" applyNumberFormat="1" applyFont="1" applyBorder="1" applyAlignment="1">
      <alignment/>
    </xf>
    <xf numFmtId="0" fontId="58" fillId="0" borderId="104" xfId="0" applyFont="1" applyBorder="1" applyAlignment="1">
      <alignment horizontal="right"/>
    </xf>
    <xf numFmtId="0" fontId="39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17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19" fillId="0" borderId="218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41" fillId="0" borderId="196" xfId="0" applyFont="1" applyBorder="1" applyAlignment="1">
      <alignment horizontal="right"/>
    </xf>
    <xf numFmtId="3" fontId="25" fillId="0" borderId="165" xfId="0" applyNumberFormat="1" applyFont="1" applyBorder="1" applyAlignment="1">
      <alignment horizontal="right"/>
    </xf>
    <xf numFmtId="0" fontId="25" fillId="0" borderId="48" xfId="0" applyFont="1" applyBorder="1" applyAlignment="1">
      <alignment horizontal="center"/>
    </xf>
    <xf numFmtId="0" fontId="41" fillId="0" borderId="103" xfId="0" applyFont="1" applyBorder="1" applyAlignment="1">
      <alignment horizontal="right"/>
    </xf>
    <xf numFmtId="0" fontId="41" fillId="0" borderId="219" xfId="0" applyFont="1" applyBorder="1" applyAlignment="1">
      <alignment horizontal="right"/>
    </xf>
    <xf numFmtId="0" fontId="25" fillId="0" borderId="99" xfId="0" applyFont="1" applyBorder="1" applyAlignment="1">
      <alignment horizontal="right"/>
    </xf>
    <xf numFmtId="0" fontId="25" fillId="0" borderId="99" xfId="0" applyFont="1" applyBorder="1" applyAlignment="1">
      <alignment horizontal="center"/>
    </xf>
    <xf numFmtId="3" fontId="25" fillId="0" borderId="139" xfId="0" applyNumberFormat="1" applyFont="1" applyBorder="1" applyAlignment="1">
      <alignment/>
    </xf>
    <xf numFmtId="3" fontId="19" fillId="0" borderId="141" xfId="0" applyNumberFormat="1" applyFont="1" applyBorder="1" applyAlignment="1">
      <alignment/>
    </xf>
    <xf numFmtId="0" fontId="23" fillId="0" borderId="90" xfId="0" applyFont="1" applyBorder="1" applyAlignment="1">
      <alignment horizontal="center"/>
    </xf>
    <xf numFmtId="0" fontId="19" fillId="0" borderId="83" xfId="0" applyFont="1" applyBorder="1" applyAlignment="1">
      <alignment horizontal="right"/>
    </xf>
    <xf numFmtId="0" fontId="41" fillId="0" borderId="89" xfId="0" applyFont="1" applyBorder="1" applyAlignment="1">
      <alignment horizontal="center"/>
    </xf>
    <xf numFmtId="0" fontId="19" fillId="0" borderId="93" xfId="0" applyFont="1" applyBorder="1" applyAlignment="1">
      <alignment horizontal="right"/>
    </xf>
    <xf numFmtId="0" fontId="19" fillId="0" borderId="95" xfId="0" applyFont="1" applyBorder="1" applyAlignment="1">
      <alignment horizontal="right"/>
    </xf>
    <xf numFmtId="0" fontId="19" fillId="0" borderId="138" xfId="0" applyFont="1" applyBorder="1" applyAlignment="1">
      <alignment horizontal="center"/>
    </xf>
    <xf numFmtId="0" fontId="25" fillId="0" borderId="86" xfId="0" applyFont="1" applyBorder="1" applyAlignment="1">
      <alignment/>
    </xf>
    <xf numFmtId="0" fontId="19" fillId="0" borderId="179" xfId="0" applyFont="1" applyBorder="1" applyAlignment="1">
      <alignment/>
    </xf>
    <xf numFmtId="0" fontId="0" fillId="0" borderId="210" xfId="0" applyBorder="1" applyAlignment="1">
      <alignment/>
    </xf>
    <xf numFmtId="0" fontId="23" fillId="0" borderId="136" xfId="0" applyFont="1" applyBorder="1" applyAlignment="1">
      <alignment horizontal="center"/>
    </xf>
    <xf numFmtId="0" fontId="25" fillId="0" borderId="220" xfId="0" applyFont="1" applyBorder="1" applyAlignment="1">
      <alignment/>
    </xf>
    <xf numFmtId="0" fontId="19" fillId="0" borderId="146" xfId="0" applyFont="1" applyBorder="1" applyAlignment="1">
      <alignment horizontal="center"/>
    </xf>
    <xf numFmtId="0" fontId="19" fillId="0" borderId="147" xfId="0" applyFont="1" applyBorder="1" applyAlignment="1">
      <alignment/>
    </xf>
    <xf numFmtId="0" fontId="25" fillId="0" borderId="145" xfId="0" applyFont="1" applyBorder="1" applyAlignment="1">
      <alignment/>
    </xf>
    <xf numFmtId="0" fontId="19" fillId="0" borderId="146" xfId="0" applyFont="1" applyBorder="1" applyAlignment="1">
      <alignment/>
    </xf>
    <xf numFmtId="0" fontId="19" fillId="0" borderId="117" xfId="0" applyFont="1" applyBorder="1" applyAlignment="1">
      <alignment/>
    </xf>
    <xf numFmtId="0" fontId="34" fillId="0" borderId="109" xfId="0" applyFont="1" applyBorder="1" applyAlignment="1">
      <alignment wrapText="1"/>
    </xf>
    <xf numFmtId="0" fontId="19" fillId="0" borderId="195" xfId="0" applyFont="1" applyBorder="1" applyAlignment="1">
      <alignment wrapText="1"/>
    </xf>
    <xf numFmtId="0" fontId="39" fillId="0" borderId="0" xfId="0" applyFont="1" applyBorder="1" applyAlignment="1">
      <alignment/>
    </xf>
    <xf numFmtId="0" fontId="25" fillId="0" borderId="27" xfId="0" applyFont="1" applyBorder="1" applyAlignment="1">
      <alignment wrapText="1"/>
    </xf>
    <xf numFmtId="0" fontId="59" fillId="0" borderId="109" xfId="0" applyFont="1" applyBorder="1" applyAlignment="1">
      <alignment/>
    </xf>
    <xf numFmtId="0" fontId="58" fillId="0" borderId="221" xfId="0" applyFont="1" applyBorder="1" applyAlignment="1">
      <alignment wrapText="1"/>
    </xf>
    <xf numFmtId="0" fontId="25" fillId="0" borderId="163" xfId="0" applyFont="1" applyBorder="1" applyAlignment="1">
      <alignment horizontal="center"/>
    </xf>
    <xf numFmtId="0" fontId="25" fillId="0" borderId="176" xfId="0" applyFont="1" applyBorder="1" applyAlignment="1">
      <alignment horizontal="center"/>
    </xf>
    <xf numFmtId="0" fontId="19" fillId="0" borderId="107" xfId="0" applyFont="1" applyBorder="1" applyAlignment="1">
      <alignment horizontal="center"/>
    </xf>
    <xf numFmtId="0" fontId="19" fillId="0" borderId="116" xfId="0" applyFont="1" applyBorder="1" applyAlignment="1">
      <alignment wrapText="1"/>
    </xf>
    <xf numFmtId="0" fontId="41" fillId="0" borderId="78" xfId="0" applyFont="1" applyBorder="1" applyAlignment="1">
      <alignment horizontal="right"/>
    </xf>
    <xf numFmtId="0" fontId="0" fillId="0" borderId="78" xfId="0" applyBorder="1" applyAlignment="1">
      <alignment/>
    </xf>
    <xf numFmtId="0" fontId="41" fillId="0" borderId="78" xfId="0" applyFont="1" applyFill="1" applyBorder="1" applyAlignment="1">
      <alignment horizontal="right"/>
    </xf>
    <xf numFmtId="0" fontId="58" fillId="0" borderId="78" xfId="0" applyFont="1" applyBorder="1" applyAlignment="1">
      <alignment horizontal="right"/>
    </xf>
    <xf numFmtId="0" fontId="19" fillId="0" borderId="104" xfId="0" applyFont="1" applyBorder="1" applyAlignment="1">
      <alignment horizontal="center" wrapText="1"/>
    </xf>
    <xf numFmtId="0" fontId="41" fillId="0" borderId="222" xfId="0" applyFont="1" applyBorder="1" applyAlignment="1">
      <alignment horizontal="right"/>
    </xf>
    <xf numFmtId="0" fontId="0" fillId="0" borderId="157" xfId="0" applyBorder="1" applyAlignment="1">
      <alignment/>
    </xf>
    <xf numFmtId="0" fontId="41" fillId="0" borderId="148" xfId="0" applyFont="1" applyFill="1" applyBorder="1" applyAlignment="1">
      <alignment horizontal="right"/>
    </xf>
    <xf numFmtId="0" fontId="41" fillId="0" borderId="104" xfId="0" applyFont="1" applyFill="1" applyBorder="1" applyAlignment="1">
      <alignment horizontal="right"/>
    </xf>
    <xf numFmtId="0" fontId="0" fillId="0" borderId="80" xfId="0" applyBorder="1" applyAlignment="1">
      <alignment/>
    </xf>
    <xf numFmtId="0" fontId="31" fillId="0" borderId="148" xfId="0" applyFont="1" applyBorder="1" applyAlignment="1">
      <alignment/>
    </xf>
    <xf numFmtId="0" fontId="41" fillId="0" borderId="148" xfId="0" applyFont="1" applyBorder="1" applyAlignment="1">
      <alignment horizontal="right"/>
    </xf>
    <xf numFmtId="0" fontId="41" fillId="0" borderId="80" xfId="0" applyFont="1" applyBorder="1" applyAlignment="1">
      <alignment horizontal="right"/>
    </xf>
    <xf numFmtId="0" fontId="58" fillId="0" borderId="148" xfId="0" applyFont="1" applyBorder="1" applyAlignment="1">
      <alignment horizontal="right"/>
    </xf>
    <xf numFmtId="3" fontId="19" fillId="24" borderId="137" xfId="0" applyNumberFormat="1" applyFont="1" applyFill="1" applyBorder="1" applyAlignment="1">
      <alignment/>
    </xf>
    <xf numFmtId="3" fontId="19" fillId="24" borderId="135" xfId="0" applyNumberFormat="1" applyFont="1" applyFill="1" applyBorder="1" applyAlignment="1">
      <alignment/>
    </xf>
    <xf numFmtId="3" fontId="19" fillId="24" borderId="15" xfId="0" applyNumberFormat="1" applyFont="1" applyFill="1" applyBorder="1" applyAlignment="1">
      <alignment/>
    </xf>
    <xf numFmtId="0" fontId="25" fillId="0" borderId="104" xfId="0" applyFont="1" applyBorder="1" applyAlignment="1">
      <alignment wrapText="1"/>
    </xf>
    <xf numFmtId="3" fontId="19" fillId="24" borderId="146" xfId="0" applyNumberFormat="1" applyFont="1" applyFill="1" applyBorder="1" applyAlignment="1">
      <alignment/>
    </xf>
    <xf numFmtId="3" fontId="19" fillId="24" borderId="117" xfId="0" applyNumberFormat="1" applyFont="1" applyFill="1" applyBorder="1" applyAlignment="1">
      <alignment/>
    </xf>
    <xf numFmtId="0" fontId="25" fillId="0" borderId="213" xfId="0" applyFont="1" applyBorder="1" applyAlignment="1">
      <alignment wrapText="1"/>
    </xf>
    <xf numFmtId="3" fontId="25" fillId="0" borderId="180" xfId="0" applyNumberFormat="1" applyFont="1" applyBorder="1" applyAlignment="1">
      <alignment/>
    </xf>
    <xf numFmtId="0" fontId="41" fillId="0" borderId="87" xfId="0" applyFont="1" applyBorder="1" applyAlignment="1">
      <alignment horizontal="right"/>
    </xf>
    <xf numFmtId="0" fontId="41" fillId="0" borderId="104" xfId="0" applyFont="1" applyBorder="1" applyAlignment="1">
      <alignment horizontal="center"/>
    </xf>
    <xf numFmtId="0" fontId="25" fillId="0" borderId="49" xfId="0" applyFont="1" applyBorder="1" applyAlignment="1">
      <alignment wrapText="1"/>
    </xf>
    <xf numFmtId="0" fontId="23" fillId="0" borderId="223" xfId="0" applyFont="1" applyBorder="1" applyAlignment="1">
      <alignment/>
    </xf>
    <xf numFmtId="0" fontId="25" fillId="0" borderId="111" xfId="0" applyFont="1" applyBorder="1" applyAlignment="1">
      <alignment/>
    </xf>
    <xf numFmtId="0" fontId="25" fillId="0" borderId="112" xfId="0" applyFont="1" applyBorder="1" applyAlignment="1">
      <alignment/>
    </xf>
    <xf numFmtId="3" fontId="25" fillId="0" borderId="68" xfId="0" applyNumberFormat="1" applyFont="1" applyBorder="1" applyAlignment="1">
      <alignment/>
    </xf>
    <xf numFmtId="3" fontId="25" fillId="0" borderId="72" xfId="0" applyNumberFormat="1" applyFont="1" applyBorder="1" applyAlignment="1">
      <alignment/>
    </xf>
    <xf numFmtId="0" fontId="25" fillId="0" borderId="224" xfId="0" applyFont="1" applyBorder="1" applyAlignment="1">
      <alignment/>
    </xf>
    <xf numFmtId="0" fontId="19" fillId="0" borderId="225" xfId="0" applyFont="1" applyBorder="1" applyAlignment="1">
      <alignment/>
    </xf>
    <xf numFmtId="0" fontId="19" fillId="0" borderId="106" xfId="0" applyFont="1" applyBorder="1" applyAlignment="1">
      <alignment horizontal="center"/>
    </xf>
    <xf numFmtId="0" fontId="19" fillId="0" borderId="226" xfId="0" applyFont="1" applyBorder="1" applyAlignment="1">
      <alignment horizontal="right"/>
    </xf>
    <xf numFmtId="0" fontId="41" fillId="0" borderId="90" xfId="0" applyFont="1" applyBorder="1" applyAlignment="1">
      <alignment wrapText="1"/>
    </xf>
    <xf numFmtId="0" fontId="41" fillId="0" borderId="98" xfId="0" applyFont="1" applyBorder="1" applyAlignment="1">
      <alignment horizontal="center"/>
    </xf>
    <xf numFmtId="0" fontId="25" fillId="0" borderId="121" xfId="0" applyFont="1" applyBorder="1" applyAlignment="1">
      <alignment horizontal="center" vertical="center" wrapText="1"/>
    </xf>
    <xf numFmtId="3" fontId="76" fillId="0" borderId="99" xfId="0" applyNumberFormat="1" applyFont="1" applyBorder="1" applyAlignment="1">
      <alignment/>
    </xf>
    <xf numFmtId="3" fontId="19" fillId="0" borderId="99" xfId="0" applyNumberFormat="1" applyFont="1" applyFill="1" applyBorder="1" applyAlignment="1">
      <alignment/>
    </xf>
    <xf numFmtId="3" fontId="76" fillId="0" borderId="175" xfId="0" applyNumberFormat="1" applyFont="1" applyBorder="1" applyAlignment="1">
      <alignment/>
    </xf>
    <xf numFmtId="0" fontId="25" fillId="0" borderId="104" xfId="0" applyFont="1" applyBorder="1" applyAlignment="1">
      <alignment horizontal="left" vertical="center"/>
    </xf>
    <xf numFmtId="0" fontId="36" fillId="0" borderId="117" xfId="0" applyFont="1" applyBorder="1" applyAlignment="1">
      <alignment/>
    </xf>
    <xf numFmtId="0" fontId="37" fillId="0" borderId="117" xfId="0" applyFont="1" applyBorder="1" applyAlignment="1">
      <alignment/>
    </xf>
    <xf numFmtId="0" fontId="38" fillId="0" borderId="117" xfId="0" applyFont="1" applyBorder="1" applyAlignment="1">
      <alignment/>
    </xf>
    <xf numFmtId="0" fontId="40" fillId="0" borderId="117" xfId="0" applyFont="1" applyBorder="1" applyAlignment="1">
      <alignment/>
    </xf>
    <xf numFmtId="0" fontId="19" fillId="0" borderId="117" xfId="0" applyFont="1" applyBorder="1" applyAlignment="1">
      <alignment wrapText="1"/>
    </xf>
    <xf numFmtId="0" fontId="76" fillId="0" borderId="86" xfId="0" applyFont="1" applyBorder="1" applyAlignment="1">
      <alignment/>
    </xf>
    <xf numFmtId="0" fontId="19" fillId="0" borderId="86" xfId="0" applyFont="1" applyFill="1" applyBorder="1" applyAlignment="1">
      <alignment/>
    </xf>
    <xf numFmtId="0" fontId="76" fillId="0" borderId="86" xfId="0" applyFont="1" applyFill="1" applyBorder="1" applyAlignment="1">
      <alignment/>
    </xf>
    <xf numFmtId="0" fontId="76" fillId="0" borderId="179" xfId="0" applyFont="1" applyFill="1" applyBorder="1" applyAlignment="1">
      <alignment/>
    </xf>
    <xf numFmtId="3" fontId="76" fillId="0" borderId="99" xfId="0" applyNumberFormat="1" applyFont="1" applyFill="1" applyBorder="1" applyAlignment="1">
      <alignment/>
    </xf>
    <xf numFmtId="0" fontId="76" fillId="0" borderId="103" xfId="0" applyFont="1" applyBorder="1" applyAlignment="1">
      <alignment/>
    </xf>
    <xf numFmtId="3" fontId="76" fillId="0" borderId="100" xfId="0" applyNumberFormat="1" applyFont="1" applyBorder="1" applyAlignment="1">
      <alignment/>
    </xf>
    <xf numFmtId="0" fontId="25" fillId="0" borderId="132" xfId="0" applyFont="1" applyBorder="1" applyAlignment="1">
      <alignment/>
    </xf>
    <xf numFmtId="3" fontId="25" fillId="0" borderId="227" xfId="0" applyNumberFormat="1" applyFont="1" applyBorder="1" applyAlignment="1">
      <alignment/>
    </xf>
    <xf numFmtId="0" fontId="25" fillId="0" borderId="83" xfId="0" applyFont="1" applyBorder="1" applyAlignment="1">
      <alignment horizontal="right"/>
    </xf>
    <xf numFmtId="0" fontId="19" fillId="0" borderId="98" xfId="0" applyFont="1" applyBorder="1" applyAlignment="1">
      <alignment horizontal="right"/>
    </xf>
    <xf numFmtId="0" fontId="19" fillId="0" borderId="104" xfId="0" applyFont="1" applyBorder="1" applyAlignment="1">
      <alignment horizontal="right"/>
    </xf>
    <xf numFmtId="0" fontId="19" fillId="0" borderId="87" xfId="0" applyFont="1" applyBorder="1" applyAlignment="1">
      <alignment horizontal="right"/>
    </xf>
    <xf numFmtId="3" fontId="25" fillId="0" borderId="228" xfId="0" applyNumberFormat="1" applyFont="1" applyBorder="1" applyAlignment="1">
      <alignment/>
    </xf>
    <xf numFmtId="0" fontId="25" fillId="0" borderId="177" xfId="0" applyFont="1" applyBorder="1" applyAlignment="1">
      <alignment horizontal="left" vertical="center"/>
    </xf>
    <xf numFmtId="0" fontId="25" fillId="0" borderId="229" xfId="0" applyFont="1" applyBorder="1" applyAlignment="1">
      <alignment/>
    </xf>
    <xf numFmtId="0" fontId="25" fillId="0" borderId="117" xfId="0" applyFont="1" applyBorder="1" applyAlignment="1">
      <alignment/>
    </xf>
    <xf numFmtId="0" fontId="25" fillId="0" borderId="230" xfId="0" applyFont="1" applyBorder="1" applyAlignment="1">
      <alignment/>
    </xf>
    <xf numFmtId="0" fontId="25" fillId="0" borderId="72" xfId="0" applyFont="1" applyBorder="1" applyAlignment="1">
      <alignment horizontal="center"/>
    </xf>
    <xf numFmtId="3" fontId="19" fillId="0" borderId="216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0" fontId="41" fillId="0" borderId="170" xfId="0" applyFont="1" applyBorder="1" applyAlignment="1">
      <alignment horizontal="right"/>
    </xf>
    <xf numFmtId="0" fontId="58" fillId="0" borderId="47" xfId="0" applyFont="1" applyBorder="1" applyAlignment="1">
      <alignment horizontal="center"/>
    </xf>
    <xf numFmtId="0" fontId="58" fillId="0" borderId="48" xfId="0" applyFont="1" applyBorder="1" applyAlignment="1">
      <alignment horizontal="center"/>
    </xf>
    <xf numFmtId="0" fontId="58" fillId="0" borderId="109" xfId="0" applyFont="1" applyBorder="1" applyAlignment="1">
      <alignment horizontal="center"/>
    </xf>
    <xf numFmtId="0" fontId="25" fillId="0" borderId="49" xfId="0" applyFont="1" applyBorder="1" applyAlignment="1">
      <alignment horizontal="center" vertical="center"/>
    </xf>
    <xf numFmtId="0" fontId="25" fillId="0" borderId="217" xfId="0" applyFont="1" applyBorder="1" applyAlignment="1">
      <alignment horizontal="center" vertical="center"/>
    </xf>
    <xf numFmtId="0" fontId="19" fillId="0" borderId="148" xfId="0" applyFont="1" applyBorder="1" applyAlignment="1">
      <alignment wrapText="1"/>
    </xf>
    <xf numFmtId="0" fontId="32" fillId="0" borderId="81" xfId="0" applyFont="1" applyBorder="1" applyAlignment="1">
      <alignment horizontal="right"/>
    </xf>
    <xf numFmtId="3" fontId="32" fillId="0" borderId="81" xfId="0" applyNumberFormat="1" applyFont="1" applyBorder="1" applyAlignment="1">
      <alignment horizontal="right"/>
    </xf>
    <xf numFmtId="3" fontId="32" fillId="0" borderId="82" xfId="0" applyNumberFormat="1" applyFont="1" applyBorder="1" applyAlignment="1">
      <alignment horizontal="right"/>
    </xf>
    <xf numFmtId="0" fontId="25" fillId="0" borderId="121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220" xfId="0" applyFont="1" applyBorder="1" applyAlignment="1">
      <alignment horizontal="center" vertical="center"/>
    </xf>
    <xf numFmtId="0" fontId="25" fillId="0" borderId="216" xfId="0" applyFont="1" applyBorder="1" applyAlignment="1">
      <alignment horizontal="center" vertical="center"/>
    </xf>
    <xf numFmtId="0" fontId="33" fillId="0" borderId="148" xfId="0" applyFont="1" applyBorder="1" applyAlignment="1">
      <alignment vertical="center"/>
    </xf>
    <xf numFmtId="3" fontId="32" fillId="0" borderId="81" xfId="0" applyNumberFormat="1" applyFont="1" applyBorder="1" applyAlignment="1">
      <alignment/>
    </xf>
    <xf numFmtId="3" fontId="32" fillId="0" borderId="82" xfId="0" applyNumberFormat="1" applyFont="1" applyBorder="1" applyAlignment="1">
      <alignment/>
    </xf>
    <xf numFmtId="0" fontId="58" fillId="0" borderId="49" xfId="0" applyFont="1" applyBorder="1" applyAlignment="1">
      <alignment horizontal="center"/>
    </xf>
    <xf numFmtId="0" fontId="23" fillId="0" borderId="144" xfId="0" applyFont="1" applyBorder="1" applyAlignment="1">
      <alignment/>
    </xf>
    <xf numFmtId="0" fontId="25" fillId="0" borderId="223" xfId="0" applyFont="1" applyBorder="1" applyAlignment="1">
      <alignment/>
    </xf>
    <xf numFmtId="0" fontId="25" fillId="0" borderId="72" xfId="0" applyFont="1" applyBorder="1" applyAlignment="1">
      <alignment/>
    </xf>
    <xf numFmtId="0" fontId="25" fillId="0" borderId="104" xfId="0" applyFont="1" applyBorder="1" applyAlignment="1">
      <alignment horizontal="center" vertical="center"/>
    </xf>
    <xf numFmtId="0" fontId="58" fillId="0" borderId="90" xfId="0" applyFont="1" applyBorder="1" applyAlignment="1">
      <alignment horizontal="center"/>
    </xf>
    <xf numFmtId="0" fontId="19" fillId="0" borderId="231" xfId="0" applyFont="1" applyBorder="1" applyAlignment="1">
      <alignment/>
    </xf>
    <xf numFmtId="0" fontId="19" fillId="0" borderId="135" xfId="0" applyFont="1" applyBorder="1" applyAlignment="1">
      <alignment/>
    </xf>
    <xf numFmtId="0" fontId="19" fillId="0" borderId="232" xfId="0" applyFont="1" applyBorder="1" applyAlignment="1">
      <alignment/>
    </xf>
    <xf numFmtId="0" fontId="25" fillId="0" borderId="116" xfId="0" applyFont="1" applyBorder="1" applyAlignment="1">
      <alignment/>
    </xf>
    <xf numFmtId="0" fontId="25" fillId="0" borderId="106" xfId="0" applyFont="1" applyBorder="1" applyAlignment="1">
      <alignment/>
    </xf>
    <xf numFmtId="0" fontId="58" fillId="0" borderId="104" xfId="0" applyFont="1" applyBorder="1" applyAlignment="1">
      <alignment horizontal="center"/>
    </xf>
    <xf numFmtId="0" fontId="19" fillId="0" borderId="152" xfId="0" applyFont="1" applyBorder="1" applyAlignment="1">
      <alignment/>
    </xf>
    <xf numFmtId="0" fontId="25" fillId="0" borderId="102" xfId="0" applyFont="1" applyBorder="1" applyAlignment="1">
      <alignment/>
    </xf>
    <xf numFmtId="3" fontId="32" fillId="0" borderId="153" xfId="0" applyNumberFormat="1" applyFont="1" applyBorder="1" applyAlignment="1">
      <alignment horizontal="right"/>
    </xf>
    <xf numFmtId="3" fontId="32" fillId="0" borderId="99" xfId="0" applyNumberFormat="1" applyFont="1" applyBorder="1" applyAlignment="1">
      <alignment horizontal="right"/>
    </xf>
    <xf numFmtId="3" fontId="49" fillId="0" borderId="121" xfId="0" applyNumberFormat="1" applyFont="1" applyBorder="1" applyAlignment="1">
      <alignment horizontal="right"/>
    </xf>
    <xf numFmtId="3" fontId="32" fillId="0" borderId="152" xfId="0" applyNumberFormat="1" applyFont="1" applyBorder="1" applyAlignment="1">
      <alignment horizontal="right"/>
    </xf>
    <xf numFmtId="3" fontId="32" fillId="0" borderId="86" xfId="0" applyNumberFormat="1" applyFont="1" applyBorder="1" applyAlignment="1">
      <alignment horizontal="right"/>
    </xf>
    <xf numFmtId="3" fontId="32" fillId="0" borderId="103" xfId="0" applyNumberFormat="1" applyFont="1" applyBorder="1" applyAlignment="1">
      <alignment horizontal="right"/>
    </xf>
    <xf numFmtId="3" fontId="49" fillId="0" borderId="104" xfId="0" applyNumberFormat="1" applyFont="1" applyBorder="1" applyAlignment="1">
      <alignment horizontal="right"/>
    </xf>
    <xf numFmtId="0" fontId="25" fillId="0" borderId="105" xfId="0" applyFont="1" applyBorder="1" applyAlignment="1">
      <alignment horizontal="right"/>
    </xf>
    <xf numFmtId="0" fontId="19" fillId="0" borderId="110" xfId="0" applyFont="1" applyBorder="1" applyAlignment="1">
      <alignment/>
    </xf>
    <xf numFmtId="3" fontId="19" fillId="0" borderId="87" xfId="0" applyNumberFormat="1" applyFont="1" applyBorder="1" applyAlignment="1">
      <alignment/>
    </xf>
    <xf numFmtId="0" fontId="25" fillId="0" borderId="109" xfId="0" applyFont="1" applyBorder="1" applyAlignment="1">
      <alignment vertical="center"/>
    </xf>
    <xf numFmtId="0" fontId="25" fillId="0" borderId="108" xfId="0" applyFont="1" applyBorder="1" applyAlignment="1">
      <alignment vertical="center"/>
    </xf>
    <xf numFmtId="0" fontId="19" fillId="0" borderId="10" xfId="0" applyFont="1" applyFill="1" applyBorder="1" applyAlignment="1">
      <alignment/>
    </xf>
    <xf numFmtId="0" fontId="25" fillId="0" borderId="25" xfId="0" applyFont="1" applyBorder="1" applyAlignment="1">
      <alignment/>
    </xf>
    <xf numFmtId="0" fontId="19" fillId="0" borderId="25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52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109" xfId="0" applyFont="1" applyBorder="1" applyAlignment="1">
      <alignment/>
    </xf>
    <xf numFmtId="0" fontId="58" fillId="0" borderId="27" xfId="0" applyFont="1" applyBorder="1" applyAlignment="1">
      <alignment wrapText="1"/>
    </xf>
    <xf numFmtId="0" fontId="59" fillId="0" borderId="25" xfId="0" applyFont="1" applyBorder="1" applyAlignment="1">
      <alignment/>
    </xf>
    <xf numFmtId="0" fontId="59" fillId="0" borderId="109" xfId="0" applyFont="1" applyBorder="1" applyAlignment="1">
      <alignment wrapText="1"/>
    </xf>
    <xf numFmtId="0" fontId="59" fillId="0" borderId="108" xfId="0" applyFont="1" applyBorder="1" applyAlignment="1">
      <alignment/>
    </xf>
    <xf numFmtId="0" fontId="59" fillId="0" borderId="54" xfId="0" applyFont="1" applyBorder="1" applyAlignment="1">
      <alignment/>
    </xf>
    <xf numFmtId="0" fontId="58" fillId="0" borderId="109" xfId="0" applyFont="1" applyBorder="1" applyAlignment="1">
      <alignment/>
    </xf>
    <xf numFmtId="0" fontId="39" fillId="0" borderId="108" xfId="0" applyFont="1" applyBorder="1" applyAlignment="1">
      <alignment/>
    </xf>
    <xf numFmtId="0" fontId="25" fillId="0" borderId="221" xfId="0" applyFont="1" applyBorder="1" applyAlignment="1">
      <alignment/>
    </xf>
    <xf numFmtId="0" fontId="19" fillId="0" borderId="116" xfId="0" applyFont="1" applyBorder="1" applyAlignment="1">
      <alignment horizontal="center" wrapText="1"/>
    </xf>
    <xf numFmtId="0" fontId="41" fillId="0" borderId="80" xfId="0" applyFont="1" applyFill="1" applyBorder="1" applyAlignment="1">
      <alignment horizontal="right"/>
    </xf>
    <xf numFmtId="0" fontId="41" fillId="0" borderId="157" xfId="0" applyFont="1" applyBorder="1" applyAlignment="1">
      <alignment horizontal="right"/>
    </xf>
    <xf numFmtId="0" fontId="34" fillId="0" borderId="7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5" fillId="0" borderId="109" xfId="0" applyFont="1" applyBorder="1" applyAlignment="1">
      <alignment horizontal="center" vertical="center"/>
    </xf>
    <xf numFmtId="3" fontId="39" fillId="0" borderId="89" xfId="0" applyNumberFormat="1" applyFont="1" applyBorder="1" applyAlignment="1">
      <alignment/>
    </xf>
    <xf numFmtId="3" fontId="39" fillId="0" borderId="174" xfId="0" applyNumberFormat="1" applyFont="1" applyBorder="1" applyAlignment="1">
      <alignment/>
    </xf>
    <xf numFmtId="0" fontId="58" fillId="0" borderId="121" xfId="0" applyFont="1" applyBorder="1" applyAlignment="1">
      <alignment horizontal="center" vertical="center" wrapText="1"/>
    </xf>
    <xf numFmtId="0" fontId="23" fillId="0" borderId="160" xfId="0" applyFont="1" applyBorder="1" applyAlignment="1">
      <alignment horizontal="center" vertical="center"/>
    </xf>
    <xf numFmtId="0" fontId="23" fillId="0" borderId="214" xfId="0" applyFont="1" applyBorder="1" applyAlignment="1">
      <alignment horizontal="center" vertical="center" wrapText="1"/>
    </xf>
    <xf numFmtId="3" fontId="33" fillId="0" borderId="62" xfId="40" applyNumberFormat="1" applyFont="1" applyFill="1" applyBorder="1" applyAlignment="1" applyProtection="1">
      <alignment horizontal="right" vertical="center"/>
      <protection/>
    </xf>
    <xf numFmtId="3" fontId="33" fillId="0" borderId="60" xfId="40" applyNumberFormat="1" applyFont="1" applyFill="1" applyBorder="1" applyAlignment="1" applyProtection="1">
      <alignment horizontal="right" vertical="center"/>
      <protection/>
    </xf>
    <xf numFmtId="3" fontId="23" fillId="0" borderId="60" xfId="40" applyNumberFormat="1" applyFont="1" applyFill="1" applyBorder="1" applyAlignment="1" applyProtection="1">
      <alignment horizontal="right" vertical="center"/>
      <protection/>
    </xf>
    <xf numFmtId="3" fontId="23" fillId="0" borderId="61" xfId="40" applyNumberFormat="1" applyFont="1" applyFill="1" applyBorder="1" applyAlignment="1" applyProtection="1">
      <alignment horizontal="right" vertical="center"/>
      <protection/>
    </xf>
    <xf numFmtId="3" fontId="23" fillId="0" borderId="112" xfId="40" applyNumberFormat="1" applyFont="1" applyFill="1" applyBorder="1" applyAlignment="1" applyProtection="1">
      <alignment horizontal="right" vertical="center"/>
      <protection/>
    </xf>
    <xf numFmtId="3" fontId="23" fillId="0" borderId="63" xfId="40" applyNumberFormat="1" applyFont="1" applyFill="1" applyBorder="1" applyAlignment="1" applyProtection="1">
      <alignment horizontal="right" vertical="center"/>
      <protection/>
    </xf>
    <xf numFmtId="3" fontId="23" fillId="0" borderId="68" xfId="40" applyNumberFormat="1" applyFont="1" applyFill="1" applyBorder="1" applyAlignment="1" applyProtection="1">
      <alignment horizontal="right" vertical="center"/>
      <protection/>
    </xf>
    <xf numFmtId="3" fontId="23" fillId="0" borderId="216" xfId="40" applyNumberFormat="1" applyFont="1" applyFill="1" applyBorder="1" applyAlignment="1" applyProtection="1">
      <alignment horizontal="right" vertical="center"/>
      <protection/>
    </xf>
    <xf numFmtId="0" fontId="23" fillId="0" borderId="92" xfId="0" applyFont="1" applyBorder="1" applyAlignment="1">
      <alignment vertical="center"/>
    </xf>
    <xf numFmtId="3" fontId="23" fillId="0" borderId="64" xfId="0" applyNumberFormat="1" applyFont="1" applyBorder="1" applyAlignment="1">
      <alignment horizontal="right" vertical="center" wrapText="1"/>
    </xf>
    <xf numFmtId="0" fontId="41" fillId="0" borderId="152" xfId="0" applyFont="1" applyBorder="1" applyAlignment="1">
      <alignment horizontal="right"/>
    </xf>
    <xf numFmtId="0" fontId="41" fillId="0" borderId="210" xfId="0" applyFont="1" applyBorder="1" applyAlignment="1">
      <alignment horizontal="right"/>
    </xf>
    <xf numFmtId="0" fontId="23" fillId="0" borderId="27" xfId="0" applyFont="1" applyBorder="1" applyAlignment="1">
      <alignment vertical="center"/>
    </xf>
    <xf numFmtId="0" fontId="41" fillId="0" borderId="47" xfId="0" applyFont="1" applyBorder="1" applyAlignment="1">
      <alignment horizontal="right"/>
    </xf>
    <xf numFmtId="3" fontId="25" fillId="0" borderId="49" xfId="0" applyNumberFormat="1" applyFont="1" applyBorder="1" applyAlignment="1">
      <alignment vertical="center"/>
    </xf>
    <xf numFmtId="0" fontId="23" fillId="0" borderId="161" xfId="0" applyFont="1" applyBorder="1" applyAlignment="1">
      <alignment horizontal="center" vertical="center"/>
    </xf>
    <xf numFmtId="0" fontId="25" fillId="0" borderId="214" xfId="0" applyFont="1" applyBorder="1" applyAlignment="1">
      <alignment horizontal="center" vertical="center" wrapText="1"/>
    </xf>
    <xf numFmtId="3" fontId="25" fillId="0" borderId="62" xfId="40" applyNumberFormat="1" applyFont="1" applyFill="1" applyBorder="1" applyAlignment="1" applyProtection="1">
      <alignment/>
      <protection/>
    </xf>
    <xf numFmtId="3" fontId="25" fillId="0" borderId="63" xfId="40" applyNumberFormat="1" applyFont="1" applyFill="1" applyBorder="1" applyAlignment="1" applyProtection="1">
      <alignment vertical="center"/>
      <protection/>
    </xf>
    <xf numFmtId="3" fontId="25" fillId="0" borderId="233" xfId="40" applyNumberFormat="1" applyFont="1" applyFill="1" applyBorder="1" applyAlignment="1" applyProtection="1">
      <alignment vertical="center"/>
      <protection/>
    </xf>
    <xf numFmtId="0" fontId="25" fillId="0" borderId="70" xfId="0" applyFont="1" applyBorder="1" applyAlignment="1">
      <alignment horizontal="center" vertical="center" wrapText="1"/>
    </xf>
    <xf numFmtId="3" fontId="19" fillId="0" borderId="61" xfId="0" applyNumberFormat="1" applyFont="1" applyBorder="1" applyAlignment="1">
      <alignment horizontal="right"/>
    </xf>
    <xf numFmtId="3" fontId="25" fillId="0" borderId="63" xfId="0" applyNumberFormat="1" applyFont="1" applyBorder="1" applyAlignment="1">
      <alignment horizontal="right"/>
    </xf>
    <xf numFmtId="3" fontId="25" fillId="0" borderId="62" xfId="0" applyNumberFormat="1" applyFont="1" applyBorder="1" applyAlignment="1">
      <alignment horizontal="right"/>
    </xf>
    <xf numFmtId="3" fontId="19" fillId="0" borderId="60" xfId="40" applyNumberFormat="1" applyFont="1" applyFill="1" applyBorder="1" applyAlignment="1" applyProtection="1">
      <alignment horizontal="right"/>
      <protection/>
    </xf>
    <xf numFmtId="3" fontId="25" fillId="0" borderId="63" xfId="40" applyNumberFormat="1" applyFont="1" applyFill="1" applyBorder="1" applyAlignment="1" applyProtection="1">
      <alignment horizontal="right"/>
      <protection/>
    </xf>
    <xf numFmtId="3" fontId="25" fillId="0" borderId="62" xfId="40" applyNumberFormat="1" applyFont="1" applyFill="1" applyBorder="1" applyAlignment="1" applyProtection="1">
      <alignment horizontal="right"/>
      <protection/>
    </xf>
    <xf numFmtId="3" fontId="19" fillId="0" borderId="62" xfId="40" applyNumberFormat="1" applyFont="1" applyFill="1" applyBorder="1" applyAlignment="1" applyProtection="1">
      <alignment horizontal="right"/>
      <protection/>
    </xf>
    <xf numFmtId="3" fontId="25" fillId="0" borderId="72" xfId="40" applyNumberFormat="1" applyFont="1" applyFill="1" applyBorder="1" applyAlignment="1" applyProtection="1">
      <alignment horizontal="right"/>
      <protection/>
    </xf>
    <xf numFmtId="3" fontId="25" fillId="0" borderId="63" xfId="40" applyNumberFormat="1" applyFont="1" applyFill="1" applyBorder="1" applyAlignment="1" applyProtection="1">
      <alignment/>
      <protection/>
    </xf>
    <xf numFmtId="0" fontId="19" fillId="0" borderId="60" xfId="0" applyFont="1" applyBorder="1" applyAlignment="1">
      <alignment/>
    </xf>
    <xf numFmtId="3" fontId="19" fillId="0" borderId="60" xfId="40" applyNumberFormat="1" applyFont="1" applyFill="1" applyBorder="1" applyAlignment="1" applyProtection="1">
      <alignment/>
      <protection/>
    </xf>
    <xf numFmtId="3" fontId="25" fillId="0" borderId="60" xfId="40" applyNumberFormat="1" applyFont="1" applyFill="1" applyBorder="1" applyAlignment="1" applyProtection="1">
      <alignment/>
      <protection/>
    </xf>
    <xf numFmtId="3" fontId="19" fillId="0" borderId="62" xfId="40" applyNumberFormat="1" applyFont="1" applyFill="1" applyBorder="1" applyAlignment="1" applyProtection="1">
      <alignment/>
      <protection/>
    </xf>
    <xf numFmtId="0" fontId="23" fillId="0" borderId="27" xfId="0" applyFont="1" applyBorder="1" applyAlignment="1">
      <alignment wrapText="1"/>
    </xf>
    <xf numFmtId="0" fontId="23" fillId="0" borderId="214" xfId="0" applyFont="1" applyBorder="1" applyAlignment="1">
      <alignment horizontal="center" wrapText="1"/>
    </xf>
    <xf numFmtId="0" fontId="23" fillId="0" borderId="62" xfId="0" applyFont="1" applyBorder="1" applyAlignment="1">
      <alignment horizontal="center" wrapText="1"/>
    </xf>
    <xf numFmtId="3" fontId="33" fillId="0" borderId="62" xfId="0" applyNumberFormat="1" applyFont="1" applyBorder="1" applyAlignment="1">
      <alignment horizontal="right" wrapText="1"/>
    </xf>
    <xf numFmtId="3" fontId="33" fillId="0" borderId="60" xfId="40" applyNumberFormat="1" applyFont="1" applyFill="1" applyBorder="1" applyAlignment="1" applyProtection="1">
      <alignment/>
      <protection/>
    </xf>
    <xf numFmtId="3" fontId="33" fillId="0" borderId="61" xfId="40" applyNumberFormat="1" applyFont="1" applyFill="1" applyBorder="1" applyAlignment="1" applyProtection="1">
      <alignment/>
      <protection/>
    </xf>
    <xf numFmtId="3" fontId="33" fillId="0" borderId="72" xfId="40" applyNumberFormat="1" applyFont="1" applyFill="1" applyBorder="1" applyAlignment="1" applyProtection="1">
      <alignment/>
      <protection/>
    </xf>
    <xf numFmtId="3" fontId="23" fillId="0" borderId="63" xfId="40" applyNumberFormat="1" applyFont="1" applyFill="1" applyBorder="1" applyAlignment="1" applyProtection="1">
      <alignment/>
      <protection/>
    </xf>
    <xf numFmtId="3" fontId="33" fillId="0" borderId="62" xfId="40" applyNumberFormat="1" applyFont="1" applyFill="1" applyBorder="1" applyAlignment="1" applyProtection="1">
      <alignment/>
      <protection/>
    </xf>
    <xf numFmtId="3" fontId="60" fillId="0" borderId="60" xfId="40" applyNumberFormat="1" applyFont="1" applyFill="1" applyBorder="1" applyAlignment="1" applyProtection="1">
      <alignment/>
      <protection/>
    </xf>
    <xf numFmtId="3" fontId="23" fillId="0" borderId="63" xfId="0" applyNumberFormat="1" applyFont="1" applyBorder="1" applyAlignment="1">
      <alignment/>
    </xf>
    <xf numFmtId="0" fontId="23" fillId="0" borderId="220" xfId="0" applyFont="1" applyBorder="1" applyAlignment="1">
      <alignment/>
    </xf>
    <xf numFmtId="3" fontId="23" fillId="0" borderId="216" xfId="0" applyNumberFormat="1" applyFont="1" applyBorder="1" applyAlignment="1">
      <alignment/>
    </xf>
    <xf numFmtId="0" fontId="23" fillId="0" borderId="184" xfId="0" applyFont="1" applyBorder="1" applyAlignment="1">
      <alignment horizontal="center" vertical="center" wrapText="1"/>
    </xf>
    <xf numFmtId="167" fontId="33" fillId="0" borderId="139" xfId="0" applyNumberFormat="1" applyFont="1" applyBorder="1" applyAlignment="1">
      <alignment horizontal="right"/>
    </xf>
    <xf numFmtId="167" fontId="33" fillId="0" borderId="143" xfId="0" applyNumberFormat="1" applyFont="1" applyBorder="1" applyAlignment="1">
      <alignment horizontal="right"/>
    </xf>
    <xf numFmtId="0" fontId="23" fillId="0" borderId="204" xfId="0" applyFont="1" applyBorder="1" applyAlignment="1">
      <alignment/>
    </xf>
    <xf numFmtId="167" fontId="23" fillId="0" borderId="234" xfId="0" applyNumberFormat="1" applyFont="1" applyBorder="1" applyAlignment="1">
      <alignment horizontal="right"/>
    </xf>
    <xf numFmtId="0" fontId="19" fillId="0" borderId="172" xfId="0" applyFont="1" applyBorder="1" applyAlignment="1">
      <alignment/>
    </xf>
    <xf numFmtId="0" fontId="19" fillId="0" borderId="173" xfId="0" applyFont="1" applyBorder="1" applyAlignment="1">
      <alignment/>
    </xf>
    <xf numFmtId="0" fontId="19" fillId="0" borderId="149" xfId="0" applyFont="1" applyBorder="1" applyAlignment="1">
      <alignment/>
    </xf>
    <xf numFmtId="0" fontId="59" fillId="0" borderId="14" xfId="54" applyFont="1" applyBorder="1" applyAlignment="1" applyProtection="1">
      <alignment wrapText="1"/>
      <protection/>
    </xf>
    <xf numFmtId="0" fontId="19" fillId="0" borderId="203" xfId="54" applyFont="1" applyBorder="1" applyProtection="1">
      <alignment/>
      <protection/>
    </xf>
    <xf numFmtId="0" fontId="59" fillId="0" borderId="198" xfId="54" applyFont="1" applyBorder="1" applyAlignment="1" applyProtection="1">
      <alignment wrapText="1"/>
      <protection/>
    </xf>
    <xf numFmtId="0" fontId="58" fillId="0" borderId="0" xfId="54" applyFont="1" applyBorder="1" applyAlignment="1" applyProtection="1">
      <alignment wrapText="1"/>
      <protection/>
    </xf>
    <xf numFmtId="0" fontId="19" fillId="0" borderId="58" xfId="0" applyFont="1" applyBorder="1" applyAlignment="1">
      <alignment wrapText="1"/>
    </xf>
    <xf numFmtId="0" fontId="25" fillId="0" borderId="138" xfId="54" applyFont="1" applyBorder="1" applyAlignment="1" applyProtection="1">
      <alignment horizontal="center" vertical="center" wrapText="1"/>
      <protection/>
    </xf>
    <xf numFmtId="3" fontId="19" fillId="0" borderId="138" xfId="54" applyNumberFormat="1" applyFont="1" applyBorder="1" applyProtection="1">
      <alignment/>
      <protection/>
    </xf>
    <xf numFmtId="3" fontId="19" fillId="0" borderId="139" xfId="54" applyNumberFormat="1" applyFont="1" applyBorder="1" applyProtection="1">
      <alignment/>
      <protection/>
    </xf>
    <xf numFmtId="3" fontId="25" fillId="0" borderId="176" xfId="54" applyNumberFormat="1" applyFont="1" applyBorder="1" applyProtection="1">
      <alignment/>
      <protection/>
    </xf>
    <xf numFmtId="3" fontId="25" fillId="0" borderId="140" xfId="54" applyNumberFormat="1" applyFont="1" applyBorder="1" applyProtection="1">
      <alignment/>
      <protection/>
    </xf>
    <xf numFmtId="3" fontId="25" fillId="0" borderId="178" xfId="54" applyNumberFormat="1" applyFont="1" applyBorder="1" applyProtection="1">
      <alignment/>
      <protection/>
    </xf>
    <xf numFmtId="3" fontId="19" fillId="0" borderId="70" xfId="54" applyNumberFormat="1" applyFont="1" applyBorder="1" applyProtection="1">
      <alignment/>
      <protection/>
    </xf>
    <xf numFmtId="3" fontId="19" fillId="0" borderId="62" xfId="54" applyNumberFormat="1" applyFont="1" applyBorder="1" applyProtection="1">
      <alignment/>
      <protection/>
    </xf>
    <xf numFmtId="3" fontId="25" fillId="0" borderId="207" xfId="54" applyNumberFormat="1" applyFont="1" applyBorder="1" applyProtection="1">
      <alignment/>
      <protection/>
    </xf>
    <xf numFmtId="0" fontId="25" fillId="0" borderId="207" xfId="54" applyFont="1" applyBorder="1" applyProtection="1">
      <alignment/>
      <protection/>
    </xf>
    <xf numFmtId="0" fontId="41" fillId="0" borderId="235" xfId="0" applyFont="1" applyFill="1" applyBorder="1" applyAlignment="1">
      <alignment horizontal="right"/>
    </xf>
    <xf numFmtId="0" fontId="25" fillId="0" borderId="162" xfId="54" applyFont="1" applyBorder="1" applyProtection="1">
      <alignment/>
      <protection/>
    </xf>
    <xf numFmtId="3" fontId="25" fillId="0" borderId="236" xfId="54" applyNumberFormat="1" applyFont="1" applyBorder="1" applyProtection="1">
      <alignment/>
      <protection/>
    </xf>
    <xf numFmtId="0" fontId="25" fillId="0" borderId="237" xfId="54" applyFont="1" applyBorder="1" applyProtection="1">
      <alignment/>
      <protection/>
    </xf>
    <xf numFmtId="3" fontId="25" fillId="0" borderId="233" xfId="54" applyNumberFormat="1" applyFont="1" applyBorder="1" applyProtection="1">
      <alignment/>
      <protection/>
    </xf>
    <xf numFmtId="0" fontId="37" fillId="0" borderId="200" xfId="54" applyFont="1" applyBorder="1" applyProtection="1">
      <alignment/>
      <protection/>
    </xf>
    <xf numFmtId="3" fontId="19" fillId="0" borderId="51" xfId="54" applyNumberFormat="1" applyFont="1" applyBorder="1" applyProtection="1">
      <alignment/>
      <protection/>
    </xf>
    <xf numFmtId="0" fontId="19" fillId="0" borderId="51" xfId="54" applyFont="1" applyBorder="1" applyProtection="1">
      <alignment/>
      <protection/>
    </xf>
    <xf numFmtId="3" fontId="19" fillId="0" borderId="164" xfId="54" applyNumberFormat="1" applyFont="1" applyBorder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23" xfId="54" applyFont="1" applyBorder="1" applyAlignment="1" applyProtection="1">
      <alignment wrapText="1"/>
      <protection/>
    </xf>
    <xf numFmtId="0" fontId="25" fillId="0" borderId="27" xfId="54" applyFont="1" applyBorder="1" applyProtection="1">
      <alignment/>
      <protection/>
    </xf>
    <xf numFmtId="0" fontId="59" fillId="0" borderId="238" xfId="54" applyFont="1" applyBorder="1" applyAlignment="1" applyProtection="1">
      <alignment wrapText="1"/>
      <protection/>
    </xf>
    <xf numFmtId="0" fontId="19" fillId="0" borderId="54" xfId="54" applyFont="1" applyBorder="1" applyProtection="1">
      <alignment/>
      <protection/>
    </xf>
    <xf numFmtId="0" fontId="59" fillId="0" borderId="108" xfId="54" applyFont="1" applyBorder="1" applyAlignment="1" applyProtection="1">
      <alignment wrapText="1"/>
      <protection/>
    </xf>
    <xf numFmtId="0" fontId="58" fillId="0" borderId="54" xfId="54" applyFont="1" applyBorder="1" applyAlignment="1" applyProtection="1">
      <alignment wrapText="1"/>
      <protection/>
    </xf>
    <xf numFmtId="0" fontId="37" fillId="0" borderId="34" xfId="54" applyFont="1" applyBorder="1" applyProtection="1">
      <alignment/>
      <protection/>
    </xf>
    <xf numFmtId="0" fontId="19" fillId="0" borderId="27" xfId="54" applyFont="1" applyBorder="1" applyProtection="1">
      <alignment/>
      <protection/>
    </xf>
    <xf numFmtId="0" fontId="58" fillId="0" borderId="25" xfId="54" applyFont="1" applyBorder="1" applyProtection="1">
      <alignment/>
      <protection/>
    </xf>
    <xf numFmtId="0" fontId="25" fillId="0" borderId="25" xfId="54" applyFont="1" applyBorder="1" applyProtection="1">
      <alignment/>
      <protection/>
    </xf>
    <xf numFmtId="0" fontId="25" fillId="0" borderId="140" xfId="54" applyFont="1" applyBorder="1" applyAlignment="1" applyProtection="1">
      <alignment horizontal="center" vertical="center" wrapText="1"/>
      <protection/>
    </xf>
    <xf numFmtId="3" fontId="25" fillId="0" borderId="239" xfId="54" applyNumberFormat="1" applyFont="1" applyBorder="1" applyProtection="1">
      <alignment/>
      <protection/>
    </xf>
    <xf numFmtId="3" fontId="25" fillId="0" borderId="99" xfId="54" applyNumberFormat="1" applyFont="1" applyBorder="1" applyProtection="1">
      <alignment/>
      <protection/>
    </xf>
    <xf numFmtId="3" fontId="25" fillId="0" borderId="101" xfId="54" applyNumberFormat="1" applyFont="1" applyBorder="1" applyProtection="1">
      <alignment/>
      <protection/>
    </xf>
    <xf numFmtId="3" fontId="19" fillId="0" borderId="102" xfId="54" applyNumberFormat="1" applyFont="1" applyBorder="1" applyProtection="1">
      <alignment/>
      <protection/>
    </xf>
    <xf numFmtId="3" fontId="19" fillId="0" borderId="140" xfId="54" applyNumberFormat="1" applyFont="1" applyBorder="1" applyProtection="1">
      <alignment/>
      <protection/>
    </xf>
    <xf numFmtId="3" fontId="25" fillId="0" borderId="138" xfId="54" applyNumberFormat="1" applyFont="1" applyBorder="1" applyProtection="1">
      <alignment/>
      <protection/>
    </xf>
    <xf numFmtId="3" fontId="25" fillId="0" borderId="139" xfId="54" applyNumberFormat="1" applyFont="1" applyBorder="1" applyProtection="1">
      <alignment/>
      <protection/>
    </xf>
    <xf numFmtId="0" fontId="25" fillId="0" borderId="240" xfId="54" applyFont="1" applyBorder="1" applyProtection="1">
      <alignment/>
      <protection/>
    </xf>
    <xf numFmtId="3" fontId="25" fillId="0" borderId="228" xfId="54" applyNumberFormat="1" applyFont="1" applyBorder="1" applyProtection="1">
      <alignment/>
      <protection/>
    </xf>
    <xf numFmtId="0" fontId="32" fillId="0" borderId="121" xfId="0" applyFont="1" applyBorder="1" applyAlignment="1">
      <alignment horizontal="center"/>
    </xf>
    <xf numFmtId="3" fontId="32" fillId="0" borderId="99" xfId="0" applyNumberFormat="1" applyFont="1" applyBorder="1" applyAlignment="1">
      <alignment/>
    </xf>
    <xf numFmtId="0" fontId="32" fillId="0" borderId="104" xfId="0" applyFont="1" applyBorder="1" applyAlignment="1">
      <alignment horizontal="center"/>
    </xf>
    <xf numFmtId="3" fontId="32" fillId="0" borderId="106" xfId="0" applyNumberFormat="1" applyFont="1" applyBorder="1" applyAlignment="1">
      <alignment/>
    </xf>
    <xf numFmtId="3" fontId="32" fillId="0" borderId="102" xfId="0" applyNumberFormat="1" applyFont="1" applyBorder="1" applyAlignment="1">
      <alignment/>
    </xf>
    <xf numFmtId="3" fontId="49" fillId="0" borderId="121" xfId="0" applyNumberFormat="1" applyFont="1" applyBorder="1" applyAlignment="1">
      <alignment/>
    </xf>
    <xf numFmtId="3" fontId="32" fillId="0" borderId="86" xfId="0" applyNumberFormat="1" applyFont="1" applyBorder="1" applyAlignment="1">
      <alignment/>
    </xf>
    <xf numFmtId="0" fontId="25" fillId="0" borderId="90" xfId="0" applyFont="1" applyBorder="1" applyAlignment="1">
      <alignment horizontal="center" vertical="center"/>
    </xf>
    <xf numFmtId="0" fontId="25" fillId="0" borderId="136" xfId="0" applyFont="1" applyBorder="1" applyAlignment="1">
      <alignment horizontal="center"/>
    </xf>
    <xf numFmtId="0" fontId="25" fillId="0" borderId="121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44" xfId="0" applyFont="1" applyBorder="1" applyAlignment="1">
      <alignment vertical="center"/>
    </xf>
    <xf numFmtId="0" fontId="23" fillId="0" borderId="144" xfId="0" applyFont="1" applyBorder="1" applyAlignment="1">
      <alignment horizontal="center" wrapText="1"/>
    </xf>
    <xf numFmtId="0" fontId="23" fillId="0" borderId="77" xfId="0" applyFont="1" applyBorder="1" applyAlignment="1">
      <alignment horizontal="center" vertical="center" wrapText="1"/>
    </xf>
    <xf numFmtId="0" fontId="19" fillId="0" borderId="139" xfId="0" applyFont="1" applyBorder="1" applyAlignment="1">
      <alignment/>
    </xf>
    <xf numFmtId="0" fontId="23" fillId="0" borderId="111" xfId="0" applyFont="1" applyBorder="1" applyAlignment="1">
      <alignment horizontal="center" vertical="center"/>
    </xf>
    <xf numFmtId="0" fontId="19" fillId="0" borderId="138" xfId="0" applyFont="1" applyBorder="1" applyAlignment="1">
      <alignment/>
    </xf>
    <xf numFmtId="0" fontId="23" fillId="0" borderId="121" xfId="0" applyFont="1" applyBorder="1" applyAlignment="1">
      <alignment horizontal="center" vertical="center"/>
    </xf>
    <xf numFmtId="0" fontId="19" fillId="0" borderId="19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241" xfId="0" applyFont="1" applyFill="1" applyBorder="1" applyAlignment="1">
      <alignment horizontal="left" vertical="center"/>
    </xf>
    <xf numFmtId="0" fontId="55" fillId="0" borderId="160" xfId="0" applyFont="1" applyBorder="1" applyAlignment="1">
      <alignment vertical="center"/>
    </xf>
    <xf numFmtId="0" fontId="55" fillId="0" borderId="214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/>
    </xf>
    <xf numFmtId="166" fontId="43" fillId="0" borderId="70" xfId="40" applyNumberFormat="1" applyFont="1" applyFill="1" applyBorder="1" applyAlignment="1" applyProtection="1">
      <alignment/>
      <protection/>
    </xf>
    <xf numFmtId="166" fontId="43" fillId="0" borderId="62" xfId="40" applyNumberFormat="1" applyFont="1" applyFill="1" applyBorder="1" applyAlignment="1" applyProtection="1">
      <alignment/>
      <protection/>
    </xf>
    <xf numFmtId="0" fontId="43" fillId="0" borderId="242" xfId="0" applyFont="1" applyBorder="1" applyAlignment="1">
      <alignment/>
    </xf>
    <xf numFmtId="166" fontId="43" fillId="0" borderId="243" xfId="40" applyNumberFormat="1" applyFont="1" applyFill="1" applyBorder="1" applyAlignment="1" applyProtection="1">
      <alignment/>
      <protection/>
    </xf>
    <xf numFmtId="0" fontId="25" fillId="0" borderId="161" xfId="0" applyFont="1" applyBorder="1" applyAlignment="1">
      <alignment horizontal="center" vertical="center" wrapText="1"/>
    </xf>
    <xf numFmtId="0" fontId="23" fillId="0" borderId="184" xfId="0" applyFont="1" applyBorder="1" applyAlignment="1">
      <alignment horizontal="center" vertical="center"/>
    </xf>
    <xf numFmtId="0" fontId="33" fillId="0" borderId="138" xfId="0" applyFont="1" applyBorder="1" applyAlignment="1">
      <alignment horizontal="center" vertical="center"/>
    </xf>
    <xf numFmtId="0" fontId="33" fillId="0" borderId="139" xfId="0" applyFont="1" applyBorder="1" applyAlignment="1">
      <alignment horizontal="center" vertical="center"/>
    </xf>
    <xf numFmtId="0" fontId="33" fillId="0" borderId="143" xfId="0" applyFont="1" applyBorder="1" applyAlignment="1">
      <alignment horizontal="center" vertical="center"/>
    </xf>
    <xf numFmtId="0" fontId="19" fillId="0" borderId="143" xfId="0" applyFont="1" applyBorder="1" applyAlignment="1">
      <alignment/>
    </xf>
    <xf numFmtId="3" fontId="23" fillId="0" borderId="74" xfId="40" applyNumberFormat="1" applyFont="1" applyFill="1" applyBorder="1" applyAlignment="1" applyProtection="1">
      <alignment horizontal="right" vertical="center"/>
      <protection/>
    </xf>
    <xf numFmtId="0" fontId="19" fillId="0" borderId="234" xfId="0" applyFont="1" applyBorder="1" applyAlignment="1">
      <alignment/>
    </xf>
    <xf numFmtId="0" fontId="23" fillId="0" borderId="180" xfId="0" applyFont="1" applyBorder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223" xfId="0" applyFont="1" applyBorder="1" applyAlignment="1">
      <alignment horizontal="center"/>
    </xf>
    <xf numFmtId="0" fontId="19" fillId="0" borderId="163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19" fillId="0" borderId="176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186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25" fillId="0" borderId="131" xfId="0" applyFont="1" applyBorder="1" applyAlignment="1">
      <alignment horizontal="center"/>
    </xf>
    <xf numFmtId="0" fontId="25" fillId="0" borderId="244" xfId="0" applyFont="1" applyBorder="1" applyAlignment="1">
      <alignment horizontal="center"/>
    </xf>
    <xf numFmtId="0" fontId="32" fillId="0" borderId="42" xfId="0" applyFont="1" applyBorder="1" applyAlignment="1">
      <alignment wrapText="1"/>
    </xf>
    <xf numFmtId="3" fontId="32" fillId="0" borderId="42" xfId="0" applyNumberFormat="1" applyFont="1" applyBorder="1" applyAlignment="1">
      <alignment/>
    </xf>
    <xf numFmtId="3" fontId="32" fillId="0" borderId="43" xfId="0" applyNumberFormat="1" applyFont="1" applyBorder="1" applyAlignment="1">
      <alignment/>
    </xf>
    <xf numFmtId="3" fontId="32" fillId="0" borderId="25" xfId="40" applyNumberFormat="1" applyFont="1" applyFill="1" applyBorder="1" applyAlignment="1" applyProtection="1">
      <alignment/>
      <protection/>
    </xf>
    <xf numFmtId="0" fontId="19" fillId="0" borderId="43" xfId="0" applyFont="1" applyBorder="1" applyAlignment="1">
      <alignment/>
    </xf>
    <xf numFmtId="3" fontId="32" fillId="0" borderId="245" xfId="0" applyNumberFormat="1" applyFont="1" applyBorder="1" applyAlignment="1">
      <alignment/>
    </xf>
    <xf numFmtId="0" fontId="25" fillId="0" borderId="85" xfId="0" applyFont="1" applyBorder="1" applyAlignment="1">
      <alignment horizontal="center"/>
    </xf>
    <xf numFmtId="0" fontId="25" fillId="0" borderId="102" xfId="0" applyFont="1" applyBorder="1" applyAlignment="1">
      <alignment horizontal="center"/>
    </xf>
    <xf numFmtId="3" fontId="32" fillId="0" borderId="138" xfId="0" applyNumberFormat="1" applyFont="1" applyBorder="1" applyAlignment="1">
      <alignment/>
    </xf>
    <xf numFmtId="3" fontId="32" fillId="0" borderId="139" xfId="0" applyNumberFormat="1" applyFont="1" applyBorder="1" applyAlignment="1">
      <alignment/>
    </xf>
    <xf numFmtId="3" fontId="32" fillId="0" borderId="139" xfId="40" applyNumberFormat="1" applyFont="1" applyFill="1" applyBorder="1" applyAlignment="1" applyProtection="1">
      <alignment/>
      <protection/>
    </xf>
    <xf numFmtId="0" fontId="49" fillId="0" borderId="246" xfId="0" applyFont="1" applyBorder="1" applyAlignment="1">
      <alignment/>
    </xf>
    <xf numFmtId="3" fontId="25" fillId="0" borderId="246" xfId="40" applyNumberFormat="1" applyFont="1" applyFill="1" applyBorder="1" applyAlignment="1" applyProtection="1">
      <alignment/>
      <protection/>
    </xf>
    <xf numFmtId="3" fontId="49" fillId="0" borderId="246" xfId="40" applyNumberFormat="1" applyFont="1" applyFill="1" applyBorder="1" applyAlignment="1" applyProtection="1">
      <alignment/>
      <protection/>
    </xf>
    <xf numFmtId="3" fontId="49" fillId="0" borderId="247" xfId="40" applyNumberFormat="1" applyFont="1" applyFill="1" applyBorder="1" applyAlignment="1" applyProtection="1">
      <alignment/>
      <protection/>
    </xf>
    <xf numFmtId="3" fontId="49" fillId="0" borderId="189" xfId="40" applyNumberFormat="1" applyFont="1" applyFill="1" applyBorder="1" applyAlignment="1" applyProtection="1">
      <alignment/>
      <protection/>
    </xf>
    <xf numFmtId="3" fontId="49" fillId="0" borderId="162" xfId="40" applyNumberFormat="1" applyFont="1" applyFill="1" applyBorder="1" applyAlignment="1" applyProtection="1">
      <alignment/>
      <protection/>
    </xf>
    <xf numFmtId="0" fontId="25" fillId="0" borderId="248" xfId="0" applyFont="1" applyBorder="1" applyAlignment="1">
      <alignment/>
    </xf>
    <xf numFmtId="0" fontId="25" fillId="0" borderId="249" xfId="0" applyFont="1" applyBorder="1" applyAlignment="1">
      <alignment horizontal="center"/>
    </xf>
    <xf numFmtId="3" fontId="32" fillId="0" borderId="133" xfId="0" applyNumberFormat="1" applyFont="1" applyBorder="1" applyAlignment="1">
      <alignment/>
    </xf>
    <xf numFmtId="3" fontId="32" fillId="0" borderId="133" xfId="40" applyNumberFormat="1" applyFont="1" applyFill="1" applyBorder="1" applyAlignment="1" applyProtection="1">
      <alignment/>
      <protection/>
    </xf>
    <xf numFmtId="3" fontId="49" fillId="0" borderId="250" xfId="40" applyNumberFormat="1" applyFont="1" applyFill="1" applyBorder="1" applyAlignment="1" applyProtection="1">
      <alignment/>
      <protection/>
    </xf>
    <xf numFmtId="0" fontId="23" fillId="0" borderId="160" xfId="0" applyFont="1" applyBorder="1" applyAlignment="1">
      <alignment/>
    </xf>
    <xf numFmtId="0" fontId="33" fillId="0" borderId="184" xfId="0" applyFont="1" applyBorder="1" applyAlignment="1">
      <alignment/>
    </xf>
    <xf numFmtId="0" fontId="23" fillId="0" borderId="184" xfId="0" applyFont="1" applyBorder="1" applyAlignment="1">
      <alignment/>
    </xf>
    <xf numFmtId="0" fontId="33" fillId="0" borderId="207" xfId="0" applyFont="1" applyBorder="1" applyAlignment="1">
      <alignment vertical="center"/>
    </xf>
    <xf numFmtId="0" fontId="44" fillId="0" borderId="182" xfId="0" applyFont="1" applyBorder="1" applyAlignment="1">
      <alignment horizontal="justify" vertical="center"/>
    </xf>
    <xf numFmtId="0" fontId="44" fillId="0" borderId="182" xfId="0" applyFont="1" applyBorder="1" applyAlignment="1">
      <alignment/>
    </xf>
    <xf numFmtId="0" fontId="35" fillId="0" borderId="182" xfId="0" applyFont="1" applyBorder="1" applyAlignment="1">
      <alignment/>
    </xf>
    <xf numFmtId="0" fontId="44" fillId="0" borderId="182" xfId="0" applyFont="1" applyBorder="1" applyAlignment="1">
      <alignment wrapText="1"/>
    </xf>
    <xf numFmtId="0" fontId="43" fillId="0" borderId="182" xfId="0" applyFont="1" applyBorder="1" applyAlignment="1">
      <alignment wrapText="1"/>
    </xf>
    <xf numFmtId="0" fontId="54" fillId="0" borderId="251" xfId="0" applyFont="1" applyBorder="1" applyAlignment="1">
      <alignment/>
    </xf>
    <xf numFmtId="3" fontId="33" fillId="0" borderId="133" xfId="0" applyNumberFormat="1" applyFont="1" applyBorder="1" applyAlignment="1">
      <alignment/>
    </xf>
    <xf numFmtId="3" fontId="23" fillId="0" borderId="133" xfId="0" applyNumberFormat="1" applyFont="1" applyBorder="1" applyAlignment="1">
      <alignment/>
    </xf>
    <xf numFmtId="0" fontId="49" fillId="0" borderId="102" xfId="0" applyFont="1" applyBorder="1" applyAlignment="1">
      <alignment/>
    </xf>
    <xf numFmtId="3" fontId="19" fillId="0" borderId="76" xfId="0" applyNumberFormat="1" applyFont="1" applyBorder="1" applyAlignment="1">
      <alignment/>
    </xf>
    <xf numFmtId="3" fontId="19" fillId="0" borderId="54" xfId="0" applyNumberFormat="1" applyFont="1" applyBorder="1" applyAlignment="1">
      <alignment horizontal="right"/>
    </xf>
    <xf numFmtId="3" fontId="19" fillId="0" borderId="93" xfId="0" applyNumberFormat="1" applyFont="1" applyBorder="1" applyAlignment="1">
      <alignment horizontal="right"/>
    </xf>
    <xf numFmtId="0" fontId="25" fillId="0" borderId="252" xfId="0" applyFont="1" applyBorder="1" applyAlignment="1">
      <alignment horizontal="center" vertical="center"/>
    </xf>
    <xf numFmtId="0" fontId="25" fillId="0" borderId="253" xfId="0" applyFont="1" applyBorder="1" applyAlignment="1">
      <alignment horizontal="center" vertical="center"/>
    </xf>
    <xf numFmtId="3" fontId="19" fillId="0" borderId="42" xfId="0" applyNumberFormat="1" applyFont="1" applyBorder="1" applyAlignment="1">
      <alignment vertical="center"/>
    </xf>
    <xf numFmtId="0" fontId="25" fillId="0" borderId="254" xfId="0" applyFont="1" applyBorder="1" applyAlignment="1">
      <alignment horizontal="center" vertical="center"/>
    </xf>
    <xf numFmtId="3" fontId="25" fillId="0" borderId="43" xfId="0" applyNumberFormat="1" applyFont="1" applyBorder="1" applyAlignment="1">
      <alignment horizontal="center" vertical="center"/>
    </xf>
    <xf numFmtId="0" fontId="0" fillId="0" borderId="82" xfId="0" applyBorder="1" applyAlignment="1">
      <alignment/>
    </xf>
    <xf numFmtId="0" fontId="25" fillId="0" borderId="192" xfId="0" applyFont="1" applyBorder="1" applyAlignment="1">
      <alignment horizontal="center" vertical="center"/>
    </xf>
    <xf numFmtId="0" fontId="25" fillId="0" borderId="255" xfId="0" applyFont="1" applyBorder="1" applyAlignment="1">
      <alignment horizontal="center" vertical="center"/>
    </xf>
    <xf numFmtId="0" fontId="25" fillId="0" borderId="256" xfId="0" applyFont="1" applyBorder="1" applyAlignment="1">
      <alignment horizontal="center" vertical="center"/>
    </xf>
    <xf numFmtId="0" fontId="25" fillId="0" borderId="257" xfId="0" applyFont="1" applyBorder="1" applyAlignment="1">
      <alignment horizontal="center" vertical="center"/>
    </xf>
    <xf numFmtId="0" fontId="25" fillId="0" borderId="258" xfId="0" applyFont="1" applyBorder="1" applyAlignment="1">
      <alignment horizontal="center" vertical="center"/>
    </xf>
    <xf numFmtId="0" fontId="19" fillId="0" borderId="259" xfId="0" applyFont="1" applyBorder="1" applyAlignment="1">
      <alignment vertical="center" wrapText="1"/>
    </xf>
    <xf numFmtId="0" fontId="19" fillId="0" borderId="260" xfId="0" applyFont="1" applyBorder="1" applyAlignment="1">
      <alignment vertical="center" wrapText="1"/>
    </xf>
    <xf numFmtId="0" fontId="19" fillId="0" borderId="261" xfId="0" applyFont="1" applyBorder="1" applyAlignment="1">
      <alignment vertical="center" wrapText="1"/>
    </xf>
    <xf numFmtId="0" fontId="19" fillId="0" borderId="262" xfId="0" applyFont="1" applyBorder="1" applyAlignment="1">
      <alignment vertical="center" wrapText="1"/>
    </xf>
    <xf numFmtId="0" fontId="25" fillId="0" borderId="263" xfId="0" applyFont="1" applyBorder="1" applyAlignment="1">
      <alignment vertical="center"/>
    </xf>
    <xf numFmtId="0" fontId="25" fillId="0" borderId="97" xfId="0" applyFont="1" applyBorder="1" applyAlignment="1">
      <alignment horizontal="center" vertical="center"/>
    </xf>
    <xf numFmtId="0" fontId="0" fillId="0" borderId="104" xfId="0" applyBorder="1" applyAlignment="1">
      <alignment horizontal="center"/>
    </xf>
    <xf numFmtId="3" fontId="25" fillId="0" borderId="216" xfId="0" applyNumberFormat="1" applyFont="1" applyBorder="1" applyAlignment="1">
      <alignment horizontal="right"/>
    </xf>
    <xf numFmtId="3" fontId="19" fillId="0" borderId="198" xfId="0" applyNumberFormat="1" applyFont="1" applyBorder="1" applyAlignment="1">
      <alignment/>
    </xf>
    <xf numFmtId="0" fontId="58" fillId="0" borderId="198" xfId="0" applyFont="1" applyBorder="1" applyAlignment="1">
      <alignment horizontal="center"/>
    </xf>
    <xf numFmtId="0" fontId="19" fillId="0" borderId="34" xfId="0" applyFont="1" applyBorder="1" applyAlignment="1">
      <alignment wrapText="1"/>
    </xf>
    <xf numFmtId="0" fontId="19" fillId="0" borderId="198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3" fontId="23" fillId="0" borderId="47" xfId="40" applyNumberFormat="1" applyFont="1" applyFill="1" applyBorder="1" applyAlignment="1" applyProtection="1">
      <alignment vertical="center"/>
      <protection/>
    </xf>
    <xf numFmtId="3" fontId="23" fillId="0" borderId="109" xfId="40" applyNumberFormat="1" applyFont="1" applyFill="1" applyBorder="1" applyAlignment="1" applyProtection="1">
      <alignment vertical="center"/>
      <protection/>
    </xf>
    <xf numFmtId="3" fontId="23" fillId="0" borderId="49" xfId="40" applyNumberFormat="1" applyFont="1" applyFill="1" applyBorder="1" applyAlignment="1" applyProtection="1">
      <alignment vertical="center"/>
      <protection/>
    </xf>
    <xf numFmtId="164" fontId="25" fillId="0" borderId="104" xfId="0" applyNumberFormat="1" applyFont="1" applyBorder="1" applyAlignment="1">
      <alignment/>
    </xf>
    <xf numFmtId="3" fontId="25" fillId="0" borderId="264" xfId="0" applyNumberFormat="1" applyFont="1" applyBorder="1" applyAlignment="1">
      <alignment/>
    </xf>
    <xf numFmtId="3" fontId="19" fillId="0" borderId="169" xfId="40" applyNumberFormat="1" applyFont="1" applyFill="1" applyBorder="1" applyAlignment="1" applyProtection="1">
      <alignment horizontal="right"/>
      <protection/>
    </xf>
    <xf numFmtId="0" fontId="50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5" fillId="0" borderId="122" xfId="0" applyFont="1" applyBorder="1" applyAlignment="1">
      <alignment/>
    </xf>
    <xf numFmtId="0" fontId="19" fillId="0" borderId="53" xfId="0" applyFont="1" applyFill="1" applyBorder="1" applyAlignment="1">
      <alignment/>
    </xf>
    <xf numFmtId="0" fontId="25" fillId="0" borderId="90" xfId="0" applyFont="1" applyBorder="1" applyAlignment="1">
      <alignment horizontal="center" vertical="center" wrapText="1"/>
    </xf>
    <xf numFmtId="0" fontId="25" fillId="0" borderId="19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19" fillId="0" borderId="134" xfId="0" applyFont="1" applyBorder="1" applyAlignment="1">
      <alignment/>
    </xf>
    <xf numFmtId="0" fontId="50" fillId="0" borderId="25" xfId="0" applyFont="1" applyBorder="1" applyAlignment="1">
      <alignment/>
    </xf>
    <xf numFmtId="0" fontId="19" fillId="0" borderId="25" xfId="0" applyFont="1" applyBorder="1" applyAlignment="1">
      <alignment vertical="center"/>
    </xf>
    <xf numFmtId="0" fontId="19" fillId="0" borderId="108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3" fontId="19" fillId="0" borderId="72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3" fontId="25" fillId="0" borderId="66" xfId="40" applyNumberFormat="1" applyFont="1" applyFill="1" applyBorder="1" applyAlignment="1" applyProtection="1">
      <alignment/>
      <protection/>
    </xf>
    <xf numFmtId="0" fontId="25" fillId="0" borderId="27" xfId="0" applyFont="1" applyBorder="1" applyAlignment="1">
      <alignment vertical="center"/>
    </xf>
    <xf numFmtId="3" fontId="19" fillId="0" borderId="0" xfId="0" applyNumberFormat="1" applyFont="1" applyFill="1" applyBorder="1" applyAlignment="1">
      <alignment/>
    </xf>
    <xf numFmtId="0" fontId="68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3" fontId="23" fillId="0" borderId="112" xfId="0" applyNumberFormat="1" applyFont="1" applyBorder="1" applyAlignment="1">
      <alignment horizontal="right" vertical="center" wrapText="1"/>
    </xf>
    <xf numFmtId="3" fontId="33" fillId="0" borderId="265" xfId="0" applyNumberFormat="1" applyFont="1" applyBorder="1" applyAlignment="1">
      <alignment horizontal="right" vertical="center" wrapText="1"/>
    </xf>
    <xf numFmtId="3" fontId="23" fillId="0" borderId="117" xfId="0" applyNumberFormat="1" applyFont="1" applyBorder="1" applyAlignment="1">
      <alignment horizontal="right" vertical="center" wrapText="1"/>
    </xf>
    <xf numFmtId="3" fontId="33" fillId="0" borderId="117" xfId="0" applyNumberFormat="1" applyFont="1" applyBorder="1" applyAlignment="1">
      <alignment horizontal="right" vertical="center" wrapText="1"/>
    </xf>
    <xf numFmtId="3" fontId="33" fillId="0" borderId="106" xfId="0" applyNumberFormat="1" applyFont="1" applyBorder="1" applyAlignment="1">
      <alignment horizontal="right" vertical="center" wrapText="1"/>
    </xf>
    <xf numFmtId="3" fontId="33" fillId="0" borderId="146" xfId="0" applyNumberFormat="1" applyFont="1" applyBorder="1" applyAlignment="1">
      <alignment horizontal="right" vertical="center" wrapText="1"/>
    </xf>
    <xf numFmtId="3" fontId="23" fillId="0" borderId="87" xfId="0" applyNumberFormat="1" applyFont="1" applyBorder="1" applyAlignment="1">
      <alignment horizontal="right" vertical="center" wrapText="1"/>
    </xf>
    <xf numFmtId="0" fontId="41" fillId="0" borderId="152" xfId="0" applyFont="1" applyBorder="1" applyAlignment="1">
      <alignment wrapText="1"/>
    </xf>
    <xf numFmtId="0" fontId="58" fillId="0" borderId="150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58" fillId="0" borderId="171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58" fillId="0" borderId="54" xfId="0" applyFont="1" applyBorder="1" applyAlignment="1">
      <alignment horizontal="center"/>
    </xf>
    <xf numFmtId="0" fontId="58" fillId="0" borderId="65" xfId="0" applyFont="1" applyBorder="1" applyAlignment="1">
      <alignment horizontal="center"/>
    </xf>
    <xf numFmtId="0" fontId="25" fillId="0" borderId="86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25" fillId="0" borderId="211" xfId="0" applyFont="1" applyBorder="1" applyAlignment="1">
      <alignment/>
    </xf>
    <xf numFmtId="0" fontId="25" fillId="0" borderId="153" xfId="0" applyFont="1" applyBorder="1" applyAlignment="1">
      <alignment horizontal="center" wrapText="1"/>
    </xf>
    <xf numFmtId="3" fontId="25" fillId="24" borderId="121" xfId="0" applyNumberFormat="1" applyFont="1" applyFill="1" applyBorder="1" applyAlignment="1">
      <alignment/>
    </xf>
    <xf numFmtId="3" fontId="19" fillId="24" borderId="121" xfId="0" applyNumberFormat="1" applyFont="1" applyFill="1" applyBorder="1" applyAlignment="1">
      <alignment/>
    </xf>
    <xf numFmtId="0" fontId="25" fillId="0" borderId="266" xfId="0" applyFont="1" applyBorder="1" applyAlignment="1">
      <alignment horizontal="center" wrapText="1"/>
    </xf>
    <xf numFmtId="0" fontId="25" fillId="0" borderId="211" xfId="0" applyFont="1" applyBorder="1" applyAlignment="1">
      <alignment horizontal="center" vertical="center" wrapText="1"/>
    </xf>
    <xf numFmtId="0" fontId="25" fillId="0" borderId="211" xfId="0" applyFont="1" applyBorder="1" applyAlignment="1">
      <alignment horizontal="center" wrapText="1"/>
    </xf>
    <xf numFmtId="0" fontId="25" fillId="0" borderId="212" xfId="0" applyFont="1" applyBorder="1" applyAlignment="1">
      <alignment horizontal="center" wrapText="1"/>
    </xf>
    <xf numFmtId="0" fontId="41" fillId="0" borderId="110" xfId="0" applyFont="1" applyBorder="1" applyAlignment="1">
      <alignment horizontal="right"/>
    </xf>
    <xf numFmtId="0" fontId="50" fillId="0" borderId="211" xfId="0" applyFont="1" applyBorder="1" applyAlignment="1">
      <alignment horizontal="center" wrapText="1"/>
    </xf>
    <xf numFmtId="0" fontId="25" fillId="0" borderId="151" xfId="0" applyFont="1" applyBorder="1" applyAlignment="1">
      <alignment horizontal="center" wrapText="1"/>
    </xf>
    <xf numFmtId="0" fontId="25" fillId="0" borderId="212" xfId="0" applyFont="1" applyBorder="1" applyAlignment="1">
      <alignment wrapText="1"/>
    </xf>
    <xf numFmtId="3" fontId="25" fillId="0" borderId="112" xfId="40" applyNumberFormat="1" applyFont="1" applyFill="1" applyBorder="1" applyAlignment="1" applyProtection="1">
      <alignment horizontal="right"/>
      <protection/>
    </xf>
    <xf numFmtId="3" fontId="25" fillId="0" borderId="116" xfId="0" applyNumberFormat="1" applyFont="1" applyBorder="1" applyAlignment="1">
      <alignment horizontal="right"/>
    </xf>
    <xf numFmtId="166" fontId="19" fillId="0" borderId="146" xfId="40" applyNumberFormat="1" applyFont="1" applyFill="1" applyBorder="1" applyAlignment="1" applyProtection="1">
      <alignment horizontal="right"/>
      <protection/>
    </xf>
    <xf numFmtId="3" fontId="19" fillId="0" borderId="117" xfId="40" applyNumberFormat="1" applyFont="1" applyFill="1" applyBorder="1" applyAlignment="1" applyProtection="1">
      <alignment horizontal="right"/>
      <protection/>
    </xf>
    <xf numFmtId="3" fontId="19" fillId="0" borderId="230" xfId="40" applyNumberFormat="1" applyFont="1" applyFill="1" applyBorder="1" applyAlignment="1" applyProtection="1">
      <alignment horizontal="right"/>
      <protection/>
    </xf>
    <xf numFmtId="0" fontId="50" fillId="0" borderId="5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" fontId="49" fillId="0" borderId="104" xfId="0" applyNumberFormat="1" applyFont="1" applyBorder="1" applyAlignment="1">
      <alignment/>
    </xf>
    <xf numFmtId="3" fontId="32" fillId="0" borderId="116" xfId="0" applyNumberFormat="1" applyFont="1" applyBorder="1" applyAlignment="1">
      <alignment/>
    </xf>
    <xf numFmtId="3" fontId="32" fillId="0" borderId="179" xfId="0" applyNumberFormat="1" applyFont="1" applyBorder="1" applyAlignment="1">
      <alignment/>
    </xf>
    <xf numFmtId="3" fontId="25" fillId="0" borderId="178" xfId="0" applyNumberFormat="1" applyFont="1" applyBorder="1" applyAlignment="1">
      <alignment horizontal="right"/>
    </xf>
    <xf numFmtId="0" fontId="19" fillId="0" borderId="29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3" fontId="33" fillId="0" borderId="103" xfId="0" applyNumberFormat="1" applyFont="1" applyBorder="1" applyAlignment="1">
      <alignment horizontal="right" vertical="center" wrapText="1"/>
    </xf>
    <xf numFmtId="3" fontId="33" fillId="0" borderId="267" xfId="0" applyNumberFormat="1" applyFont="1" applyBorder="1" applyAlignment="1">
      <alignment horizontal="right" vertical="center" wrapText="1"/>
    </xf>
    <xf numFmtId="0" fontId="32" fillId="0" borderId="15" xfId="0" applyFont="1" applyBorder="1" applyAlignment="1">
      <alignment horizontal="left" vertical="center"/>
    </xf>
    <xf numFmtId="0" fontId="19" fillId="0" borderId="88" xfId="0" applyFont="1" applyBorder="1" applyAlignment="1">
      <alignment wrapText="1"/>
    </xf>
    <xf numFmtId="0" fontId="33" fillId="0" borderId="0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52" xfId="0" applyFont="1" applyBorder="1" applyAlignment="1">
      <alignment vertical="center"/>
    </xf>
    <xf numFmtId="0" fontId="33" fillId="0" borderId="25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shrinkToFit="1"/>
    </xf>
    <xf numFmtId="0" fontId="19" fillId="0" borderId="25" xfId="0" applyFont="1" applyBorder="1" applyAlignment="1">
      <alignment vertical="center" wrapText="1"/>
    </xf>
    <xf numFmtId="3" fontId="25" fillId="0" borderId="169" xfId="40" applyNumberFormat="1" applyFont="1" applyFill="1" applyBorder="1" applyAlignment="1" applyProtection="1">
      <alignment/>
      <protection/>
    </xf>
    <xf numFmtId="0" fontId="19" fillId="0" borderId="268" xfId="0" applyFont="1" applyFill="1" applyBorder="1" applyAlignment="1">
      <alignment/>
    </xf>
    <xf numFmtId="3" fontId="19" fillId="0" borderId="11" xfId="54" applyNumberFormat="1" applyFont="1" applyFill="1" applyBorder="1" applyProtection="1">
      <alignment/>
      <protection/>
    </xf>
    <xf numFmtId="3" fontId="19" fillId="0" borderId="16" xfId="54" applyNumberFormat="1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0" xfId="0" applyFont="1" applyBorder="1" applyAlignment="1">
      <alignment horizontal="left"/>
    </xf>
    <xf numFmtId="0" fontId="41" fillId="0" borderId="106" xfId="0" applyFont="1" applyBorder="1" applyAlignment="1">
      <alignment horizontal="right"/>
    </xf>
    <xf numFmtId="0" fontId="19" fillId="0" borderId="93" xfId="0" applyFont="1" applyFill="1" applyBorder="1" applyAlignment="1">
      <alignment/>
    </xf>
    <xf numFmtId="0" fontId="33" fillId="0" borderId="259" xfId="0" applyFont="1" applyBorder="1" applyAlignment="1">
      <alignment/>
    </xf>
    <xf numFmtId="0" fontId="23" fillId="0" borderId="259" xfId="0" applyFont="1" applyBorder="1" applyAlignment="1">
      <alignment/>
    </xf>
    <xf numFmtId="0" fontId="0" fillId="0" borderId="86" xfId="0" applyBorder="1" applyAlignment="1">
      <alignment horizontal="center"/>
    </xf>
    <xf numFmtId="0" fontId="28" fillId="0" borderId="248" xfId="0" applyFont="1" applyBorder="1" applyAlignment="1">
      <alignment vertical="center"/>
    </xf>
    <xf numFmtId="168" fontId="28" fillId="0" borderId="269" xfId="40" applyNumberFormat="1" applyFont="1" applyFill="1" applyBorder="1" applyAlignment="1" applyProtection="1">
      <alignment horizontal="right" vertical="center"/>
      <protection/>
    </xf>
    <xf numFmtId="0" fontId="0" fillId="0" borderId="116" xfId="0" applyBorder="1" applyAlignment="1">
      <alignment wrapText="1"/>
    </xf>
    <xf numFmtId="0" fontId="26" fillId="0" borderId="270" xfId="0" applyFont="1" applyBorder="1" applyAlignment="1">
      <alignment horizontal="center" vertical="center"/>
    </xf>
    <xf numFmtId="0" fontId="30" fillId="0" borderId="271" xfId="0" applyFont="1" applyBorder="1" applyAlignment="1">
      <alignment horizontal="center" vertical="center"/>
    </xf>
    <xf numFmtId="0" fontId="0" fillId="0" borderId="179" xfId="0" applyBorder="1" applyAlignment="1">
      <alignment horizontal="center"/>
    </xf>
    <xf numFmtId="0" fontId="0" fillId="0" borderId="105" xfId="0" applyBorder="1" applyAlignment="1">
      <alignment horizontal="center"/>
    </xf>
    <xf numFmtId="0" fontId="33" fillId="0" borderId="272" xfId="0" applyFont="1" applyBorder="1" applyAlignment="1">
      <alignment/>
    </xf>
    <xf numFmtId="3" fontId="33" fillId="0" borderId="249" xfId="0" applyNumberFormat="1" applyFont="1" applyBorder="1" applyAlignment="1">
      <alignment/>
    </xf>
    <xf numFmtId="0" fontId="0" fillId="0" borderId="104" xfId="0" applyBorder="1" applyAlignment="1">
      <alignment horizontal="center" wrapText="1"/>
    </xf>
    <xf numFmtId="0" fontId="33" fillId="0" borderId="273" xfId="0" applyFont="1" applyBorder="1" applyAlignment="1">
      <alignment horizontal="center"/>
    </xf>
    <xf numFmtId="3" fontId="33" fillId="0" borderId="227" xfId="0" applyNumberFormat="1" applyFont="1" applyBorder="1" applyAlignment="1">
      <alignment horizontal="center"/>
    </xf>
    <xf numFmtId="0" fontId="19" fillId="0" borderId="54" xfId="0" applyFont="1" applyBorder="1" applyAlignment="1">
      <alignment horizontal="left"/>
    </xf>
    <xf numFmtId="0" fontId="19" fillId="0" borderId="157" xfId="0" applyFont="1" applyBorder="1" applyAlignment="1">
      <alignment/>
    </xf>
    <xf numFmtId="0" fontId="33" fillId="0" borderId="0" xfId="0" applyFont="1" applyFill="1" applyAlignment="1">
      <alignment/>
    </xf>
    <xf numFmtId="0" fontId="19" fillId="0" borderId="138" xfId="0" applyFont="1" applyBorder="1" applyAlignment="1">
      <alignment vertical="center"/>
    </xf>
    <xf numFmtId="3" fontId="25" fillId="0" borderId="65" xfId="40" applyNumberFormat="1" applyFont="1" applyFill="1" applyBorder="1" applyAlignment="1" applyProtection="1">
      <alignment/>
      <protection/>
    </xf>
    <xf numFmtId="0" fontId="25" fillId="0" borderId="52" xfId="0" applyFont="1" applyBorder="1" applyAlignment="1">
      <alignment vertical="center"/>
    </xf>
    <xf numFmtId="0" fontId="19" fillId="0" borderId="148" xfId="0" applyFont="1" applyBorder="1" applyAlignment="1">
      <alignment/>
    </xf>
    <xf numFmtId="0" fontId="19" fillId="0" borderId="82" xfId="0" applyFont="1" applyBorder="1" applyAlignment="1">
      <alignment/>
    </xf>
    <xf numFmtId="0" fontId="19" fillId="0" borderId="50" xfId="0" applyFont="1" applyBorder="1" applyAlignment="1">
      <alignment horizontal="left" vertical="center" wrapText="1"/>
    </xf>
    <xf numFmtId="3" fontId="32" fillId="0" borderId="24" xfId="0" applyNumberFormat="1" applyFont="1" applyBorder="1" applyAlignment="1">
      <alignment horizontal="right" vertical="center"/>
    </xf>
    <xf numFmtId="3" fontId="49" fillId="0" borderId="0" xfId="0" applyNumberFormat="1" applyFont="1" applyBorder="1" applyAlignment="1">
      <alignment horizontal="center" vertical="center"/>
    </xf>
    <xf numFmtId="3" fontId="32" fillId="0" borderId="72" xfId="0" applyNumberFormat="1" applyFont="1" applyBorder="1" applyAlignment="1">
      <alignment horizontal="right" vertical="center"/>
    </xf>
    <xf numFmtId="3" fontId="49" fillId="0" borderId="20" xfId="0" applyNumberFormat="1" applyFont="1" applyBorder="1" applyAlignment="1">
      <alignment horizontal="right" vertical="center"/>
    </xf>
    <xf numFmtId="3" fontId="49" fillId="0" borderId="27" xfId="0" applyNumberFormat="1" applyFont="1" applyBorder="1" applyAlignment="1">
      <alignment horizontal="center" vertical="center"/>
    </xf>
    <xf numFmtId="3" fontId="49" fillId="0" borderId="63" xfId="0" applyNumberFormat="1" applyFont="1" applyBorder="1" applyAlignment="1">
      <alignment horizontal="right" vertical="center"/>
    </xf>
    <xf numFmtId="3" fontId="32" fillId="0" borderId="62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/>
    </xf>
    <xf numFmtId="3" fontId="32" fillId="0" borderId="19" xfId="0" applyNumberFormat="1" applyFont="1" applyBorder="1" applyAlignment="1">
      <alignment horizontal="right"/>
    </xf>
    <xf numFmtId="3" fontId="49" fillId="0" borderId="30" xfId="0" applyNumberFormat="1" applyFont="1" applyBorder="1" applyAlignment="1">
      <alignment/>
    </xf>
    <xf numFmtId="3" fontId="49" fillId="0" borderId="63" xfId="0" applyNumberFormat="1" applyFont="1" applyBorder="1" applyAlignment="1">
      <alignment/>
    </xf>
    <xf numFmtId="3" fontId="49" fillId="0" borderId="237" xfId="0" applyNumberFormat="1" applyFont="1" applyBorder="1" applyAlignment="1">
      <alignment horizontal="right"/>
    </xf>
    <xf numFmtId="3" fontId="49" fillId="0" borderId="237" xfId="0" applyNumberFormat="1" applyFont="1" applyBorder="1" applyAlignment="1">
      <alignment/>
    </xf>
    <xf numFmtId="3" fontId="49" fillId="0" borderId="233" xfId="0" applyNumberFormat="1" applyFont="1" applyBorder="1" applyAlignment="1">
      <alignment/>
    </xf>
    <xf numFmtId="0" fontId="19" fillId="0" borderId="51" xfId="0" applyFont="1" applyFill="1" applyBorder="1" applyAlignment="1">
      <alignment/>
    </xf>
    <xf numFmtId="3" fontId="25" fillId="0" borderId="243" xfId="40" applyNumberFormat="1" applyFont="1" applyFill="1" applyBorder="1" applyAlignment="1" applyProtection="1">
      <alignment/>
      <protection/>
    </xf>
    <xf numFmtId="3" fontId="19" fillId="0" borderId="66" xfId="40" applyNumberFormat="1" applyFont="1" applyFill="1" applyBorder="1" applyAlignment="1" applyProtection="1">
      <alignment/>
      <protection/>
    </xf>
    <xf numFmtId="3" fontId="19" fillId="0" borderId="265" xfId="0" applyNumberFormat="1" applyFont="1" applyBorder="1" applyAlignment="1">
      <alignment/>
    </xf>
    <xf numFmtId="3" fontId="19" fillId="0" borderId="230" xfId="0" applyNumberFormat="1" applyFont="1" applyFill="1" applyBorder="1" applyAlignment="1">
      <alignment/>
    </xf>
    <xf numFmtId="0" fontId="34" fillId="0" borderId="211" xfId="0" applyFont="1" applyBorder="1" applyAlignment="1">
      <alignment horizontal="center" wrapText="1"/>
    </xf>
    <xf numFmtId="0" fontId="58" fillId="0" borderId="108" xfId="0" applyFont="1" applyBorder="1" applyAlignment="1">
      <alignment wrapText="1"/>
    </xf>
    <xf numFmtId="3" fontId="25" fillId="24" borderId="140" xfId="0" applyNumberFormat="1" applyFont="1" applyFill="1" applyBorder="1" applyAlignment="1">
      <alignment/>
    </xf>
    <xf numFmtId="3" fontId="19" fillId="0" borderId="138" xfId="0" applyNumberFormat="1" applyFont="1" applyBorder="1" applyAlignment="1">
      <alignment/>
    </xf>
    <xf numFmtId="3" fontId="19" fillId="0" borderId="139" xfId="0" applyNumberFormat="1" applyFont="1" applyBorder="1" applyAlignment="1">
      <alignment/>
    </xf>
    <xf numFmtId="3" fontId="19" fillId="24" borderId="140" xfId="0" applyNumberFormat="1" applyFont="1" applyFill="1" applyBorder="1" applyAlignment="1">
      <alignment/>
    </xf>
    <xf numFmtId="3" fontId="25" fillId="24" borderId="99" xfId="0" applyNumberFormat="1" applyFont="1" applyFill="1" applyBorder="1" applyAlignment="1">
      <alignment/>
    </xf>
    <xf numFmtId="3" fontId="19" fillId="0" borderId="141" xfId="0" applyNumberFormat="1" applyFont="1" applyBorder="1" applyAlignment="1">
      <alignment/>
    </xf>
    <xf numFmtId="3" fontId="19" fillId="0" borderId="178" xfId="0" applyNumberFormat="1" applyFont="1" applyBorder="1" applyAlignment="1">
      <alignment/>
    </xf>
    <xf numFmtId="3" fontId="25" fillId="24" borderId="178" xfId="0" applyNumberFormat="1" applyFont="1" applyFill="1" applyBorder="1" applyAlignment="1">
      <alignment/>
    </xf>
    <xf numFmtId="3" fontId="25" fillId="24" borderId="184" xfId="0" applyNumberFormat="1" applyFont="1" applyFill="1" applyBorder="1" applyAlignment="1">
      <alignment/>
    </xf>
    <xf numFmtId="3" fontId="19" fillId="0" borderId="140" xfId="0" applyNumberFormat="1" applyFont="1" applyBorder="1" applyAlignment="1">
      <alignment/>
    </xf>
    <xf numFmtId="3" fontId="25" fillId="24" borderId="177" xfId="0" applyNumberFormat="1" applyFont="1" applyFill="1" applyBorder="1" applyAlignment="1">
      <alignment/>
    </xf>
    <xf numFmtId="3" fontId="19" fillId="0" borderId="145" xfId="0" applyNumberFormat="1" applyFont="1" applyBorder="1" applyAlignment="1">
      <alignment/>
    </xf>
    <xf numFmtId="3" fontId="19" fillId="24" borderId="145" xfId="0" applyNumberFormat="1" applyFont="1" applyFill="1" applyBorder="1" applyAlignment="1">
      <alignment/>
    </xf>
    <xf numFmtId="3" fontId="19" fillId="0" borderId="145" xfId="0" applyNumberFormat="1" applyFont="1" applyBorder="1" applyAlignment="1">
      <alignment/>
    </xf>
    <xf numFmtId="3" fontId="25" fillId="24" borderId="86" xfId="0" applyNumberFormat="1" applyFont="1" applyFill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46" xfId="0" applyNumberFormat="1" applyFont="1" applyBorder="1" applyAlignment="1">
      <alignment/>
    </xf>
    <xf numFmtId="3" fontId="25" fillId="24" borderId="145" xfId="0" applyNumberFormat="1" applyFont="1" applyFill="1" applyBorder="1" applyAlignment="1">
      <alignment/>
    </xf>
    <xf numFmtId="3" fontId="19" fillId="0" borderId="183" xfId="0" applyNumberFormat="1" applyFont="1" applyBorder="1" applyAlignment="1">
      <alignment/>
    </xf>
    <xf numFmtId="3" fontId="25" fillId="24" borderId="183" xfId="0" applyNumberFormat="1" applyFont="1" applyFill="1" applyBorder="1" applyAlignment="1">
      <alignment/>
    </xf>
    <xf numFmtId="0" fontId="19" fillId="0" borderId="93" xfId="0" applyFont="1" applyBorder="1" applyAlignment="1">
      <alignment wrapText="1"/>
    </xf>
    <xf numFmtId="0" fontId="19" fillId="0" borderId="197" xfId="0" applyFont="1" applyBorder="1" applyAlignment="1">
      <alignment horizontal="center"/>
    </xf>
    <xf numFmtId="0" fontId="58" fillId="0" borderId="47" xfId="0" applyFont="1" applyBorder="1" applyAlignment="1">
      <alignment horizontal="right"/>
    </xf>
    <xf numFmtId="0" fontId="25" fillId="0" borderId="49" xfId="0" applyFont="1" applyBorder="1" applyAlignment="1">
      <alignment/>
    </xf>
    <xf numFmtId="0" fontId="69" fillId="0" borderId="47" xfId="0" applyFont="1" applyBorder="1" applyAlignment="1">
      <alignment horizontal="right"/>
    </xf>
    <xf numFmtId="0" fontId="39" fillId="0" borderId="197" xfId="0" applyFont="1" applyBorder="1" applyAlignment="1">
      <alignment/>
    </xf>
    <xf numFmtId="0" fontId="25" fillId="0" borderId="204" xfId="0" applyFont="1" applyBorder="1" applyAlignment="1">
      <alignment horizontal="center"/>
    </xf>
    <xf numFmtId="0" fontId="43" fillId="0" borderId="182" xfId="0" applyFont="1" applyBorder="1" applyAlignment="1">
      <alignment/>
    </xf>
    <xf numFmtId="0" fontId="44" fillId="0" borderId="182" xfId="0" applyFont="1" applyBorder="1" applyAlignment="1">
      <alignment wrapText="1"/>
    </xf>
    <xf numFmtId="0" fontId="53" fillId="0" borderId="182" xfId="0" applyFont="1" applyBorder="1" applyAlignment="1">
      <alignment horizontal="justify" vertical="center"/>
    </xf>
    <xf numFmtId="0" fontId="53" fillId="0" borderId="182" xfId="0" applyFont="1" applyBorder="1" applyAlignment="1">
      <alignment/>
    </xf>
    <xf numFmtId="0" fontId="53" fillId="0" borderId="182" xfId="0" applyFont="1" applyBorder="1" applyAlignment="1">
      <alignment wrapText="1"/>
    </xf>
    <xf numFmtId="3" fontId="33" fillId="0" borderId="16" xfId="0" applyNumberFormat="1" applyFont="1" applyBorder="1" applyAlignment="1">
      <alignment vertical="center"/>
    </xf>
    <xf numFmtId="3" fontId="33" fillId="0" borderId="62" xfId="0" applyNumberFormat="1" applyFont="1" applyBorder="1" applyAlignment="1">
      <alignment vertical="center"/>
    </xf>
    <xf numFmtId="3" fontId="23" fillId="0" borderId="74" xfId="0" applyNumberFormat="1" applyFont="1" applyBorder="1" applyAlignment="1">
      <alignment vertical="center"/>
    </xf>
    <xf numFmtId="3" fontId="23" fillId="0" borderId="216" xfId="0" applyNumberFormat="1" applyFont="1" applyBorder="1" applyAlignment="1">
      <alignment vertical="center"/>
    </xf>
    <xf numFmtId="3" fontId="44" fillId="0" borderId="70" xfId="40" applyNumberFormat="1" applyFont="1" applyFill="1" applyBorder="1" applyAlignment="1" applyProtection="1">
      <alignment horizontal="right"/>
      <protection/>
    </xf>
    <xf numFmtId="3" fontId="33" fillId="0" borderId="25" xfId="0" applyNumberFormat="1" applyFont="1" applyBorder="1" applyAlignment="1">
      <alignment horizontal="right"/>
    </xf>
    <xf numFmtId="3" fontId="33" fillId="0" borderId="240" xfId="0" applyNumberFormat="1" applyFont="1" applyBorder="1" applyAlignment="1">
      <alignment horizontal="right"/>
    </xf>
    <xf numFmtId="0" fontId="33" fillId="0" borderId="70" xfId="0" applyFont="1" applyBorder="1" applyAlignment="1">
      <alignment horizontal="right" vertical="center"/>
    </xf>
    <xf numFmtId="0" fontId="33" fillId="0" borderId="62" xfId="0" applyFont="1" applyBorder="1" applyAlignment="1">
      <alignment horizontal="right" vertical="center"/>
    </xf>
    <xf numFmtId="0" fontId="33" fillId="0" borderId="243" xfId="0" applyFont="1" applyBorder="1" applyAlignment="1">
      <alignment horizontal="right" vertical="center"/>
    </xf>
    <xf numFmtId="3" fontId="32" fillId="0" borderId="60" xfId="0" applyNumberFormat="1" applyFont="1" applyBorder="1" applyAlignment="1">
      <alignment horizontal="right" vertical="center"/>
    </xf>
    <xf numFmtId="3" fontId="33" fillId="0" borderId="61" xfId="40" applyNumberFormat="1" applyFont="1" applyFill="1" applyBorder="1" applyAlignment="1" applyProtection="1">
      <alignment horizontal="right" vertical="center"/>
      <protection/>
    </xf>
    <xf numFmtId="0" fontId="19" fillId="0" borderId="200" xfId="0" applyFont="1" applyBorder="1" applyAlignment="1">
      <alignment/>
    </xf>
    <xf numFmtId="0" fontId="19" fillId="0" borderId="99" xfId="0" applyFont="1" applyBorder="1" applyAlignment="1">
      <alignment/>
    </xf>
    <xf numFmtId="0" fontId="41" fillId="0" borderId="89" xfId="0" applyFont="1" applyBorder="1" applyAlignment="1">
      <alignment horizontal="right"/>
    </xf>
    <xf numFmtId="0" fontId="19" fillId="0" borderId="103" xfId="0" applyFont="1" applyBorder="1" applyAlignment="1">
      <alignment/>
    </xf>
    <xf numFmtId="0" fontId="25" fillId="0" borderId="101" xfId="0" applyFont="1" applyBorder="1" applyAlignment="1">
      <alignment/>
    </xf>
    <xf numFmtId="0" fontId="25" fillId="0" borderId="100" xfId="0" applyFont="1" applyBorder="1" applyAlignment="1">
      <alignment/>
    </xf>
    <xf numFmtId="0" fontId="25" fillId="0" borderId="179" xfId="0" applyFont="1" applyBorder="1" applyAlignment="1">
      <alignment/>
    </xf>
    <xf numFmtId="0" fontId="19" fillId="0" borderId="137" xfId="0" applyFont="1" applyBorder="1" applyAlignment="1">
      <alignment/>
    </xf>
    <xf numFmtId="0" fontId="25" fillId="0" borderId="150" xfId="0" applyFont="1" applyBorder="1" applyAlignment="1">
      <alignment/>
    </xf>
    <xf numFmtId="3" fontId="25" fillId="0" borderId="152" xfId="0" applyNumberFormat="1" applyFont="1" applyBorder="1" applyAlignment="1">
      <alignment horizontal="right"/>
    </xf>
    <xf numFmtId="0" fontId="50" fillId="0" borderId="93" xfId="0" applyFont="1" applyBorder="1" applyAlignment="1">
      <alignment/>
    </xf>
    <xf numFmtId="0" fontId="19" fillId="0" borderId="98" xfId="0" applyFont="1" applyBorder="1" applyAlignment="1">
      <alignment/>
    </xf>
    <xf numFmtId="3" fontId="19" fillId="0" borderId="105" xfId="0" applyNumberFormat="1" applyFont="1" applyBorder="1" applyAlignment="1">
      <alignment horizontal="right"/>
    </xf>
    <xf numFmtId="3" fontId="19" fillId="0" borderId="103" xfId="0" applyNumberFormat="1" applyFont="1" applyBorder="1" applyAlignment="1">
      <alignment horizontal="right"/>
    </xf>
    <xf numFmtId="3" fontId="25" fillId="0" borderId="102" xfId="0" applyNumberFormat="1" applyFont="1" applyBorder="1" applyAlignment="1">
      <alignment horizontal="right"/>
    </xf>
    <xf numFmtId="3" fontId="19" fillId="0" borderId="175" xfId="0" applyNumberFormat="1" applyFont="1" applyBorder="1" applyAlignment="1">
      <alignment/>
    </xf>
    <xf numFmtId="0" fontId="41" fillId="0" borderId="58" xfId="0" applyFont="1" applyBorder="1" applyAlignment="1">
      <alignment horizontal="right"/>
    </xf>
    <xf numFmtId="1" fontId="19" fillId="0" borderId="146" xfId="40" applyNumberFormat="1" applyFont="1" applyFill="1" applyBorder="1" applyAlignment="1" applyProtection="1">
      <alignment horizontal="right"/>
      <protection/>
    </xf>
    <xf numFmtId="0" fontId="19" fillId="0" borderId="54" xfId="0" applyFont="1" applyBorder="1" applyAlignment="1">
      <alignment vertical="center"/>
    </xf>
    <xf numFmtId="0" fontId="41" fillId="0" borderId="95" xfId="0" applyFont="1" applyBorder="1" applyAlignment="1">
      <alignment horizontal="right"/>
    </xf>
    <xf numFmtId="0" fontId="19" fillId="0" borderId="26" xfId="0" applyFont="1" applyBorder="1" applyAlignment="1">
      <alignment/>
    </xf>
    <xf numFmtId="0" fontId="19" fillId="0" borderId="75" xfId="0" applyFont="1" applyFill="1" applyBorder="1" applyAlignment="1">
      <alignment/>
    </xf>
    <xf numFmtId="0" fontId="19" fillId="0" borderId="100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52" xfId="0" applyFont="1" applyBorder="1" applyAlignment="1">
      <alignment/>
    </xf>
    <xf numFmtId="0" fontId="0" fillId="0" borderId="152" xfId="0" applyBorder="1" applyAlignment="1">
      <alignment/>
    </xf>
    <xf numFmtId="3" fontId="25" fillId="0" borderId="72" xfId="40" applyNumberFormat="1" applyFont="1" applyFill="1" applyBorder="1" applyAlignment="1" applyProtection="1">
      <alignment/>
      <protection/>
    </xf>
    <xf numFmtId="3" fontId="19" fillId="0" borderId="65" xfId="40" applyNumberFormat="1" applyFont="1" applyFill="1" applyBorder="1" applyAlignment="1" applyProtection="1">
      <alignment/>
      <protection/>
    </xf>
    <xf numFmtId="3" fontId="25" fillId="0" borderId="164" xfId="40" applyNumberFormat="1" applyFont="1" applyFill="1" applyBorder="1" applyAlignment="1" applyProtection="1">
      <alignment/>
      <protection/>
    </xf>
    <xf numFmtId="0" fontId="19" fillId="0" borderId="182" xfId="0" applyFont="1" applyBorder="1" applyAlignment="1">
      <alignment horizontal="left"/>
    </xf>
    <xf numFmtId="0" fontId="19" fillId="0" borderId="99" xfId="0" applyFont="1" applyBorder="1" applyAlignment="1">
      <alignment horizontal="left"/>
    </xf>
    <xf numFmtId="0" fontId="19" fillId="0" borderId="102" xfId="0" applyFont="1" applyBorder="1" applyAlignment="1">
      <alignment horizontal="left"/>
    </xf>
    <xf numFmtId="3" fontId="19" fillId="0" borderId="24" xfId="54" applyNumberFormat="1" applyFont="1" applyFill="1" applyBorder="1" applyProtection="1">
      <alignment/>
      <protection/>
    </xf>
    <xf numFmtId="0" fontId="19" fillId="0" borderId="37" xfId="54" applyFont="1" applyBorder="1" applyProtection="1">
      <alignment/>
      <protection/>
    </xf>
    <xf numFmtId="0" fontId="19" fillId="0" borderId="274" xfId="54" applyFont="1" applyBorder="1" applyProtection="1">
      <alignment/>
      <protection/>
    </xf>
    <xf numFmtId="0" fontId="19" fillId="0" borderId="10" xfId="54" applyFont="1" applyBorder="1" applyProtection="1">
      <alignment/>
      <protection/>
    </xf>
    <xf numFmtId="3" fontId="32" fillId="0" borderId="155" xfId="0" applyNumberFormat="1" applyFont="1" applyBorder="1" applyAlignment="1">
      <alignment/>
    </xf>
    <xf numFmtId="0" fontId="19" fillId="0" borderId="98" xfId="0" applyFont="1" applyBorder="1" applyAlignment="1">
      <alignment horizontal="left" vertical="center" wrapText="1"/>
    </xf>
    <xf numFmtId="0" fontId="19" fillId="0" borderId="165" xfId="0" applyFont="1" applyBorder="1" applyAlignment="1">
      <alignment horizontal="right" vertical="center"/>
    </xf>
    <xf numFmtId="0" fontId="19" fillId="0" borderId="108" xfId="0" applyFont="1" applyBorder="1" applyAlignment="1">
      <alignment horizontal="right" vertical="center"/>
    </xf>
    <xf numFmtId="0" fontId="19" fillId="0" borderId="164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221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/>
      <protection/>
    </xf>
    <xf numFmtId="0" fontId="25" fillId="0" borderId="52" xfId="0" applyFont="1" applyBorder="1" applyAlignment="1">
      <alignment/>
    </xf>
    <xf numFmtId="0" fontId="33" fillId="0" borderId="106" xfId="0" applyFont="1" applyBorder="1" applyAlignment="1">
      <alignment horizontal="center"/>
    </xf>
    <xf numFmtId="0" fontId="19" fillId="0" borderId="104" xfId="0" applyFont="1" applyBorder="1" applyAlignment="1">
      <alignment horizontal="right" wrapText="1"/>
    </xf>
    <xf numFmtId="164" fontId="25" fillId="0" borderId="178" xfId="0" applyNumberFormat="1" applyFont="1" applyBorder="1" applyAlignment="1">
      <alignment/>
    </xf>
    <xf numFmtId="164" fontId="25" fillId="0" borderId="121" xfId="0" applyNumberFormat="1" applyFont="1" applyBorder="1" applyAlignment="1">
      <alignment/>
    </xf>
    <xf numFmtId="0" fontId="19" fillId="0" borderId="141" xfId="0" applyFont="1" applyBorder="1" applyAlignment="1">
      <alignment/>
    </xf>
    <xf numFmtId="0" fontId="19" fillId="0" borderId="275" xfId="0" applyFont="1" applyBorder="1" applyAlignment="1">
      <alignment/>
    </xf>
    <xf numFmtId="0" fontId="19" fillId="0" borderId="86" xfId="0" applyFont="1" applyBorder="1" applyAlignment="1">
      <alignment horizontal="right" wrapText="1"/>
    </xf>
    <xf numFmtId="0" fontId="19" fillId="0" borderId="179" xfId="0" applyFont="1" applyBorder="1" applyAlignment="1">
      <alignment horizontal="right" wrapText="1"/>
    </xf>
    <xf numFmtId="0" fontId="19" fillId="0" borderId="116" xfId="0" applyFont="1" applyBorder="1" applyAlignment="1">
      <alignment horizontal="right" wrapText="1"/>
    </xf>
    <xf numFmtId="0" fontId="19" fillId="0" borderId="105" xfId="0" applyFont="1" applyBorder="1" applyAlignment="1">
      <alignment horizontal="right" wrapText="1"/>
    </xf>
    <xf numFmtId="0" fontId="19" fillId="0" borderId="103" xfId="0" applyFont="1" applyBorder="1" applyAlignment="1">
      <alignment horizontal="right" wrapText="1"/>
    </xf>
    <xf numFmtId="0" fontId="25" fillId="0" borderId="276" xfId="0" applyFont="1" applyFill="1" applyBorder="1" applyAlignment="1">
      <alignment horizontal="left"/>
    </xf>
    <xf numFmtId="0" fontId="19" fillId="0" borderId="106" xfId="0" applyFont="1" applyBorder="1" applyAlignment="1">
      <alignment horizontal="center" wrapText="1"/>
    </xf>
    <xf numFmtId="0" fontId="19" fillId="0" borderId="104" xfId="0" applyFont="1" applyBorder="1" applyAlignment="1">
      <alignment wrapText="1"/>
    </xf>
    <xf numFmtId="0" fontId="23" fillId="0" borderId="104" xfId="0" applyFont="1" applyBorder="1" applyAlignment="1">
      <alignment/>
    </xf>
    <xf numFmtId="0" fontId="19" fillId="0" borderId="175" xfId="0" applyFont="1" applyBorder="1" applyAlignment="1">
      <alignment horizontal="left"/>
    </xf>
    <xf numFmtId="3" fontId="19" fillId="0" borderId="230" xfId="0" applyNumberFormat="1" applyFont="1" applyBorder="1" applyAlignment="1">
      <alignment/>
    </xf>
    <xf numFmtId="0" fontId="33" fillId="0" borderId="104" xfId="0" applyFont="1" applyBorder="1" applyAlignment="1">
      <alignment horizontal="center"/>
    </xf>
    <xf numFmtId="0" fontId="34" fillId="0" borderId="85" xfId="0" applyFont="1" applyBorder="1" applyAlignment="1">
      <alignment/>
    </xf>
    <xf numFmtId="0" fontId="37" fillId="0" borderId="155" xfId="0" applyFont="1" applyBorder="1" applyAlignment="1">
      <alignment/>
    </xf>
    <xf numFmtId="0" fontId="19" fillId="0" borderId="52" xfId="0" applyFont="1" applyBorder="1" applyAlignment="1">
      <alignment vertical="center"/>
    </xf>
    <xf numFmtId="0" fontId="19" fillId="0" borderId="86" xfId="0" applyFont="1" applyBorder="1" applyAlignment="1">
      <alignment horizontal="right"/>
    </xf>
    <xf numFmtId="0" fontId="19" fillId="0" borderId="103" xfId="0" applyFont="1" applyBorder="1" applyAlignment="1">
      <alignment horizontal="right"/>
    </xf>
    <xf numFmtId="0" fontId="19" fillId="0" borderId="105" xfId="0" applyFont="1" applyBorder="1" applyAlignment="1">
      <alignment horizontal="right"/>
    </xf>
    <xf numFmtId="0" fontId="19" fillId="0" borderId="106" xfId="0" applyFont="1" applyBorder="1" applyAlignment="1">
      <alignment horizontal="right"/>
    </xf>
    <xf numFmtId="3" fontId="19" fillId="0" borderId="147" xfId="0" applyNumberFormat="1" applyFont="1" applyFill="1" applyBorder="1" applyAlignment="1">
      <alignment/>
    </xf>
    <xf numFmtId="3" fontId="33" fillId="0" borderId="103" xfId="0" applyNumberFormat="1" applyFont="1" applyBorder="1" applyAlignment="1">
      <alignment/>
    </xf>
    <xf numFmtId="3" fontId="19" fillId="0" borderId="72" xfId="40" applyNumberFormat="1" applyFont="1" applyFill="1" applyBorder="1" applyAlignment="1" applyProtection="1">
      <alignment/>
      <protection/>
    </xf>
    <xf numFmtId="0" fontId="32" fillId="0" borderId="277" xfId="0" applyFont="1" applyBorder="1" applyAlignment="1">
      <alignment vertical="center"/>
    </xf>
    <xf numFmtId="0" fontId="32" fillId="0" borderId="148" xfId="0" applyFont="1" applyBorder="1" applyAlignment="1">
      <alignment wrapText="1"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3" fillId="0" borderId="278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3" fillId="0" borderId="161" xfId="0" applyFont="1" applyBorder="1" applyAlignment="1">
      <alignment horizontal="center"/>
    </xf>
    <xf numFmtId="0" fontId="23" fillId="0" borderId="111" xfId="0" applyFont="1" applyBorder="1" applyAlignment="1">
      <alignment horizontal="center"/>
    </xf>
    <xf numFmtId="0" fontId="41" fillId="0" borderId="116" xfId="0" applyFont="1" applyBorder="1" applyAlignment="1">
      <alignment wrapText="1"/>
    </xf>
    <xf numFmtId="0" fontId="0" fillId="0" borderId="106" xfId="0" applyBorder="1" applyAlignment="1">
      <alignment wrapText="1"/>
    </xf>
    <xf numFmtId="0" fontId="23" fillId="0" borderId="0" xfId="0" applyFont="1" applyBorder="1" applyAlignment="1">
      <alignment horizontal="center"/>
    </xf>
    <xf numFmtId="0" fontId="0" fillId="0" borderId="87" xfId="0" applyBorder="1" applyAlignment="1">
      <alignment wrapText="1"/>
    </xf>
    <xf numFmtId="0" fontId="25" fillId="0" borderId="177" xfId="0" applyFont="1" applyBorder="1" applyAlignment="1">
      <alignment horizontal="center" vertical="center" wrapText="1"/>
    </xf>
    <xf numFmtId="0" fontId="25" fillId="0" borderId="119" xfId="0" applyFont="1" applyBorder="1" applyAlignment="1">
      <alignment horizontal="center" vertical="center" wrapText="1"/>
    </xf>
    <xf numFmtId="0" fontId="25" fillId="0" borderId="184" xfId="0" applyFont="1" applyBorder="1" applyAlignment="1">
      <alignment horizontal="center" vertical="center" wrapText="1"/>
    </xf>
    <xf numFmtId="0" fontId="25" fillId="0" borderId="23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213" xfId="0" applyFont="1" applyBorder="1" applyAlignment="1">
      <alignment horizontal="center" vertical="center" wrapText="1"/>
    </xf>
    <xf numFmtId="0" fontId="25" fillId="0" borderId="18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0" borderId="116" xfId="0" applyFont="1" applyBorder="1" applyAlignment="1">
      <alignment wrapText="1"/>
    </xf>
    <xf numFmtId="0" fontId="19" fillId="0" borderId="106" xfId="0" applyFont="1" applyBorder="1" applyAlignment="1">
      <alignment wrapText="1"/>
    </xf>
    <xf numFmtId="0" fontId="0" fillId="0" borderId="116" xfId="0" applyFont="1" applyBorder="1" applyAlignment="1">
      <alignment wrapText="1"/>
    </xf>
    <xf numFmtId="0" fontId="0" fillId="0" borderId="87" xfId="0" applyFont="1" applyBorder="1" applyAlignment="1">
      <alignment wrapText="1"/>
    </xf>
    <xf numFmtId="0" fontId="39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279" xfId="0" applyFont="1" applyBorder="1" applyAlignment="1">
      <alignment horizontal="center" vertical="center" wrapText="1"/>
    </xf>
    <xf numFmtId="0" fontId="25" fillId="0" borderId="280" xfId="0" applyFont="1" applyBorder="1" applyAlignment="1">
      <alignment horizontal="center" vertical="center" wrapText="1"/>
    </xf>
    <xf numFmtId="0" fontId="25" fillId="0" borderId="161" xfId="0" applyFont="1" applyBorder="1" applyAlignment="1">
      <alignment horizontal="center" vertical="center"/>
    </xf>
    <xf numFmtId="0" fontId="25" fillId="0" borderId="214" xfId="0" applyFont="1" applyBorder="1" applyAlignment="1">
      <alignment horizontal="center" vertical="center"/>
    </xf>
    <xf numFmtId="0" fontId="23" fillId="0" borderId="58" xfId="0" applyFont="1" applyBorder="1" applyAlignment="1">
      <alignment/>
    </xf>
    <xf numFmtId="0" fontId="0" fillId="0" borderId="170" xfId="0" applyBorder="1" applyAlignment="1">
      <alignment/>
    </xf>
    <xf numFmtId="0" fontId="49" fillId="0" borderId="0" xfId="0" applyFont="1" applyAlignment="1">
      <alignment horizontal="center"/>
    </xf>
    <xf numFmtId="0" fontId="25" fillId="0" borderId="278" xfId="0" applyFont="1" applyBorder="1" applyAlignment="1">
      <alignment horizontal="center" vertical="center"/>
    </xf>
    <xf numFmtId="0" fontId="23" fillId="0" borderId="116" xfId="0" applyFont="1" applyBorder="1" applyAlignment="1">
      <alignment/>
    </xf>
    <xf numFmtId="0" fontId="0" fillId="0" borderId="106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25" fillId="0" borderId="161" xfId="54" applyFont="1" applyBorder="1" applyAlignment="1" applyProtection="1">
      <alignment horizontal="center"/>
      <protection/>
    </xf>
    <xf numFmtId="0" fontId="25" fillId="0" borderId="214" xfId="54" applyFont="1" applyBorder="1" applyAlignment="1" applyProtection="1">
      <alignment horizontal="center"/>
      <protection/>
    </xf>
    <xf numFmtId="0" fontId="48" fillId="0" borderId="0" xfId="54" applyFont="1" applyBorder="1" applyAlignment="1" applyProtection="1">
      <alignment horizontal="center"/>
      <protection/>
    </xf>
    <xf numFmtId="0" fontId="19" fillId="0" borderId="58" xfId="0" applyFont="1" applyBorder="1" applyAlignment="1">
      <alignment wrapText="1"/>
    </xf>
    <xf numFmtId="0" fontId="0" fillId="0" borderId="222" xfId="0" applyBorder="1" applyAlignment="1">
      <alignment wrapText="1"/>
    </xf>
    <xf numFmtId="0" fontId="25" fillId="0" borderId="0" xfId="54" applyFont="1" applyBorder="1" applyAlignment="1" applyProtection="1">
      <alignment horizontal="center"/>
      <protection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horizontal="left" wrapText="1"/>
    </xf>
    <xf numFmtId="0" fontId="32" fillId="0" borderId="0" xfId="0" applyFont="1" applyFill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/>
    </xf>
    <xf numFmtId="0" fontId="33" fillId="0" borderId="90" xfId="0" applyFont="1" applyBorder="1" applyAlignment="1">
      <alignment horizontal="center"/>
    </xf>
    <xf numFmtId="0" fontId="33" fillId="0" borderId="281" xfId="0" applyFont="1" applyBorder="1" applyAlignment="1">
      <alignment horizontal="center"/>
    </xf>
    <xf numFmtId="0" fontId="33" fillId="0" borderId="98" xfId="0" applyFont="1" applyBorder="1" applyAlignment="1">
      <alignment/>
    </xf>
    <xf numFmtId="0" fontId="33" fillId="0" borderId="282" xfId="0" applyFont="1" applyBorder="1" applyAlignment="1">
      <alignment/>
    </xf>
    <xf numFmtId="3" fontId="33" fillId="0" borderId="172" xfId="0" applyNumberFormat="1" applyFont="1" applyBorder="1" applyAlignment="1">
      <alignment/>
    </xf>
    <xf numFmtId="3" fontId="33" fillId="0" borderId="99" xfId="0" applyNumberFormat="1" applyFont="1" applyBorder="1" applyAlignment="1">
      <alignment/>
    </xf>
    <xf numFmtId="0" fontId="33" fillId="0" borderId="226" xfId="0" applyFont="1" applyBorder="1" applyAlignment="1">
      <alignment/>
    </xf>
    <xf numFmtId="0" fontId="33" fillId="0" borderId="251" xfId="0" applyFont="1" applyBorder="1" applyAlignment="1">
      <alignment/>
    </xf>
    <xf numFmtId="3" fontId="33" fillId="0" borderId="283" xfId="0" applyNumberFormat="1" applyFont="1" applyBorder="1" applyAlignment="1">
      <alignment/>
    </xf>
    <xf numFmtId="3" fontId="33" fillId="0" borderId="175" xfId="0" applyNumberFormat="1" applyFont="1" applyBorder="1" applyAlignment="1">
      <alignment/>
    </xf>
    <xf numFmtId="0" fontId="58" fillId="0" borderId="90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23" fillId="0" borderId="90" xfId="0" applyFont="1" applyBorder="1" applyAlignment="1">
      <alignment/>
    </xf>
    <xf numFmtId="0" fontId="23" fillId="0" borderId="281" xfId="0" applyFont="1" applyBorder="1" applyAlignment="1">
      <alignment/>
    </xf>
    <xf numFmtId="3" fontId="23" fillId="0" borderId="122" xfId="0" applyNumberFormat="1" applyFont="1" applyBorder="1" applyAlignment="1">
      <alignment/>
    </xf>
    <xf numFmtId="3" fontId="23" fillId="0" borderId="121" xfId="0" applyNumberFormat="1" applyFont="1" applyBorder="1" applyAlignment="1">
      <alignment/>
    </xf>
    <xf numFmtId="0" fontId="33" fillId="0" borderId="150" xfId="0" applyFont="1" applyBorder="1" applyAlignment="1">
      <alignment/>
    </xf>
    <xf numFmtId="0" fontId="33" fillId="0" borderId="284" xfId="0" applyFont="1" applyBorder="1" applyAlignment="1">
      <alignment/>
    </xf>
    <xf numFmtId="3" fontId="33" fillId="0" borderId="285" xfId="0" applyNumberFormat="1" applyFont="1" applyBorder="1" applyAlignment="1">
      <alignment/>
    </xf>
    <xf numFmtId="3" fontId="33" fillId="0" borderId="153" xfId="0" applyNumberFormat="1" applyFont="1" applyBorder="1" applyAlignment="1">
      <alignment/>
    </xf>
    <xf numFmtId="0" fontId="25" fillId="0" borderId="29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39" fillId="0" borderId="0" xfId="0" applyFont="1" applyAlignment="1">
      <alignment/>
    </xf>
    <xf numFmtId="166" fontId="33" fillId="0" borderId="286" xfId="40" applyNumberFormat="1" applyFont="1" applyFill="1" applyBorder="1" applyAlignment="1" applyProtection="1">
      <alignment horizontal="center" vertical="center"/>
      <protection/>
    </xf>
    <xf numFmtId="166" fontId="33" fillId="0" borderId="202" xfId="40" applyNumberFormat="1" applyFont="1" applyFill="1" applyBorder="1" applyAlignment="1" applyProtection="1">
      <alignment horizontal="center" vertical="center"/>
      <protection/>
    </xf>
    <xf numFmtId="166" fontId="33" fillId="0" borderId="16" xfId="40" applyNumberFormat="1" applyFont="1" applyFill="1" applyBorder="1" applyAlignment="1" applyProtection="1">
      <alignment horizontal="center" vertical="center"/>
      <protection/>
    </xf>
    <xf numFmtId="0" fontId="25" fillId="0" borderId="136" xfId="0" applyFont="1" applyBorder="1" applyAlignment="1">
      <alignment horizontal="center"/>
    </xf>
    <xf numFmtId="0" fontId="25" fillId="0" borderId="121" xfId="0" applyFont="1" applyBorder="1" applyAlignment="1">
      <alignment horizontal="center"/>
    </xf>
    <xf numFmtId="166" fontId="33" fillId="0" borderId="11" xfId="40" applyNumberFormat="1" applyFont="1" applyFill="1" applyBorder="1" applyAlignment="1" applyProtection="1">
      <alignment horizontal="center" vertical="center"/>
      <protection/>
    </xf>
    <xf numFmtId="166" fontId="33" fillId="0" borderId="51" xfId="40" applyNumberFormat="1" applyFont="1" applyFill="1" applyBorder="1" applyAlignment="1" applyProtection="1">
      <alignment horizontal="center" vertical="center"/>
      <protection/>
    </xf>
    <xf numFmtId="166" fontId="23" fillId="0" borderId="20" xfId="4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center"/>
    </xf>
    <xf numFmtId="0" fontId="25" fillId="0" borderId="1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37" fillId="0" borderId="116" xfId="0" applyFont="1" applyBorder="1" applyAlignment="1">
      <alignment horizontal="center" wrapText="1"/>
    </xf>
    <xf numFmtId="0" fontId="37" fillId="0" borderId="87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9" fillId="0" borderId="109" xfId="0" applyFont="1" applyBorder="1" applyAlignment="1">
      <alignment horizontal="center"/>
    </xf>
    <xf numFmtId="0" fontId="19" fillId="0" borderId="121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9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8" fillId="0" borderId="33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justify"/>
    </xf>
    <xf numFmtId="0" fontId="54" fillId="0" borderId="113" xfId="0" applyFont="1" applyBorder="1" applyAlignment="1">
      <alignment horizontal="center" vertical="center"/>
    </xf>
    <xf numFmtId="0" fontId="54" fillId="0" borderId="78" xfId="0" applyFont="1" applyBorder="1" applyAlignment="1">
      <alignment horizontal="center" vertical="center"/>
    </xf>
    <xf numFmtId="0" fontId="55" fillId="0" borderId="287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0" fontId="19" fillId="0" borderId="161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7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1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0" fillId="0" borderId="204" xfId="0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5" fillId="0" borderId="288" xfId="0" applyFont="1" applyBorder="1" applyAlignment="1">
      <alignment horizontal="center" vertical="center" wrapText="1"/>
    </xf>
    <xf numFmtId="0" fontId="25" fillId="0" borderId="289" xfId="0" applyFont="1" applyBorder="1" applyAlignment="1">
      <alignment horizontal="center" vertical="center" wrapText="1"/>
    </xf>
    <xf numFmtId="0" fontId="49" fillId="0" borderId="252" xfId="0" applyFont="1" applyBorder="1" applyAlignment="1">
      <alignment horizontal="center" vertical="center"/>
    </xf>
    <xf numFmtId="0" fontId="49" fillId="0" borderId="290" xfId="0" applyFont="1" applyBorder="1" applyAlignment="1">
      <alignment horizontal="center" vertical="center"/>
    </xf>
    <xf numFmtId="0" fontId="25" fillId="0" borderId="252" xfId="0" applyFont="1" applyBorder="1" applyAlignment="1">
      <alignment horizontal="center" vertical="center" wrapText="1"/>
    </xf>
    <xf numFmtId="0" fontId="25" fillId="0" borderId="290" xfId="0" applyFont="1" applyBorder="1" applyAlignment="1">
      <alignment horizontal="center" vertical="center" wrapText="1"/>
    </xf>
    <xf numFmtId="0" fontId="49" fillId="0" borderId="291" xfId="0" applyFont="1" applyBorder="1" applyAlignment="1">
      <alignment horizontal="center" vertical="center"/>
    </xf>
    <xf numFmtId="0" fontId="49" fillId="0" borderId="29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258" xfId="0" applyFont="1" applyBorder="1" applyAlignment="1">
      <alignment horizontal="center" vertical="center" wrapText="1"/>
    </xf>
    <xf numFmtId="0" fontId="25" fillId="0" borderId="293" xfId="0" applyFont="1" applyBorder="1" applyAlignment="1">
      <alignment horizontal="center" vertical="center" wrapText="1"/>
    </xf>
    <xf numFmtId="0" fontId="25" fillId="0" borderId="252" xfId="0" applyFont="1" applyBorder="1" applyAlignment="1">
      <alignment horizontal="center" vertical="center"/>
    </xf>
    <xf numFmtId="0" fontId="25" fillId="0" borderId="253" xfId="0" applyFont="1" applyBorder="1" applyAlignment="1">
      <alignment horizontal="center" vertical="center"/>
    </xf>
    <xf numFmtId="0" fontId="49" fillId="0" borderId="294" xfId="0" applyFont="1" applyBorder="1" applyAlignment="1">
      <alignment horizontal="center" vertical="center"/>
    </xf>
    <xf numFmtId="0" fontId="49" fillId="0" borderId="29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9" fillId="0" borderId="271" xfId="0" applyFont="1" applyBorder="1" applyAlignment="1">
      <alignment horizontal="center" vertical="center"/>
    </xf>
    <xf numFmtId="0" fontId="23" fillId="0" borderId="161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5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73" fillId="0" borderId="108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33" fillId="0" borderId="25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3">
      <selection activeCell="E23" sqref="E23"/>
    </sheetView>
  </sheetViews>
  <sheetFormatPr defaultColWidth="9.140625" defaultRowHeight="12.75"/>
  <cols>
    <col min="1" max="1" width="5.00390625" style="0" customWidth="1"/>
    <col min="2" max="2" width="48.7109375" style="0" customWidth="1"/>
    <col min="3" max="3" width="19.00390625" style="0" customWidth="1"/>
    <col min="4" max="4" width="38.421875" style="0" customWidth="1"/>
    <col min="5" max="5" width="21.140625" style="0" customWidth="1"/>
  </cols>
  <sheetData>
    <row r="1" spans="1:5" ht="12.75">
      <c r="A1" s="1547" t="s">
        <v>1291</v>
      </c>
      <c r="B1" s="1547"/>
      <c r="C1" s="1547"/>
      <c r="D1" s="1547"/>
      <c r="E1" s="1547"/>
    </row>
    <row r="2" spans="2:5" ht="12.75">
      <c r="B2" s="1"/>
      <c r="C2" s="1"/>
      <c r="D2" s="1"/>
      <c r="E2" s="2"/>
    </row>
    <row r="3" spans="2:5" s="3" customFormat="1" ht="15.75">
      <c r="B3" s="1548" t="s">
        <v>0</v>
      </c>
      <c r="C3" s="1548"/>
      <c r="D3" s="1548"/>
      <c r="E3" s="1548"/>
    </row>
    <row r="4" spans="2:5" s="3" customFormat="1" ht="16.5" thickBot="1">
      <c r="B4" s="1548" t="s">
        <v>254</v>
      </c>
      <c r="C4" s="1548"/>
      <c r="D4" s="1548"/>
      <c r="E4" s="1548"/>
    </row>
    <row r="5" spans="1:5" ht="16.5" thickBot="1">
      <c r="A5" s="1553" t="s">
        <v>1148</v>
      </c>
      <c r="B5" s="1549" t="s">
        <v>1</v>
      </c>
      <c r="C5" s="1550"/>
      <c r="D5" s="1551" t="s">
        <v>2</v>
      </c>
      <c r="E5" s="1552"/>
    </row>
    <row r="6" spans="1:5" s="4" customFormat="1" ht="16.5" thickBot="1">
      <c r="A6" s="1554"/>
      <c r="B6" s="644" t="s">
        <v>3</v>
      </c>
      <c r="C6" s="649" t="s">
        <v>4</v>
      </c>
      <c r="D6" s="644" t="s">
        <v>3</v>
      </c>
      <c r="E6" s="649" t="s">
        <v>4</v>
      </c>
    </row>
    <row r="7" spans="1:5" s="791" customFormat="1" ht="11.25">
      <c r="A7" s="792" t="s">
        <v>1149</v>
      </c>
      <c r="B7" s="793" t="s">
        <v>1150</v>
      </c>
      <c r="C7" s="794" t="s">
        <v>1151</v>
      </c>
      <c r="D7" s="795" t="s">
        <v>1152</v>
      </c>
      <c r="E7" s="794" t="s">
        <v>1172</v>
      </c>
    </row>
    <row r="8" spans="1:5" s="4" customFormat="1" ht="15">
      <c r="A8" s="789" t="s">
        <v>1153</v>
      </c>
      <c r="B8" s="650" t="s">
        <v>5</v>
      </c>
      <c r="C8" s="288">
        <f>'13_sz_ melléklet'!E8</f>
        <v>4528224.232666666</v>
      </c>
      <c r="D8" s="650" t="s">
        <v>6</v>
      </c>
      <c r="E8" s="654">
        <f>'2_sz_ melléklet'!E19</f>
        <v>4588441</v>
      </c>
    </row>
    <row r="9" spans="1:5" s="4" customFormat="1" ht="6.75" customHeight="1">
      <c r="A9" s="786"/>
      <c r="B9" s="651"/>
      <c r="C9" s="286"/>
      <c r="D9" s="651"/>
      <c r="E9" s="655"/>
    </row>
    <row r="10" spans="1:5" s="4" customFormat="1" ht="16.5" customHeight="1">
      <c r="A10" s="786" t="s">
        <v>1154</v>
      </c>
      <c r="B10" s="651" t="s">
        <v>750</v>
      </c>
      <c r="C10" s="286">
        <f>'13_sz_ melléklet'!E23</f>
        <v>5048040</v>
      </c>
      <c r="D10" s="651" t="s">
        <v>7</v>
      </c>
      <c r="E10" s="655">
        <f>'2_sz_ melléklet'!E30</f>
        <v>5959594</v>
      </c>
    </row>
    <row r="11" spans="1:5" s="4" customFormat="1" ht="7.5" customHeight="1">
      <c r="A11" s="786"/>
      <c r="B11" s="651"/>
      <c r="C11" s="286"/>
      <c r="D11" s="332"/>
      <c r="E11" s="655"/>
    </row>
    <row r="12" spans="1:5" s="4" customFormat="1" ht="27" customHeight="1">
      <c r="A12" s="786" t="s">
        <v>1155</v>
      </c>
      <c r="B12" s="651" t="s">
        <v>729</v>
      </c>
      <c r="C12" s="286">
        <f>'13_sz_ melléklet'!E35</f>
        <v>4835</v>
      </c>
      <c r="D12" s="645" t="s">
        <v>509</v>
      </c>
      <c r="E12" s="655">
        <f>'2_sz_ melléklet'!E36</f>
        <v>9200</v>
      </c>
    </row>
    <row r="13" spans="1:5" s="4" customFormat="1" ht="8.25" customHeight="1">
      <c r="A13" s="786"/>
      <c r="B13" s="651"/>
      <c r="C13" s="286"/>
      <c r="D13" s="646"/>
      <c r="E13" s="656"/>
    </row>
    <row r="14" spans="1:5" s="4" customFormat="1" ht="16.5" customHeight="1">
      <c r="A14" s="786" t="s">
        <v>1156</v>
      </c>
      <c r="B14" s="651" t="s">
        <v>751</v>
      </c>
      <c r="C14" s="286">
        <f>'13_sz_ melléklet'!E37</f>
        <v>0</v>
      </c>
      <c r="D14" s="651" t="s">
        <v>516</v>
      </c>
      <c r="E14" s="655">
        <f>'2_sz_ melléklet'!E43</f>
        <v>49974</v>
      </c>
    </row>
    <row r="15" spans="1:5" s="4" customFormat="1" ht="8.25" customHeight="1">
      <c r="A15" s="786"/>
      <c r="B15" s="651"/>
      <c r="C15" s="286"/>
      <c r="D15" s="332"/>
      <c r="E15" s="655"/>
    </row>
    <row r="16" spans="1:5" s="4" customFormat="1" ht="15">
      <c r="A16" s="786" t="s">
        <v>1157</v>
      </c>
      <c r="B16" s="651"/>
      <c r="C16" s="286"/>
      <c r="D16" s="651" t="s">
        <v>752</v>
      </c>
      <c r="E16" s="655">
        <f>5_sz_melléklet!D440</f>
        <v>38702</v>
      </c>
    </row>
    <row r="17" spans="1:5" s="4" customFormat="1" ht="14.25" customHeight="1">
      <c r="A17" s="786" t="s">
        <v>1158</v>
      </c>
      <c r="B17" s="332"/>
      <c r="C17" s="286"/>
      <c r="D17" s="651" t="s">
        <v>1287</v>
      </c>
      <c r="E17" s="655">
        <f>5_sz_melléklet!D441</f>
        <v>11272</v>
      </c>
    </row>
    <row r="18" spans="1:5" s="4" customFormat="1" ht="6" customHeight="1" thickBot="1">
      <c r="A18" s="786"/>
      <c r="B18" s="781"/>
      <c r="C18" s="283"/>
      <c r="D18" s="652"/>
      <c r="E18" s="657"/>
    </row>
    <row r="19" spans="1:5" s="11" customFormat="1" ht="18" customHeight="1" thickBot="1">
      <c r="A19" s="787" t="s">
        <v>1159</v>
      </c>
      <c r="B19" s="643" t="s">
        <v>8</v>
      </c>
      <c r="C19" s="289">
        <f>C8+C12+C14+C10</f>
        <v>9581099.232666666</v>
      </c>
      <c r="D19" s="643" t="s">
        <v>9</v>
      </c>
      <c r="E19" s="658">
        <f>E8+E10+E12+E14</f>
        <v>10607209</v>
      </c>
    </row>
    <row r="20" spans="1:5" s="11" customFormat="1" ht="24" customHeight="1">
      <c r="A20" s="787" t="s">
        <v>1160</v>
      </c>
      <c r="B20" s="782" t="s">
        <v>699</v>
      </c>
      <c r="C20" s="510">
        <f>C21</f>
        <v>958902</v>
      </c>
      <c r="D20" s="667"/>
      <c r="E20" s="659"/>
    </row>
    <row r="21" spans="1:5" s="11" customFormat="1" ht="15.75" customHeight="1">
      <c r="A21" s="787" t="s">
        <v>1161</v>
      </c>
      <c r="B21" s="646" t="s">
        <v>753</v>
      </c>
      <c r="C21" s="368">
        <f>'13_sz_ melléklet'!E44</f>
        <v>958902</v>
      </c>
      <c r="D21" s="668" t="s">
        <v>517</v>
      </c>
      <c r="E21" s="660">
        <f>'2_sz_ melléklet'!E50</f>
        <v>100572</v>
      </c>
    </row>
    <row r="22" spans="1:5" s="11" customFormat="1" ht="15.75">
      <c r="A22" s="787" t="s">
        <v>1162</v>
      </c>
      <c r="B22" s="56" t="s">
        <v>10</v>
      </c>
      <c r="C22" s="368">
        <f>'13_sz_ melléklet'!E45</f>
        <v>93739</v>
      </c>
      <c r="D22" s="56" t="s">
        <v>10</v>
      </c>
      <c r="E22" s="660">
        <f>'2_sz_ melléklet'!E48</f>
        <v>0</v>
      </c>
    </row>
    <row r="23" spans="1:5" ht="12.75" customHeight="1">
      <c r="A23" s="786" t="s">
        <v>1163</v>
      </c>
      <c r="B23" s="5" t="s">
        <v>11</v>
      </c>
      <c r="C23" s="368">
        <f>'13_sz_ melléklet'!E46</f>
        <v>865163</v>
      </c>
      <c r="D23" s="5" t="s">
        <v>11</v>
      </c>
      <c r="E23" s="660">
        <f>'2_sz_ melléklet'!E49</f>
        <v>100572</v>
      </c>
    </row>
    <row r="24" spans="1:5" ht="8.25" customHeight="1">
      <c r="A24" s="786"/>
      <c r="B24" s="5"/>
      <c r="C24" s="367"/>
      <c r="D24" s="669"/>
      <c r="E24" s="661"/>
    </row>
    <row r="25" spans="1:5" s="15" customFormat="1" ht="24.75" customHeight="1">
      <c r="A25" s="787" t="s">
        <v>1164</v>
      </c>
      <c r="B25" s="783" t="s">
        <v>700</v>
      </c>
      <c r="C25" s="513">
        <f>C26+C30</f>
        <v>182299.7673333343</v>
      </c>
      <c r="D25" s="650" t="s">
        <v>522</v>
      </c>
      <c r="E25" s="654">
        <f>E26+E27</f>
        <v>14520</v>
      </c>
    </row>
    <row r="26" spans="1:5" s="15" customFormat="1" ht="12.75" customHeight="1">
      <c r="A26" s="787" t="s">
        <v>1165</v>
      </c>
      <c r="B26" s="646" t="s">
        <v>754</v>
      </c>
      <c r="C26" s="286">
        <f>'13_sz_ melléklet'!E50</f>
        <v>104598</v>
      </c>
      <c r="D26" s="56" t="s">
        <v>10</v>
      </c>
      <c r="E26" s="662">
        <f>'2_sz_ melléklet'!E53</f>
        <v>0</v>
      </c>
    </row>
    <row r="27" spans="1:5" s="15" customFormat="1" ht="12.75" customHeight="1">
      <c r="A27" s="787" t="s">
        <v>1166</v>
      </c>
      <c r="B27" s="56" t="s">
        <v>10</v>
      </c>
      <c r="C27" s="286">
        <f>'13_sz_ melléklet'!E51</f>
        <v>0</v>
      </c>
      <c r="D27" s="16" t="s">
        <v>12</v>
      </c>
      <c r="E27" s="663">
        <f>'2_sz_ melléklet'!E54</f>
        <v>14520</v>
      </c>
    </row>
    <row r="28" spans="1:5" s="15" customFormat="1" ht="12.75" customHeight="1">
      <c r="A28" s="787" t="s">
        <v>1167</v>
      </c>
      <c r="B28" s="16" t="s">
        <v>12</v>
      </c>
      <c r="C28" s="286">
        <f>'13_sz_ melléklet'!E52</f>
        <v>104598</v>
      </c>
      <c r="D28" s="651"/>
      <c r="E28" s="655"/>
    </row>
    <row r="29" spans="1:5" s="15" customFormat="1" ht="6.75" customHeight="1">
      <c r="A29" s="787"/>
      <c r="B29" s="784"/>
      <c r="C29" s="286"/>
      <c r="D29" s="651"/>
      <c r="E29" s="655"/>
    </row>
    <row r="30" spans="1:5" s="15" customFormat="1" ht="12.75" customHeight="1">
      <c r="A30" s="787" t="s">
        <v>1168</v>
      </c>
      <c r="B30" s="646" t="s">
        <v>755</v>
      </c>
      <c r="C30" s="286">
        <f>'13_sz_ melléklet'!E54</f>
        <v>77701.76733333431</v>
      </c>
      <c r="D30" s="651"/>
      <c r="E30" s="655"/>
    </row>
    <row r="31" spans="1:5" s="15" customFormat="1" ht="12.75" customHeight="1">
      <c r="A31" s="787" t="s">
        <v>1169</v>
      </c>
      <c r="B31" s="56" t="s">
        <v>10</v>
      </c>
      <c r="C31" s="286">
        <f>'13_sz_ melléklet'!E55</f>
        <v>77701.76733333431</v>
      </c>
      <c r="D31" s="651"/>
      <c r="E31" s="655"/>
    </row>
    <row r="32" spans="1:5" s="15" customFormat="1" ht="15">
      <c r="A32" s="787" t="s">
        <v>1170</v>
      </c>
      <c r="B32" s="16" t="s">
        <v>12</v>
      </c>
      <c r="C32" s="513">
        <f>'13_sz_ melléklet'!E56</f>
        <v>0</v>
      </c>
      <c r="D32" s="653"/>
      <c r="E32" s="664"/>
    </row>
    <row r="33" spans="1:5" ht="7.5" customHeight="1" thickBot="1">
      <c r="A33" s="786"/>
      <c r="B33" s="785"/>
      <c r="C33" s="511"/>
      <c r="D33" s="48"/>
      <c r="E33" s="665"/>
    </row>
    <row r="34" spans="1:5" s="11" customFormat="1" ht="16.5" thickBot="1">
      <c r="A34" s="788" t="s">
        <v>1171</v>
      </c>
      <c r="B34" s="670" t="s">
        <v>13</v>
      </c>
      <c r="C34" s="370">
        <f>C19+C20+C25</f>
        <v>10722301</v>
      </c>
      <c r="D34" s="670" t="s">
        <v>14</v>
      </c>
      <c r="E34" s="666">
        <f>E19+E21+E25</f>
        <v>10722301</v>
      </c>
    </row>
  </sheetData>
  <sheetProtection/>
  <mergeCells count="6">
    <mergeCell ref="A1:E1"/>
    <mergeCell ref="B3:E3"/>
    <mergeCell ref="B4:E4"/>
    <mergeCell ref="B5:C5"/>
    <mergeCell ref="D5:E5"/>
    <mergeCell ref="A5:A6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  <headerFooter alignWithMargins="0">
    <oddFooter>&amp;RKészült:&amp;D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6">
      <selection activeCell="F38" sqref="F38:H43"/>
    </sheetView>
  </sheetViews>
  <sheetFormatPr defaultColWidth="9.140625" defaultRowHeight="12.75"/>
  <cols>
    <col min="1" max="1" width="5.57421875" style="0" customWidth="1"/>
    <col min="2" max="2" width="44.140625" style="0" customWidth="1"/>
    <col min="3" max="3" width="14.28125" style="0" customWidth="1"/>
    <col min="4" max="4" width="13.00390625" style="0" customWidth="1"/>
    <col min="5" max="5" width="13.8515625" style="0" customWidth="1"/>
  </cols>
  <sheetData>
    <row r="1" spans="1:5" ht="12.75">
      <c r="A1" s="1547" t="s">
        <v>1304</v>
      </c>
      <c r="B1" s="1547"/>
      <c r="C1" s="1547"/>
      <c r="D1" s="1547"/>
      <c r="E1" s="1547"/>
    </row>
    <row r="2" spans="2:5" ht="9.75" customHeight="1">
      <c r="B2" s="1"/>
      <c r="C2" s="1"/>
      <c r="D2" s="29"/>
      <c r="E2" s="589" t="s">
        <v>103</v>
      </c>
    </row>
    <row r="3" spans="2:5" ht="15.75">
      <c r="B3" s="1555" t="s">
        <v>104</v>
      </c>
      <c r="C3" s="1555"/>
      <c r="D3" s="1555"/>
      <c r="E3" s="1555"/>
    </row>
    <row r="4" spans="2:5" ht="13.5" thickBot="1">
      <c r="B4" s="1"/>
      <c r="C4" s="1"/>
      <c r="D4" s="1"/>
      <c r="E4" s="31" t="s">
        <v>15</v>
      </c>
    </row>
    <row r="5" spans="1:5" ht="27" thickBot="1">
      <c r="A5" s="830" t="s">
        <v>1148</v>
      </c>
      <c r="B5" s="597" t="s">
        <v>96</v>
      </c>
      <c r="C5" s="959" t="s">
        <v>37</v>
      </c>
      <c r="D5" s="269" t="s">
        <v>105</v>
      </c>
      <c r="E5" s="956" t="s">
        <v>70</v>
      </c>
    </row>
    <row r="6" spans="1:5" ht="12.75">
      <c r="A6" s="867" t="s">
        <v>1149</v>
      </c>
      <c r="B6" s="800" t="s">
        <v>1150</v>
      </c>
      <c r="C6" s="797" t="s">
        <v>1151</v>
      </c>
      <c r="D6" s="798" t="s">
        <v>1152</v>
      </c>
      <c r="E6" s="776" t="s">
        <v>1172</v>
      </c>
    </row>
    <row r="7" spans="1:5" ht="12.75">
      <c r="A7" s="786" t="s">
        <v>1153</v>
      </c>
      <c r="B7" s="263" t="s">
        <v>634</v>
      </c>
      <c r="C7" s="180">
        <f>'30_ sz_ melléklet'!E9</f>
        <v>0</v>
      </c>
      <c r="D7" s="953">
        <f>'30_ sz_ melléklet'!E67</f>
        <v>17912</v>
      </c>
      <c r="E7" s="957">
        <f>SUM(C7:D7)</f>
        <v>17912</v>
      </c>
    </row>
    <row r="8" spans="1:5" ht="12.75">
      <c r="A8" s="786" t="s">
        <v>1154</v>
      </c>
      <c r="B8" s="245" t="s">
        <v>635</v>
      </c>
      <c r="C8" s="180">
        <f>'30_ sz_ melléklet'!E10</f>
        <v>25308</v>
      </c>
      <c r="D8" s="954">
        <f>'30_ sz_ melléklet'!E68</f>
        <v>165239</v>
      </c>
      <c r="E8" s="958">
        <f>SUM(C8:D8)</f>
        <v>190547</v>
      </c>
    </row>
    <row r="9" spans="1:5" ht="12.75">
      <c r="A9" s="786" t="s">
        <v>1155</v>
      </c>
      <c r="B9" s="245" t="s">
        <v>636</v>
      </c>
      <c r="C9" s="180">
        <f>'30_ sz_ melléklet'!E11</f>
        <v>0</v>
      </c>
      <c r="D9" s="954">
        <f>'30_ sz_ melléklet'!E69</f>
        <v>608380</v>
      </c>
      <c r="E9" s="958">
        <f>SUM(C9:D9)</f>
        <v>608380</v>
      </c>
    </row>
    <row r="10" spans="1:5" ht="13.5" thickBot="1">
      <c r="A10" s="907" t="s">
        <v>1156</v>
      </c>
      <c r="B10" s="536" t="s">
        <v>637</v>
      </c>
      <c r="C10" s="180">
        <f>'30_ sz_ melléklet'!E12</f>
        <v>403</v>
      </c>
      <c r="D10" s="955">
        <f>'30_ sz_ melléklet'!E70</f>
        <v>9799</v>
      </c>
      <c r="E10" s="958">
        <f>SUM(C10:D10)</f>
        <v>10202</v>
      </c>
    </row>
    <row r="11" spans="1:5" ht="13.5" thickBot="1">
      <c r="A11" s="841" t="s">
        <v>1157</v>
      </c>
      <c r="B11" s="890" t="s">
        <v>106</v>
      </c>
      <c r="C11" s="221">
        <f>SUM(C7:C10)</f>
        <v>25711</v>
      </c>
      <c r="D11" s="960">
        <f>SUM(D7:D10)</f>
        <v>801330</v>
      </c>
      <c r="E11" s="370">
        <f>SUM(E7:E10)</f>
        <v>827041</v>
      </c>
    </row>
    <row r="12" spans="2:5" ht="5.25" customHeight="1">
      <c r="B12" s="56"/>
      <c r="C12" s="590"/>
      <c r="D12" s="56"/>
      <c r="E12" s="56"/>
    </row>
    <row r="13" spans="2:5" ht="15">
      <c r="B13" s="56"/>
      <c r="C13" s="48"/>
      <c r="D13" s="28"/>
      <c r="E13" s="28"/>
    </row>
    <row r="14" spans="2:5" ht="6.75" customHeight="1">
      <c r="B14" s="56"/>
      <c r="C14" s="48"/>
      <c r="D14" s="48"/>
      <c r="E14" s="48"/>
    </row>
    <row r="15" spans="1:5" ht="12.75">
      <c r="A15" s="1547" t="s">
        <v>1305</v>
      </c>
      <c r="B15" s="1547"/>
      <c r="C15" s="1547"/>
      <c r="D15" s="1547"/>
      <c r="E15" s="1547"/>
    </row>
    <row r="16" spans="1:5" ht="12.75">
      <c r="A16" s="824"/>
      <c r="B16" s="824"/>
      <c r="C16" s="824"/>
      <c r="D16" s="824"/>
      <c r="E16" s="824"/>
    </row>
    <row r="17" spans="2:5" ht="15.75">
      <c r="B17" s="1555" t="s">
        <v>107</v>
      </c>
      <c r="C17" s="1555"/>
      <c r="D17" s="399"/>
      <c r="E17" s="399"/>
    </row>
    <row r="18" spans="2:5" ht="15.75" thickBot="1">
      <c r="B18" s="56"/>
      <c r="C18" s="242" t="s">
        <v>33</v>
      </c>
      <c r="D18" s="399"/>
      <c r="E18" s="399"/>
    </row>
    <row r="19" spans="1:5" s="25" customFormat="1" ht="15.75">
      <c r="A19" s="1570" t="s">
        <v>1148</v>
      </c>
      <c r="B19" s="964" t="s">
        <v>96</v>
      </c>
      <c r="C19" s="965" t="s">
        <v>88</v>
      </c>
      <c r="D19" s="56"/>
      <c r="E19" s="56"/>
    </row>
    <row r="20" spans="1:5" s="25" customFormat="1" ht="13.5" thickBot="1">
      <c r="A20" s="1571"/>
      <c r="B20" s="396"/>
      <c r="C20" s="966" t="s">
        <v>108</v>
      </c>
      <c r="D20" s="56"/>
      <c r="E20" s="56"/>
    </row>
    <row r="21" spans="1:5" s="25" customFormat="1" ht="13.5" thickBot="1">
      <c r="A21" s="962" t="s">
        <v>1149</v>
      </c>
      <c r="B21" s="800" t="s">
        <v>1150</v>
      </c>
      <c r="C21" s="799" t="s">
        <v>1151</v>
      </c>
      <c r="D21" s="56"/>
      <c r="E21" s="56"/>
    </row>
    <row r="22" spans="1:5" ht="12.75">
      <c r="A22" s="789" t="s">
        <v>1153</v>
      </c>
      <c r="B22" s="45" t="s">
        <v>109</v>
      </c>
      <c r="C22" s="212">
        <v>122000</v>
      </c>
      <c r="D22" s="48"/>
      <c r="E22" s="48"/>
    </row>
    <row r="23" spans="1:5" ht="12.75">
      <c r="A23" s="786" t="s">
        <v>1154</v>
      </c>
      <c r="B23" s="45" t="s">
        <v>110</v>
      </c>
      <c r="C23" s="204">
        <v>0</v>
      </c>
      <c r="D23" s="48"/>
      <c r="E23" s="48"/>
    </row>
    <row r="24" spans="1:5" ht="13.5" customHeight="1">
      <c r="A24" s="786" t="s">
        <v>1155</v>
      </c>
      <c r="B24" s="45" t="s">
        <v>111</v>
      </c>
      <c r="C24" s="204">
        <v>0</v>
      </c>
      <c r="D24" s="48"/>
      <c r="E24" s="48"/>
    </row>
    <row r="25" spans="1:5" ht="12.75">
      <c r="A25" s="883" t="s">
        <v>1156</v>
      </c>
      <c r="B25" s="8" t="s">
        <v>112</v>
      </c>
      <c r="C25" s="200">
        <v>25000</v>
      </c>
      <c r="D25" s="48"/>
      <c r="E25" s="48"/>
    </row>
    <row r="26" spans="1:5" ht="25.5">
      <c r="A26" s="883" t="s">
        <v>1157</v>
      </c>
      <c r="B26" s="591" t="s">
        <v>113</v>
      </c>
      <c r="C26" s="200">
        <f>530000+5500</f>
        <v>535500</v>
      </c>
      <c r="D26" s="592"/>
      <c r="E26" s="592"/>
    </row>
    <row r="27" spans="1:5" ht="26.25" thickBot="1">
      <c r="A27" s="961" t="s">
        <v>1158</v>
      </c>
      <c r="B27" s="591" t="s">
        <v>114</v>
      </c>
      <c r="C27" s="214">
        <v>0</v>
      </c>
      <c r="D27" s="592"/>
      <c r="E27" s="592"/>
    </row>
    <row r="28" spans="1:5" ht="13.5" thickBot="1">
      <c r="A28" s="841" t="s">
        <v>1159</v>
      </c>
      <c r="B28" s="9" t="s">
        <v>115</v>
      </c>
      <c r="C28" s="967">
        <f>SUM(C22:C27)</f>
        <v>682500</v>
      </c>
      <c r="D28" s="592"/>
      <c r="E28" s="592"/>
    </row>
    <row r="29" spans="1:5" ht="13.5" thickBot="1">
      <c r="A29" s="841" t="s">
        <v>1160</v>
      </c>
      <c r="B29" s="593" t="s">
        <v>116</v>
      </c>
      <c r="C29" s="205">
        <v>3500</v>
      </c>
      <c r="D29" s="48"/>
      <c r="E29" s="48"/>
    </row>
    <row r="30" spans="1:5" ht="13.5" thickBot="1">
      <c r="A30" s="841" t="s">
        <v>1161</v>
      </c>
      <c r="B30" s="594" t="s">
        <v>117</v>
      </c>
      <c r="C30" s="968">
        <f>29000+645+232+230</f>
        <v>30107</v>
      </c>
      <c r="D30" s="48"/>
      <c r="E30" s="48"/>
    </row>
    <row r="31" spans="1:5" ht="13.5" thickBot="1">
      <c r="A31" s="841" t="s">
        <v>1162</v>
      </c>
      <c r="B31" s="969" t="s">
        <v>118</v>
      </c>
      <c r="C31" s="970">
        <f>1000+232</f>
        <v>1232</v>
      </c>
      <c r="D31" s="48"/>
      <c r="E31" s="48"/>
    </row>
    <row r="32" spans="2:5" ht="12.75">
      <c r="B32" s="598"/>
      <c r="C32" s="48"/>
      <c r="D32" s="48"/>
      <c r="E32" s="48"/>
    </row>
    <row r="33" spans="1:5" ht="12.75">
      <c r="A33" s="1547" t="s">
        <v>1306</v>
      </c>
      <c r="B33" s="1547"/>
      <c r="C33" s="1547"/>
      <c r="D33" s="1547"/>
      <c r="E33" s="1547"/>
    </row>
    <row r="34" spans="1:5" ht="12.75">
      <c r="A34" s="824"/>
      <c r="B34" s="824"/>
      <c r="C34" s="824"/>
      <c r="D34" s="824"/>
      <c r="E34" s="824"/>
    </row>
    <row r="35" spans="2:5" ht="15.75">
      <c r="B35" s="1555" t="s">
        <v>119</v>
      </c>
      <c r="C35" s="1555"/>
      <c r="D35" s="1"/>
      <c r="E35" s="1"/>
    </row>
    <row r="36" spans="2:5" ht="13.5" customHeight="1">
      <c r="B36" s="56"/>
      <c r="C36" s="48"/>
      <c r="D36" s="399"/>
      <c r="E36" s="399"/>
    </row>
    <row r="37" spans="2:5" ht="15.75" customHeight="1" thickBot="1">
      <c r="B37" s="56"/>
      <c r="C37" s="242" t="s">
        <v>33</v>
      </c>
      <c r="D37" s="399"/>
      <c r="E37" s="399"/>
    </row>
    <row r="38" spans="1:5" ht="30.75" customHeight="1" thickBot="1">
      <c r="A38" s="830" t="s">
        <v>1148</v>
      </c>
      <c r="B38" s="826" t="s">
        <v>96</v>
      </c>
      <c r="C38" s="963" t="s">
        <v>70</v>
      </c>
      <c r="D38" s="399"/>
      <c r="E38" s="399"/>
    </row>
    <row r="39" spans="1:5" ht="12" customHeight="1" thickBot="1">
      <c r="A39" s="962" t="s">
        <v>1149</v>
      </c>
      <c r="B39" s="800" t="s">
        <v>1150</v>
      </c>
      <c r="C39" s="799" t="s">
        <v>1151</v>
      </c>
      <c r="D39" s="399"/>
      <c r="E39" s="399"/>
    </row>
    <row r="40" spans="1:5" ht="12.75">
      <c r="A40" s="789" t="s">
        <v>1153</v>
      </c>
      <c r="B40" s="439" t="s">
        <v>120</v>
      </c>
      <c r="C40" s="212">
        <v>186862</v>
      </c>
      <c r="D40" s="56"/>
      <c r="E40" s="56"/>
    </row>
    <row r="41" spans="1:5" ht="12.75">
      <c r="A41" s="786" t="s">
        <v>1154</v>
      </c>
      <c r="B41" s="8" t="s">
        <v>121</v>
      </c>
      <c r="C41" s="204">
        <f>234883-422</f>
        <v>234461</v>
      </c>
      <c r="D41" s="41"/>
      <c r="E41" s="48"/>
    </row>
    <row r="42" spans="1:5" ht="12.75">
      <c r="A42" s="786" t="s">
        <v>1155</v>
      </c>
      <c r="B42" s="45" t="s">
        <v>122</v>
      </c>
      <c r="C42" s="204"/>
      <c r="D42" s="48"/>
      <c r="E42" s="48"/>
    </row>
    <row r="43" spans="1:5" ht="12.75">
      <c r="A43" s="883" t="s">
        <v>1156</v>
      </c>
      <c r="B43" s="45" t="s">
        <v>123</v>
      </c>
      <c r="C43" s="204">
        <v>97000</v>
      </c>
      <c r="D43" s="48"/>
      <c r="E43" s="48"/>
    </row>
    <row r="44" spans="1:5" ht="12.75">
      <c r="A44" s="883" t="s">
        <v>1157</v>
      </c>
      <c r="B44" s="8" t="s">
        <v>124</v>
      </c>
      <c r="C44" s="200">
        <v>57</v>
      </c>
      <c r="D44" s="48"/>
      <c r="E44" s="48"/>
    </row>
    <row r="45" spans="1:5" ht="13.5" thickBot="1">
      <c r="A45" s="961" t="s">
        <v>1158</v>
      </c>
      <c r="B45" s="595" t="s">
        <v>125</v>
      </c>
      <c r="C45" s="201">
        <v>0</v>
      </c>
      <c r="D45" s="48"/>
      <c r="E45" s="48"/>
    </row>
    <row r="46" spans="1:5" ht="13.5" thickBot="1">
      <c r="A46" s="841" t="s">
        <v>1159</v>
      </c>
      <c r="B46" s="923" t="s">
        <v>126</v>
      </c>
      <c r="C46" s="892">
        <f>SUM(C40:C45)</f>
        <v>518380</v>
      </c>
      <c r="D46" s="592"/>
      <c r="E46" s="592"/>
    </row>
    <row r="47" spans="2:5" ht="12.75">
      <c r="B47" s="1"/>
      <c r="C47" s="1"/>
      <c r="D47" s="48"/>
      <c r="E47" s="48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</sheetData>
  <sheetProtection/>
  <mergeCells count="7">
    <mergeCell ref="B3:E3"/>
    <mergeCell ref="B17:C17"/>
    <mergeCell ref="B35:C35"/>
    <mergeCell ref="A1:E1"/>
    <mergeCell ref="A15:E15"/>
    <mergeCell ref="A33:E33"/>
    <mergeCell ref="A19:A2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3"/>
  <sheetViews>
    <sheetView zoomScalePageLayoutView="0" workbookViewId="0" topLeftCell="A124">
      <selection activeCell="C136" sqref="C136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</cols>
  <sheetData>
    <row r="1" spans="1:5" ht="12.75">
      <c r="A1" s="824" t="s">
        <v>1307</v>
      </c>
      <c r="B1" s="824"/>
      <c r="C1" s="824"/>
      <c r="D1" s="824"/>
      <c r="E1" s="824"/>
    </row>
    <row r="2" spans="2:3" ht="8.25" customHeight="1">
      <c r="B2" s="1"/>
      <c r="C2" s="52"/>
    </row>
    <row r="3" spans="2:3" ht="15.75">
      <c r="B3" s="1555" t="s">
        <v>701</v>
      </c>
      <c r="C3" s="1555"/>
    </row>
    <row r="4" spans="2:3" ht="7.5" customHeight="1">
      <c r="B4" s="53"/>
      <c r="C4" s="53"/>
    </row>
    <row r="5" spans="2:3" ht="13.5" thickBot="1">
      <c r="B5" s="1"/>
      <c r="C5" s="54" t="s">
        <v>15</v>
      </c>
    </row>
    <row r="6" spans="1:3" ht="27" customHeight="1" thickBot="1">
      <c r="A6" s="973" t="s">
        <v>1148</v>
      </c>
      <c r="B6" s="979" t="s">
        <v>127</v>
      </c>
      <c r="C6" s="975" t="s">
        <v>70</v>
      </c>
    </row>
    <row r="7" spans="1:3" ht="12.75" customHeight="1">
      <c r="A7" s="974" t="s">
        <v>1149</v>
      </c>
      <c r="B7" s="971" t="s">
        <v>1150</v>
      </c>
      <c r="C7" s="918" t="s">
        <v>1151</v>
      </c>
    </row>
    <row r="8" spans="1:3" ht="15">
      <c r="A8" s="916" t="s">
        <v>1153</v>
      </c>
      <c r="B8" s="980" t="s">
        <v>921</v>
      </c>
      <c r="C8" s="481">
        <f>17098*2769/1000</f>
        <v>47344.362</v>
      </c>
    </row>
    <row r="9" spans="1:3" ht="12.75">
      <c r="A9" s="916" t="s">
        <v>1154</v>
      </c>
      <c r="B9" s="981" t="s">
        <v>129</v>
      </c>
      <c r="C9" s="481"/>
    </row>
    <row r="10" spans="1:3" ht="12.75">
      <c r="A10" s="916" t="s">
        <v>1155</v>
      </c>
      <c r="B10" s="982" t="s">
        <v>130</v>
      </c>
      <c r="C10" s="481">
        <v>3000</v>
      </c>
    </row>
    <row r="11" spans="1:3" ht="12.75">
      <c r="A11" s="916" t="s">
        <v>1156</v>
      </c>
      <c r="B11" s="981" t="s">
        <v>1036</v>
      </c>
      <c r="C11" s="481">
        <f>27366*276/1000</f>
        <v>7553.016</v>
      </c>
    </row>
    <row r="12" spans="1:3" ht="12.75">
      <c r="A12" s="916" t="s">
        <v>1157</v>
      </c>
      <c r="B12" s="981" t="s">
        <v>1037</v>
      </c>
      <c r="C12" s="481">
        <f>28.6*485</f>
        <v>13871</v>
      </c>
    </row>
    <row r="13" spans="1:3" ht="12.75">
      <c r="A13" s="916" t="s">
        <v>1158</v>
      </c>
      <c r="B13" s="981" t="s">
        <v>1038</v>
      </c>
      <c r="C13" s="481">
        <f>44256*56/1000</f>
        <v>2478.336</v>
      </c>
    </row>
    <row r="14" spans="1:3" ht="12.75">
      <c r="A14" s="916" t="s">
        <v>1159</v>
      </c>
      <c r="B14" s="981" t="s">
        <v>1039</v>
      </c>
      <c r="C14" s="481">
        <f>591*7729/1000</f>
        <v>4567.839</v>
      </c>
    </row>
    <row r="15" spans="1:3" ht="12.75">
      <c r="A15" s="916" t="s">
        <v>1160</v>
      </c>
      <c r="B15" s="981" t="s">
        <v>128</v>
      </c>
      <c r="C15" s="481">
        <f>12*253.53</f>
        <v>3042.36</v>
      </c>
    </row>
    <row r="16" spans="1:3" ht="12.75">
      <c r="A16" s="916" t="s">
        <v>1161</v>
      </c>
      <c r="B16" s="982" t="s">
        <v>1040</v>
      </c>
      <c r="C16" s="481">
        <f>49*2.612</f>
        <v>127.988</v>
      </c>
    </row>
    <row r="17" spans="1:3" ht="12.75" customHeight="1">
      <c r="A17" s="916" t="s">
        <v>1162</v>
      </c>
      <c r="B17" s="983" t="s">
        <v>922</v>
      </c>
      <c r="C17" s="481">
        <f>22000*1.5</f>
        <v>33000</v>
      </c>
    </row>
    <row r="18" spans="1:3" ht="12.75" customHeight="1">
      <c r="A18" s="916" t="s">
        <v>1163</v>
      </c>
      <c r="B18" s="928" t="s">
        <v>131</v>
      </c>
      <c r="C18" s="481">
        <v>103374</v>
      </c>
    </row>
    <row r="19" spans="1:3" ht="12.75" customHeight="1">
      <c r="A19" s="916" t="s">
        <v>1164</v>
      </c>
      <c r="B19" s="984" t="s">
        <v>1041</v>
      </c>
      <c r="C19" s="481">
        <f>190*55.36+2214</f>
        <v>12732.4</v>
      </c>
    </row>
    <row r="20" spans="1:3" ht="12.75" customHeight="1">
      <c r="A20" s="916" t="s">
        <v>1165</v>
      </c>
      <c r="B20" s="983" t="s">
        <v>1530</v>
      </c>
      <c r="C20" s="481">
        <f>68*494.1-13835</f>
        <v>19763.800000000003</v>
      </c>
    </row>
    <row r="21" spans="1:3" ht="12.75" customHeight="1">
      <c r="A21" s="916" t="s">
        <v>1166</v>
      </c>
      <c r="B21" s="983" t="s">
        <v>1042</v>
      </c>
      <c r="C21" s="481">
        <f>13*68</f>
        <v>884</v>
      </c>
    </row>
    <row r="22" spans="1:3" ht="12.75">
      <c r="A22" s="916" t="s">
        <v>1167</v>
      </c>
      <c r="B22" s="985" t="s">
        <v>1044</v>
      </c>
      <c r="C22" s="976">
        <f>ROUND(460/20*1.62,1)*2350/12*4</f>
        <v>29218.333333333332</v>
      </c>
    </row>
    <row r="23" spans="1:3" ht="12.75" customHeight="1">
      <c r="A23" s="916" t="s">
        <v>1168</v>
      </c>
      <c r="B23" s="985" t="s">
        <v>1045</v>
      </c>
      <c r="C23" s="976">
        <f>ROUND(465/20*1.62,1)*2350/12*8</f>
        <v>59063.333333333336</v>
      </c>
    </row>
    <row r="24" spans="1:3" ht="12.75">
      <c r="A24" s="916" t="s">
        <v>1169</v>
      </c>
      <c r="B24" s="985" t="s">
        <v>1531</v>
      </c>
      <c r="C24" s="976">
        <f>ROUND(222/21*1.2,1)*2350/12*8-2252</f>
        <v>17644.666666666668</v>
      </c>
    </row>
    <row r="25" spans="1:3" ht="12.75">
      <c r="A25" s="916" t="s">
        <v>1170</v>
      </c>
      <c r="B25" s="985" t="s">
        <v>1532</v>
      </c>
      <c r="C25" s="976">
        <f>ROUND(99/21*1.22,1)*2350/12*8-48</f>
        <v>9038.666666666666</v>
      </c>
    </row>
    <row r="26" spans="1:3" ht="12.75">
      <c r="A26" s="916" t="s">
        <v>1171</v>
      </c>
      <c r="B26" s="985" t="s">
        <v>1046</v>
      </c>
      <c r="C26" s="976">
        <f>ROUND(160/21*1.39,1)*2350/12*8</f>
        <v>16606.666666666668</v>
      </c>
    </row>
    <row r="27" spans="1:3" ht="12.75">
      <c r="A27" s="916" t="s">
        <v>1173</v>
      </c>
      <c r="B27" s="985" t="s">
        <v>1533</v>
      </c>
      <c r="C27" s="976">
        <f>ROUND(236/23*1.55,1)*2350/12*8-671</f>
        <v>24239</v>
      </c>
    </row>
    <row r="28" spans="1:3" ht="12.75">
      <c r="A28" s="916" t="s">
        <v>1174</v>
      </c>
      <c r="B28" s="985" t="s">
        <v>1534</v>
      </c>
      <c r="C28" s="976">
        <f>ROUND(138/23*1.76,1)*2350/12*8-240</f>
        <v>16366.666666666668</v>
      </c>
    </row>
    <row r="29" spans="1:3" ht="12.75">
      <c r="A29" s="916" t="s">
        <v>1175</v>
      </c>
      <c r="B29" s="985" t="s">
        <v>1047</v>
      </c>
      <c r="C29" s="976">
        <f>ROUND(154/23*1.76,1)*2350/12*8-157</f>
        <v>18329.666666666668</v>
      </c>
    </row>
    <row r="30" spans="1:3" ht="12.75">
      <c r="A30" s="916" t="s">
        <v>1176</v>
      </c>
      <c r="B30" s="985" t="s">
        <v>1048</v>
      </c>
      <c r="C30" s="976">
        <f>ROUND(250/21*1.2,1)*2350/12*4</f>
        <v>11201.666666666666</v>
      </c>
    </row>
    <row r="31" spans="1:3" ht="12.75">
      <c r="A31" s="916" t="s">
        <v>1177</v>
      </c>
      <c r="B31" s="985" t="s">
        <v>1049</v>
      </c>
      <c r="C31" s="976">
        <f>ROUND(97/21*1.22,1)*2350/12*4</f>
        <v>4386.666666666667</v>
      </c>
    </row>
    <row r="32" spans="1:3" ht="12.75">
      <c r="A32" s="916" t="s">
        <v>1178</v>
      </c>
      <c r="B32" s="985" t="s">
        <v>1050</v>
      </c>
      <c r="C32" s="976">
        <f>ROUND(124/21*1.39,1)*2350/12*4</f>
        <v>6423.333333333333</v>
      </c>
    </row>
    <row r="33" spans="1:3" ht="12.75">
      <c r="A33" s="916" t="s">
        <v>1179</v>
      </c>
      <c r="B33" s="985" t="s">
        <v>1051</v>
      </c>
      <c r="C33" s="976">
        <f>ROUND(265/23*1.55,1)*2350/12*4</f>
        <v>14021.666666666666</v>
      </c>
    </row>
    <row r="34" spans="1:3" ht="12.75">
      <c r="A34" s="916" t="s">
        <v>1180</v>
      </c>
      <c r="B34" s="985" t="s">
        <v>1052</v>
      </c>
      <c r="C34" s="976">
        <f>ROUND(106/23*1.76,1)*2350/12*4</f>
        <v>6345</v>
      </c>
    </row>
    <row r="35" spans="1:3" ht="12.75">
      <c r="A35" s="916" t="s">
        <v>1181</v>
      </c>
      <c r="B35" s="985" t="s">
        <v>1053</v>
      </c>
      <c r="C35" s="976">
        <f>ROUND(138/23*1.76,1)*2350/12*4</f>
        <v>8303.333333333334</v>
      </c>
    </row>
    <row r="36" spans="1:3" ht="12.75">
      <c r="A36" s="916" t="s">
        <v>1182</v>
      </c>
      <c r="B36" s="985" t="s">
        <v>1535</v>
      </c>
      <c r="C36" s="976">
        <f>5*134.4*8/12-134</f>
        <v>314</v>
      </c>
    </row>
    <row r="37" spans="1:3" ht="12.75">
      <c r="A37" s="916" t="s">
        <v>1183</v>
      </c>
      <c r="B37" s="985" t="s">
        <v>1054</v>
      </c>
      <c r="C37" s="976">
        <f>4*134.4/12*4</f>
        <v>179.20000000000002</v>
      </c>
    </row>
    <row r="38" spans="1:3" ht="12.75">
      <c r="A38" s="916" t="s">
        <v>1184</v>
      </c>
      <c r="B38" s="985" t="s">
        <v>1055</v>
      </c>
      <c r="C38" s="976">
        <f>5*358.4*8/12</f>
        <v>1194.6666666666667</v>
      </c>
    </row>
    <row r="39" spans="1:3" ht="12.75">
      <c r="A39" s="916" t="s">
        <v>1185</v>
      </c>
      <c r="B39" s="985" t="s">
        <v>1056</v>
      </c>
      <c r="C39" s="976">
        <f>3*358.4*4/12</f>
        <v>358.3999999999999</v>
      </c>
    </row>
    <row r="40" spans="1:3" ht="12.75">
      <c r="A40" s="916" t="s">
        <v>1186</v>
      </c>
      <c r="B40" s="985" t="s">
        <v>1057</v>
      </c>
      <c r="C40" s="976">
        <f>43*179.2*8/12</f>
        <v>5137.066666666667</v>
      </c>
    </row>
    <row r="41" spans="1:3" ht="12.75">
      <c r="A41" s="916" t="s">
        <v>1187</v>
      </c>
      <c r="B41" s="985" t="s">
        <v>1058</v>
      </c>
      <c r="C41" s="976">
        <f>39*179.2*4/12</f>
        <v>2329.6</v>
      </c>
    </row>
    <row r="42" spans="1:3" ht="12.75">
      <c r="A42" s="916" t="s">
        <v>1188</v>
      </c>
      <c r="B42" s="985" t="s">
        <v>1059</v>
      </c>
      <c r="C42" s="976">
        <f>44*134.4*8/12</f>
        <v>3942.4</v>
      </c>
    </row>
    <row r="43" spans="1:3" ht="12.75">
      <c r="A43" s="916" t="s">
        <v>1189</v>
      </c>
      <c r="B43" s="985" t="s">
        <v>1060</v>
      </c>
      <c r="C43" s="976">
        <f>41*156.8*4/12</f>
        <v>2142.9333333333334</v>
      </c>
    </row>
    <row r="44" spans="1:3" ht="12.75">
      <c r="A44" s="916" t="s">
        <v>1190</v>
      </c>
      <c r="B44" s="985" t="s">
        <v>1536</v>
      </c>
      <c r="C44" s="976">
        <f>11*240-960</f>
        <v>1680</v>
      </c>
    </row>
    <row r="45" spans="1:3" ht="12.75">
      <c r="A45" s="916" t="s">
        <v>1191</v>
      </c>
      <c r="B45" s="986" t="s">
        <v>1102</v>
      </c>
      <c r="C45" s="977">
        <f>3*427</f>
        <v>1281</v>
      </c>
    </row>
    <row r="46" spans="1:3" ht="12.75">
      <c r="A46" s="916" t="s">
        <v>1192</v>
      </c>
      <c r="B46" s="985" t="s">
        <v>1061</v>
      </c>
      <c r="C46" s="976">
        <f>ROUND(752/28*2.33,1)*2350/12*8</f>
        <v>98073.33333333333</v>
      </c>
    </row>
    <row r="47" spans="1:3" ht="12.75">
      <c r="A47" s="916" t="s">
        <v>1193</v>
      </c>
      <c r="B47" s="985" t="s">
        <v>1062</v>
      </c>
      <c r="C47" s="976">
        <f>ROUND(503/28*2.76,1)*2350/12*8</f>
        <v>77706.66666666667</v>
      </c>
    </row>
    <row r="48" spans="1:3" ht="12.75">
      <c r="A48" s="916" t="s">
        <v>1194</v>
      </c>
      <c r="B48" s="985" t="s">
        <v>1063</v>
      </c>
      <c r="C48" s="976">
        <f>ROUND(51/26*2.76,1)*2350/12*8</f>
        <v>8460</v>
      </c>
    </row>
    <row r="49" spans="1:3" ht="12.75">
      <c r="A49" s="916" t="s">
        <v>1195</v>
      </c>
      <c r="B49" s="985" t="s">
        <v>1537</v>
      </c>
      <c r="C49" s="976">
        <f>ROUND(795/28*2.33,1)*2350/12*4-6192</f>
        <v>45664.666666666664</v>
      </c>
    </row>
    <row r="50" spans="1:3" ht="12.75">
      <c r="A50" s="916" t="s">
        <v>1196</v>
      </c>
      <c r="B50" s="985" t="s">
        <v>1538</v>
      </c>
      <c r="C50" s="976">
        <f>ROUND(567/28*2.76,1)*2350/12*4-466</f>
        <v>43322.333333333336</v>
      </c>
    </row>
    <row r="51" spans="1:3" ht="12.75">
      <c r="A51" s="916" t="s">
        <v>1236</v>
      </c>
      <c r="B51" s="985" t="s">
        <v>1064</v>
      </c>
      <c r="C51" s="976">
        <f>ROUND(381/28*2.03,1)*2350/12*8</f>
        <v>43240</v>
      </c>
    </row>
    <row r="52" spans="1:3" ht="12.75">
      <c r="A52" s="916" t="s">
        <v>1237</v>
      </c>
      <c r="B52" s="985" t="s">
        <v>1539</v>
      </c>
      <c r="C52" s="976">
        <f>ROUND(407/28*2.03,1)*2350/12*4-1018</f>
        <v>22090.333333333332</v>
      </c>
    </row>
    <row r="53" spans="1:3" ht="12.75">
      <c r="A53" s="916" t="s">
        <v>1238</v>
      </c>
      <c r="B53" s="987" t="s">
        <v>1065</v>
      </c>
      <c r="C53" s="976">
        <f>221*35*8/12</f>
        <v>5156.666666666667</v>
      </c>
    </row>
    <row r="54" spans="1:3" ht="12.75">
      <c r="A54" s="916" t="s">
        <v>1239</v>
      </c>
      <c r="B54" s="987" t="s">
        <v>1066</v>
      </c>
      <c r="C54" s="976">
        <f>238*35*4/12</f>
        <v>2776.6666666666665</v>
      </c>
    </row>
    <row r="55" spans="1:3" ht="12.75">
      <c r="A55" s="916" t="s">
        <v>1240</v>
      </c>
      <c r="B55" s="987" t="s">
        <v>1067</v>
      </c>
      <c r="C55" s="976">
        <f>5*98*8/12</f>
        <v>326.6666666666667</v>
      </c>
    </row>
    <row r="56" spans="1:3" ht="12.75">
      <c r="A56" s="916" t="s">
        <v>1241</v>
      </c>
      <c r="B56" s="987" t="s">
        <v>1068</v>
      </c>
      <c r="C56" s="976">
        <f>58*137.2*8/12</f>
        <v>5305.066666666667</v>
      </c>
    </row>
    <row r="57" spans="1:3" ht="12.75">
      <c r="A57" s="916" t="s">
        <v>1242</v>
      </c>
      <c r="B57" s="987" t="s">
        <v>1069</v>
      </c>
      <c r="C57" s="976">
        <f>25*58.8*8/12</f>
        <v>980</v>
      </c>
    </row>
    <row r="58" spans="1:3" ht="13.5" thickBot="1">
      <c r="A58" s="972" t="s">
        <v>1243</v>
      </c>
      <c r="B58" s="988" t="s">
        <v>1070</v>
      </c>
      <c r="C58" s="978">
        <f>187*19.6*8/12</f>
        <v>2443.4666666666667</v>
      </c>
    </row>
    <row r="59" spans="1:5" ht="12.75">
      <c r="A59" s="824" t="s">
        <v>1307</v>
      </c>
      <c r="B59" s="824"/>
      <c r="C59" s="824"/>
      <c r="D59" s="824"/>
      <c r="E59" s="824"/>
    </row>
    <row r="60" spans="1:5" ht="12.75">
      <c r="A60" s="824"/>
      <c r="B60" s="824"/>
      <c r="C60" s="824"/>
      <c r="D60" s="824"/>
      <c r="E60" s="824"/>
    </row>
    <row r="61" spans="2:3" ht="12.75">
      <c r="B61" s="1572">
        <v>2</v>
      </c>
      <c r="C61" s="1572"/>
    </row>
    <row r="62" spans="2:3" ht="10.5" customHeight="1">
      <c r="B62" s="1"/>
      <c r="C62" s="1"/>
    </row>
    <row r="63" spans="2:3" ht="15.75">
      <c r="B63" s="1555" t="s">
        <v>701</v>
      </c>
      <c r="C63" s="1555"/>
    </row>
    <row r="64" spans="2:3" ht="9.75" customHeight="1">
      <c r="B64" s="53"/>
      <c r="C64" s="53"/>
    </row>
    <row r="65" spans="2:3" ht="13.5" thickBot="1">
      <c r="B65" s="1"/>
      <c r="C65" s="54" t="s">
        <v>15</v>
      </c>
    </row>
    <row r="66" spans="1:3" ht="26.25" thickBot="1">
      <c r="A66" s="973" t="s">
        <v>1148</v>
      </c>
      <c r="B66" s="979" t="s">
        <v>127</v>
      </c>
      <c r="C66" s="975" t="s">
        <v>70</v>
      </c>
    </row>
    <row r="67" spans="1:3" ht="12.75">
      <c r="A67" s="974" t="s">
        <v>1149</v>
      </c>
      <c r="B67" s="971" t="s">
        <v>1150</v>
      </c>
      <c r="C67" s="918" t="s">
        <v>1151</v>
      </c>
    </row>
    <row r="68" spans="1:3" ht="12.75">
      <c r="A68" s="916" t="s">
        <v>1244</v>
      </c>
      <c r="B68" s="987" t="s">
        <v>1071</v>
      </c>
      <c r="C68" s="976">
        <f>3*98*4/12</f>
        <v>98</v>
      </c>
    </row>
    <row r="69" spans="1:3" ht="12.75">
      <c r="A69" s="916" t="s">
        <v>1245</v>
      </c>
      <c r="B69" s="987" t="s">
        <v>1072</v>
      </c>
      <c r="C69" s="976">
        <f>62*137.2*4/12</f>
        <v>2835.4666666666667</v>
      </c>
    </row>
    <row r="70" spans="1:3" ht="12.75">
      <c r="A70" s="916" t="s">
        <v>1246</v>
      </c>
      <c r="B70" s="987" t="s">
        <v>1073</v>
      </c>
      <c r="C70" s="976">
        <f>27*58.8*4/12</f>
        <v>529.1999999999999</v>
      </c>
    </row>
    <row r="71" spans="1:3" ht="12.75">
      <c r="A71" s="916" t="s">
        <v>1247</v>
      </c>
      <c r="B71" s="987" t="s">
        <v>1074</v>
      </c>
      <c r="C71" s="976">
        <f>196*19.6*4/12</f>
        <v>1280.5333333333335</v>
      </c>
    </row>
    <row r="72" spans="1:3" ht="12.75">
      <c r="A72" s="916" t="s">
        <v>1248</v>
      </c>
      <c r="B72" s="985" t="s">
        <v>1075</v>
      </c>
      <c r="C72" s="976">
        <f>ROUND(265/8*0.17,1)*2350/12*8</f>
        <v>8773.333333333334</v>
      </c>
    </row>
    <row r="73" spans="1:3" ht="12.75">
      <c r="A73" s="916" t="s">
        <v>1249</v>
      </c>
      <c r="B73" s="985" t="s">
        <v>1076</v>
      </c>
      <c r="C73" s="976">
        <f>ROUND(119/10*0.08,1)*2350/12*8</f>
        <v>1566.6666666666667</v>
      </c>
    </row>
    <row r="74" spans="1:3" ht="12.75">
      <c r="A74" s="916" t="s">
        <v>1250</v>
      </c>
      <c r="B74" s="985" t="s">
        <v>1077</v>
      </c>
      <c r="C74" s="976">
        <f>ROUND(265/8*0.36,1)*2350/12*4</f>
        <v>9321.666666666666</v>
      </c>
    </row>
    <row r="75" spans="1:3" ht="12.75">
      <c r="A75" s="916" t="s">
        <v>1251</v>
      </c>
      <c r="B75" s="985" t="s">
        <v>1078</v>
      </c>
      <c r="C75" s="976">
        <f>ROUND(119/10*0.18,1)*2350/12*4</f>
        <v>1645</v>
      </c>
    </row>
    <row r="76" spans="1:3" ht="12.75">
      <c r="A76" s="916" t="s">
        <v>1252</v>
      </c>
      <c r="B76" s="985" t="s">
        <v>1079</v>
      </c>
      <c r="C76" s="976">
        <f>265*44.9*8/12</f>
        <v>7932.333333333333</v>
      </c>
    </row>
    <row r="77" spans="1:3" ht="12.75">
      <c r="A77" s="916" t="s">
        <v>1253</v>
      </c>
      <c r="B77" s="985" t="s">
        <v>1080</v>
      </c>
      <c r="C77" s="976">
        <f>119*17.6*8/12</f>
        <v>1396.2666666666667</v>
      </c>
    </row>
    <row r="78" spans="1:3" ht="12.75">
      <c r="A78" s="916" t="s">
        <v>1254</v>
      </c>
      <c r="B78" s="987" t="s">
        <v>1081</v>
      </c>
      <c r="C78" s="989">
        <f>235*6</f>
        <v>1410</v>
      </c>
    </row>
    <row r="79" spans="1:3" ht="12.75">
      <c r="A79" s="916" t="s">
        <v>1255</v>
      </c>
      <c r="B79" s="987" t="s">
        <v>1082</v>
      </c>
      <c r="C79" s="989">
        <f>155*6</f>
        <v>930</v>
      </c>
    </row>
    <row r="80" spans="1:3" ht="12.75">
      <c r="A80" s="916" t="s">
        <v>1256</v>
      </c>
      <c r="B80" s="987" t="s">
        <v>1083</v>
      </c>
      <c r="C80" s="989">
        <f>2306*1.75</f>
        <v>4035.5</v>
      </c>
    </row>
    <row r="81" spans="1:3" ht="12.75">
      <c r="A81" s="916" t="s">
        <v>1257</v>
      </c>
      <c r="B81" s="985" t="s">
        <v>1084</v>
      </c>
      <c r="C81" s="976">
        <f>ROUND(66/25*1.3,1)*2350/12*8</f>
        <v>5326.666666666667</v>
      </c>
    </row>
    <row r="82" spans="1:3" ht="12.75">
      <c r="A82" s="916" t="s">
        <v>1258</v>
      </c>
      <c r="B82" s="985" t="s">
        <v>1085</v>
      </c>
      <c r="C82" s="976">
        <f>ROUND(66/25*3.04,1)*2350/12*4</f>
        <v>6266.666666666667</v>
      </c>
    </row>
    <row r="83" spans="1:3" ht="12.75">
      <c r="A83" s="916" t="s">
        <v>1259</v>
      </c>
      <c r="B83" s="985" t="s">
        <v>1086</v>
      </c>
      <c r="C83" s="976">
        <f>66*165*8/12</f>
        <v>7260</v>
      </c>
    </row>
    <row r="84" spans="1:3" ht="12.75">
      <c r="A84" s="916" t="s">
        <v>1260</v>
      </c>
      <c r="B84" s="985" t="s">
        <v>1540</v>
      </c>
      <c r="C84" s="976">
        <f>ROUND(409/25*0.24,1)*2350/12*8-470</f>
        <v>5640</v>
      </c>
    </row>
    <row r="85" spans="1:3" ht="12.75">
      <c r="A85" s="916" t="s">
        <v>1261</v>
      </c>
      <c r="B85" s="985" t="s">
        <v>1087</v>
      </c>
      <c r="C85" s="976">
        <f>ROUND(147/25*0.16,1)*2350/12*8</f>
        <v>1410</v>
      </c>
    </row>
    <row r="86" spans="1:3" ht="12.75">
      <c r="A86" s="916" t="s">
        <v>1262</v>
      </c>
      <c r="B86" s="985" t="s">
        <v>1088</v>
      </c>
      <c r="C86" s="976">
        <f>ROUND(409/25*0.24,1)*2350/12*4</f>
        <v>3055</v>
      </c>
    </row>
    <row r="87" spans="1:3" ht="12.75">
      <c r="A87" s="916" t="s">
        <v>1263</v>
      </c>
      <c r="B87" s="985" t="s">
        <v>1089</v>
      </c>
      <c r="C87" s="976">
        <f>ROUND(147/25*0.16,1)*2350/12*4</f>
        <v>705</v>
      </c>
    </row>
    <row r="88" spans="1:3" ht="12.75">
      <c r="A88" s="916" t="s">
        <v>1264</v>
      </c>
      <c r="B88" s="985" t="s">
        <v>1090</v>
      </c>
      <c r="C88" s="976">
        <f>37*64*8/12</f>
        <v>1578.6666666666667</v>
      </c>
    </row>
    <row r="89" spans="1:3" ht="12.75">
      <c r="A89" s="916" t="s">
        <v>1265</v>
      </c>
      <c r="B89" s="985" t="s">
        <v>1091</v>
      </c>
      <c r="C89" s="976">
        <f>32*64*4/12</f>
        <v>682.6666666666666</v>
      </c>
    </row>
    <row r="90" spans="1:3" ht="12.75">
      <c r="A90" s="916" t="s">
        <v>1266</v>
      </c>
      <c r="B90" s="985" t="s">
        <v>1092</v>
      </c>
      <c r="C90" s="976">
        <f>981*15.3*8/12</f>
        <v>10006.2</v>
      </c>
    </row>
    <row r="91" spans="1:3" ht="12.75">
      <c r="A91" s="916" t="s">
        <v>1267</v>
      </c>
      <c r="B91" s="985" t="s">
        <v>1093</v>
      </c>
      <c r="C91" s="976">
        <f>1000*15.3*4/12</f>
        <v>5100</v>
      </c>
    </row>
    <row r="92" spans="1:3" ht="12.75">
      <c r="A92" s="916" t="s">
        <v>1268</v>
      </c>
      <c r="B92" s="985" t="s">
        <v>1094</v>
      </c>
      <c r="C92" s="976">
        <f>51*36.3*8/12</f>
        <v>1234.2</v>
      </c>
    </row>
    <row r="93" spans="1:3" ht="12.75">
      <c r="A93" s="916" t="s">
        <v>1269</v>
      </c>
      <c r="B93" s="985" t="s">
        <v>1095</v>
      </c>
      <c r="C93" s="976">
        <f>50*36.3*8/12</f>
        <v>1209.9999999999998</v>
      </c>
    </row>
    <row r="94" spans="1:3" ht="12.75">
      <c r="A94" s="916" t="s">
        <v>1270</v>
      </c>
      <c r="B94" s="985" t="s">
        <v>1096</v>
      </c>
      <c r="C94" s="976">
        <f>25*36.3*8/12</f>
        <v>604.9999999999999</v>
      </c>
    </row>
    <row r="95" spans="1:3" ht="12.75">
      <c r="A95" s="916" t="s">
        <v>1271</v>
      </c>
      <c r="B95" s="985" t="s">
        <v>1374</v>
      </c>
      <c r="C95" s="976">
        <f>4*32*4/12</f>
        <v>42.666666666666664</v>
      </c>
    </row>
    <row r="96" spans="1:3" ht="12.75">
      <c r="A96" s="916" t="s">
        <v>1272</v>
      </c>
      <c r="B96" s="985" t="s">
        <v>1375</v>
      </c>
      <c r="C96" s="976">
        <f>49*32*4/12</f>
        <v>522.6666666666666</v>
      </c>
    </row>
    <row r="97" spans="1:3" ht="12.75">
      <c r="A97" s="916" t="s">
        <v>1273</v>
      </c>
      <c r="B97" s="985" t="s">
        <v>1376</v>
      </c>
      <c r="C97" s="976">
        <f>69*32*4/12</f>
        <v>736</v>
      </c>
    </row>
    <row r="98" spans="1:3" ht="12.75">
      <c r="A98" s="916" t="s">
        <v>1274</v>
      </c>
      <c r="B98" s="985" t="s">
        <v>1097</v>
      </c>
      <c r="C98" s="976">
        <f>(136+48+12)*68</f>
        <v>13328</v>
      </c>
    </row>
    <row r="99" spans="1:3" ht="12.75">
      <c r="A99" s="916" t="s">
        <v>1275</v>
      </c>
      <c r="B99" s="985" t="s">
        <v>1098</v>
      </c>
      <c r="C99" s="976">
        <f>(23+99+354)*68</f>
        <v>32368</v>
      </c>
    </row>
    <row r="100" spans="1:3" ht="12.75">
      <c r="A100" s="916" t="s">
        <v>1276</v>
      </c>
      <c r="B100" s="985" t="s">
        <v>1099</v>
      </c>
      <c r="C100" s="976">
        <f>(6+36+18)*68</f>
        <v>4080</v>
      </c>
    </row>
    <row r="101" spans="1:3" ht="12.75">
      <c r="A101" s="916" t="s">
        <v>1277</v>
      </c>
      <c r="B101" s="985" t="s">
        <v>1100</v>
      </c>
      <c r="C101" s="976">
        <f>(3+9)*68</f>
        <v>816</v>
      </c>
    </row>
    <row r="102" spans="1:3" ht="12.75">
      <c r="A102" s="916" t="s">
        <v>1371</v>
      </c>
      <c r="B102" s="985" t="s">
        <v>1101</v>
      </c>
      <c r="C102" s="976">
        <f>(3+12+28)*68</f>
        <v>2924</v>
      </c>
    </row>
    <row r="103" spans="1:3" ht="13.5" thickBot="1">
      <c r="A103" s="916" t="s">
        <v>1372</v>
      </c>
      <c r="B103" s="990" t="s">
        <v>1541</v>
      </c>
      <c r="C103" s="991">
        <f>1478*12-2220</f>
        <v>15516</v>
      </c>
    </row>
    <row r="104" spans="1:3" ht="13.5" thickBot="1">
      <c r="A104" s="994" t="s">
        <v>1373</v>
      </c>
      <c r="B104" s="992" t="s">
        <v>132</v>
      </c>
      <c r="C104" s="993">
        <f>SUM(C8:C103)</f>
        <v>1029200.2676666663</v>
      </c>
    </row>
    <row r="105" spans="2:3" ht="12.75">
      <c r="B105" s="56"/>
      <c r="C105" s="57"/>
    </row>
    <row r="106" spans="2:3" ht="12.75">
      <c r="B106" s="56"/>
      <c r="C106" s="57"/>
    </row>
    <row r="107" spans="2:3" ht="12.75">
      <c r="B107" s="56"/>
      <c r="C107" s="57"/>
    </row>
    <row r="108" spans="2:3" ht="12.75">
      <c r="B108" s="56"/>
      <c r="C108" s="57"/>
    </row>
    <row r="109" spans="2:3" ht="12.75">
      <c r="B109" s="56"/>
      <c r="C109" s="57"/>
    </row>
    <row r="110" spans="2:3" ht="12.75">
      <c r="B110" s="56"/>
      <c r="C110" s="57"/>
    </row>
    <row r="111" spans="2:3" ht="12.75">
      <c r="B111" s="56"/>
      <c r="C111" s="57"/>
    </row>
    <row r="112" spans="2:3" ht="12.75">
      <c r="B112" s="56"/>
      <c r="C112" s="57"/>
    </row>
    <row r="113" spans="2:3" ht="12.75">
      <c r="B113" s="56"/>
      <c r="C113" s="57"/>
    </row>
    <row r="114" spans="2:3" ht="12.75">
      <c r="B114" s="56"/>
      <c r="C114" s="57"/>
    </row>
    <row r="115" spans="2:3" ht="12.75">
      <c r="B115" s="56"/>
      <c r="C115" s="57"/>
    </row>
    <row r="116" spans="2:3" ht="12.75">
      <c r="B116" s="56"/>
      <c r="C116" s="57"/>
    </row>
    <row r="117" spans="2:3" ht="12.75">
      <c r="B117" s="56"/>
      <c r="C117" s="57"/>
    </row>
    <row r="118" spans="2:3" ht="12.75">
      <c r="B118" s="56"/>
      <c r="C118" s="57"/>
    </row>
    <row r="119" spans="2:3" ht="12.75">
      <c r="B119" s="56"/>
      <c r="C119" s="57"/>
    </row>
    <row r="120" spans="1:5" ht="12.75">
      <c r="A120" s="1547" t="s">
        <v>1308</v>
      </c>
      <c r="B120" s="1547"/>
      <c r="C120" s="1547"/>
      <c r="D120" s="1068"/>
      <c r="E120" s="1068"/>
    </row>
    <row r="121" spans="1:5" ht="12.75">
      <c r="A121" s="824"/>
      <c r="B121" s="824"/>
      <c r="C121" s="824"/>
      <c r="D121" s="824"/>
      <c r="E121" s="824"/>
    </row>
    <row r="122" spans="2:3" ht="12.75">
      <c r="B122" s="1572"/>
      <c r="C122" s="1572"/>
    </row>
    <row r="123" spans="2:3" ht="12.75">
      <c r="B123" s="1"/>
      <c r="C123" s="1"/>
    </row>
    <row r="124" spans="2:3" ht="15.75">
      <c r="B124" s="1555" t="s">
        <v>702</v>
      </c>
      <c r="C124" s="1555"/>
    </row>
    <row r="125" spans="2:3" ht="12.75">
      <c r="B125" s="1"/>
      <c r="C125" s="1"/>
    </row>
    <row r="126" spans="2:3" ht="13.5" thickBot="1">
      <c r="B126" s="1"/>
      <c r="C126" s="54" t="s">
        <v>15</v>
      </c>
    </row>
    <row r="127" spans="1:3" ht="26.25" thickBot="1">
      <c r="A127" s="973" t="s">
        <v>1148</v>
      </c>
      <c r="B127" s="999" t="s">
        <v>127</v>
      </c>
      <c r="C127" s="704" t="s">
        <v>70</v>
      </c>
    </row>
    <row r="128" spans="1:3" ht="13.5" thickBot="1">
      <c r="A128" s="962" t="s">
        <v>1149</v>
      </c>
      <c r="B128" s="971" t="s">
        <v>1150</v>
      </c>
      <c r="C128" s="918" t="s">
        <v>1151</v>
      </c>
    </row>
    <row r="129" spans="1:3" ht="12.75">
      <c r="A129" s="995" t="s">
        <v>1153</v>
      </c>
      <c r="B129" s="1000" t="s">
        <v>1034</v>
      </c>
      <c r="C129" s="716"/>
    </row>
    <row r="130" spans="1:3" ht="12.75">
      <c r="A130" s="916" t="s">
        <v>1154</v>
      </c>
      <c r="B130" s="1001" t="s">
        <v>708</v>
      </c>
      <c r="C130" s="481"/>
    </row>
    <row r="131" spans="1:3" ht="12.75">
      <c r="A131" s="916" t="s">
        <v>1155</v>
      </c>
      <c r="B131" s="928" t="s">
        <v>1030</v>
      </c>
      <c r="C131" s="481">
        <f>8*1200</f>
        <v>9600</v>
      </c>
    </row>
    <row r="132" spans="1:3" ht="12.75">
      <c r="A132" s="916" t="s">
        <v>1156</v>
      </c>
      <c r="B132" s="928" t="s">
        <v>1542</v>
      </c>
      <c r="C132" s="481">
        <f>285*10.5-11</f>
        <v>2981.5</v>
      </c>
    </row>
    <row r="133" spans="1:3" ht="12.75">
      <c r="A133" s="916" t="s">
        <v>1157</v>
      </c>
      <c r="B133" s="928" t="s">
        <v>1031</v>
      </c>
      <c r="C133" s="481">
        <v>3137</v>
      </c>
    </row>
    <row r="134" spans="1:3" ht="12.75">
      <c r="A134" s="916" t="s">
        <v>1158</v>
      </c>
      <c r="B134" s="928" t="s">
        <v>1032</v>
      </c>
      <c r="C134" s="481">
        <f>390-8</f>
        <v>382</v>
      </c>
    </row>
    <row r="135" spans="1:3" ht="12.75">
      <c r="A135" s="916" t="s">
        <v>1159</v>
      </c>
      <c r="B135" s="1001" t="s">
        <v>709</v>
      </c>
      <c r="C135" s="481"/>
    </row>
    <row r="136" spans="1:3" ht="12.75">
      <c r="A136" s="916" t="s">
        <v>1160</v>
      </c>
      <c r="B136" s="928" t="s">
        <v>1033</v>
      </c>
      <c r="C136" s="481">
        <f>312764+200+300-125874-1</f>
        <v>187389</v>
      </c>
    </row>
    <row r="137" spans="1:3" ht="13.5" thickBot="1">
      <c r="A137" s="917" t="s">
        <v>1161</v>
      </c>
      <c r="B137" s="928" t="s">
        <v>1043</v>
      </c>
      <c r="C137" s="481">
        <f>14*9.4</f>
        <v>131.6</v>
      </c>
    </row>
    <row r="138" spans="1:3" ht="13.5" thickBot="1">
      <c r="A138" s="996" t="s">
        <v>1162</v>
      </c>
      <c r="B138" s="926" t="s">
        <v>133</v>
      </c>
      <c r="C138" s="484">
        <f>SUM(C130:C137)+1</f>
        <v>203622.1</v>
      </c>
    </row>
    <row r="139" spans="1:3" ht="12.75">
      <c r="A139" s="995" t="s">
        <v>1163</v>
      </c>
      <c r="B139" s="1001" t="s">
        <v>134</v>
      </c>
      <c r="C139" s="911"/>
    </row>
    <row r="140" spans="1:3" ht="12.75">
      <c r="A140" s="916" t="s">
        <v>1164</v>
      </c>
      <c r="B140" s="928" t="s">
        <v>1105</v>
      </c>
      <c r="C140" s="911"/>
    </row>
    <row r="141" spans="1:3" ht="13.5">
      <c r="A141" s="916" t="s">
        <v>1165</v>
      </c>
      <c r="B141" s="928" t="s">
        <v>1104</v>
      </c>
      <c r="C141" s="481">
        <f>68*3620.169+1</f>
        <v>246172.492</v>
      </c>
    </row>
    <row r="142" spans="1:3" ht="12.75">
      <c r="A142" s="916" t="s">
        <v>1166</v>
      </c>
      <c r="B142" s="928" t="s">
        <v>135</v>
      </c>
      <c r="C142" s="911"/>
    </row>
    <row r="143" spans="1:3" ht="13.5">
      <c r="A143" s="916" t="s">
        <v>1167</v>
      </c>
      <c r="B143" s="928" t="s">
        <v>136</v>
      </c>
      <c r="C143" s="481">
        <f>1083*4.897</f>
        <v>5303.451</v>
      </c>
    </row>
    <row r="144" spans="1:3" ht="13.5">
      <c r="A144" s="916" t="s">
        <v>1168</v>
      </c>
      <c r="B144" s="928" t="s">
        <v>1103</v>
      </c>
      <c r="C144" s="481">
        <f>77869*0.138</f>
        <v>10745.922</v>
      </c>
    </row>
    <row r="145" spans="1:3" ht="12.75">
      <c r="A145" s="916" t="s">
        <v>1169</v>
      </c>
      <c r="B145" s="928" t="s">
        <v>137</v>
      </c>
      <c r="C145" s="481">
        <f>3*500</f>
        <v>1500</v>
      </c>
    </row>
    <row r="146" spans="1:3" ht="13.5">
      <c r="A146" s="916" t="s">
        <v>1170</v>
      </c>
      <c r="B146" s="928" t="s">
        <v>138</v>
      </c>
      <c r="C146" s="911"/>
    </row>
    <row r="147" spans="1:3" ht="13.5" thickBot="1">
      <c r="A147" s="972" t="s">
        <v>1171</v>
      </c>
      <c r="B147" s="1002" t="s">
        <v>133</v>
      </c>
      <c r="C147" s="998">
        <f>SUM(C141:C146)-1</f>
        <v>263720.865</v>
      </c>
    </row>
    <row r="148" spans="1:3" ht="13.5" thickBot="1">
      <c r="A148" s="997" t="s">
        <v>1173</v>
      </c>
      <c r="B148" s="560" t="s">
        <v>1035</v>
      </c>
      <c r="C148" s="289">
        <f>C147+C138</f>
        <v>467342.96499999997</v>
      </c>
    </row>
    <row r="149" spans="2:3" ht="12.75">
      <c r="B149" s="1"/>
      <c r="C149" s="1"/>
    </row>
    <row r="150" spans="2:3" ht="12.75">
      <c r="B150" s="1"/>
      <c r="C150" s="715"/>
    </row>
    <row r="151" spans="2:3" ht="12.75">
      <c r="B151" s="1"/>
      <c r="C151" s="1"/>
    </row>
    <row r="152" spans="2:5" ht="12.75">
      <c r="B152" s="1"/>
      <c r="C152" s="715"/>
      <c r="E152" s="132"/>
    </row>
    <row r="153" spans="2:3" ht="12.75">
      <c r="B153" s="1"/>
      <c r="C153" s="1"/>
    </row>
    <row r="154" spans="2:5" ht="12.75">
      <c r="B154" s="1"/>
      <c r="C154" s="1"/>
      <c r="E154" s="132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</sheetData>
  <sheetProtection/>
  <mergeCells count="6">
    <mergeCell ref="B3:C3"/>
    <mergeCell ref="B61:C61"/>
    <mergeCell ref="B63:C63"/>
    <mergeCell ref="B122:C122"/>
    <mergeCell ref="B124:C124"/>
    <mergeCell ref="A120:C12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20">
      <selection activeCell="B141" sqref="B141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1547" t="s">
        <v>1309</v>
      </c>
      <c r="B1" s="1547"/>
      <c r="C1" s="1547"/>
      <c r="D1" s="1068"/>
      <c r="E1" s="1068"/>
    </row>
    <row r="2" spans="2:3" ht="15.75">
      <c r="B2" s="178"/>
      <c r="C2" s="1"/>
    </row>
    <row r="3" spans="1:3" ht="15.75">
      <c r="A3" s="1555" t="s">
        <v>703</v>
      </c>
      <c r="B3" s="1562"/>
      <c r="C3" s="1562"/>
    </row>
    <row r="4" spans="2:3" ht="15.75">
      <c r="B4" s="53"/>
      <c r="C4" s="177"/>
    </row>
    <row r="5" spans="2:3" ht="13.5" thickBot="1">
      <c r="B5" s="1567" t="s">
        <v>86</v>
      </c>
      <c r="C5" s="1567"/>
    </row>
    <row r="6" spans="1:3" ht="15.75">
      <c r="A6" s="1568" t="s">
        <v>1148</v>
      </c>
      <c r="B6" s="226" t="s">
        <v>139</v>
      </c>
      <c r="C6" s="601" t="s">
        <v>88</v>
      </c>
    </row>
    <row r="7" spans="1:3" ht="13.5" thickBot="1">
      <c r="A7" s="1569"/>
      <c r="B7" s="247"/>
      <c r="C7" s="1003" t="s">
        <v>21</v>
      </c>
    </row>
    <row r="8" spans="1:3" ht="13.5" thickBot="1">
      <c r="A8" s="943" t="s">
        <v>1149</v>
      </c>
      <c r="B8" s="403" t="s">
        <v>1150</v>
      </c>
      <c r="C8" s="864" t="s">
        <v>1151</v>
      </c>
    </row>
    <row r="9" spans="1:3" ht="12.75">
      <c r="A9" s="1085" t="s">
        <v>1153</v>
      </c>
      <c r="B9" s="441" t="s">
        <v>1347</v>
      </c>
      <c r="C9" s="1005">
        <f>16106+14319+13712+13532</f>
        <v>57669</v>
      </c>
    </row>
    <row r="10" spans="1:3" ht="12.75">
      <c r="A10" s="786" t="s">
        <v>1154</v>
      </c>
      <c r="B10" s="1472" t="s">
        <v>1414</v>
      </c>
      <c r="C10" s="604">
        <v>186</v>
      </c>
    </row>
    <row r="11" spans="1:3" ht="12.75">
      <c r="A11" s="786" t="s">
        <v>1155</v>
      </c>
      <c r="B11" s="406" t="s">
        <v>1390</v>
      </c>
      <c r="C11" s="1312">
        <v>2017</v>
      </c>
    </row>
    <row r="12" spans="1:3" ht="12.75">
      <c r="A12" s="786" t="s">
        <v>1156</v>
      </c>
      <c r="B12" s="406" t="s">
        <v>1429</v>
      </c>
      <c r="C12" s="1313">
        <v>54857</v>
      </c>
    </row>
    <row r="13" spans="1:3" ht="12.75">
      <c r="A13" s="786" t="s">
        <v>1157</v>
      </c>
      <c r="B13" s="1473" t="s">
        <v>1480</v>
      </c>
      <c r="C13" s="1313">
        <v>2019</v>
      </c>
    </row>
    <row r="14" spans="1:3" ht="13.5" thickBot="1">
      <c r="A14" s="961" t="s">
        <v>1158</v>
      </c>
      <c r="B14" s="1473" t="s">
        <v>1481</v>
      </c>
      <c r="C14" s="1311">
        <v>1088</v>
      </c>
    </row>
    <row r="15" spans="1:3" ht="13.5" thickBot="1">
      <c r="A15" s="841" t="s">
        <v>1159</v>
      </c>
      <c r="B15" s="376" t="s">
        <v>704</v>
      </c>
      <c r="C15" s="1284">
        <f>SUM(C9:C14)</f>
        <v>117836</v>
      </c>
    </row>
    <row r="16" spans="1:3" ht="12.75">
      <c r="A16" s="839"/>
      <c r="B16" s="56"/>
      <c r="C16" s="875"/>
    </row>
    <row r="17" spans="1:3" ht="12.75">
      <c r="A17" s="839"/>
      <c r="B17" s="56"/>
      <c r="C17" s="875"/>
    </row>
    <row r="18" spans="1:3" ht="12.75">
      <c r="A18" s="839"/>
      <c r="B18" s="56"/>
      <c r="C18" s="875"/>
    </row>
    <row r="19" spans="2:3" ht="12.75">
      <c r="B19" s="56"/>
      <c r="C19" s="465"/>
    </row>
    <row r="20" spans="1:5" ht="12.75">
      <c r="A20" s="1547" t="s">
        <v>1310</v>
      </c>
      <c r="B20" s="1547"/>
      <c r="C20" s="1547"/>
      <c r="D20" s="1547"/>
      <c r="E20" s="1547"/>
    </row>
    <row r="21" spans="2:3" ht="12.75">
      <c r="B21" s="1"/>
      <c r="C21" s="1"/>
    </row>
    <row r="22" spans="1:3" ht="15.75">
      <c r="A22" s="1555" t="s">
        <v>705</v>
      </c>
      <c r="B22" s="1562"/>
      <c r="C22" s="1562"/>
    </row>
    <row r="23" spans="2:3" ht="15.75">
      <c r="B23" s="178"/>
      <c r="C23" s="1"/>
    </row>
    <row r="24" spans="2:3" ht="13.5" thickBot="1">
      <c r="B24" s="1567" t="s">
        <v>140</v>
      </c>
      <c r="C24" s="1567"/>
    </row>
    <row r="25" spans="1:3" ht="15.75">
      <c r="A25" s="1568" t="s">
        <v>1148</v>
      </c>
      <c r="B25" s="226" t="s">
        <v>139</v>
      </c>
      <c r="C25" s="601" t="s">
        <v>88</v>
      </c>
    </row>
    <row r="26" spans="1:3" ht="13.5" thickBot="1">
      <c r="A26" s="1569"/>
      <c r="B26" s="247"/>
      <c r="C26" s="602" t="s">
        <v>21</v>
      </c>
    </row>
    <row r="27" spans="1:3" ht="13.5" thickBot="1">
      <c r="A27" s="943" t="s">
        <v>1149</v>
      </c>
      <c r="B27" s="403" t="s">
        <v>1150</v>
      </c>
      <c r="C27" s="918" t="s">
        <v>1151</v>
      </c>
    </row>
    <row r="28" spans="1:3" ht="12.75">
      <c r="A28" s="904" t="s">
        <v>1153</v>
      </c>
      <c r="B28" s="247" t="s">
        <v>706</v>
      </c>
      <c r="C28" s="606">
        <f>79710+113970</f>
        <v>193680</v>
      </c>
    </row>
    <row r="29" spans="1:3" ht="25.5">
      <c r="A29" s="883" t="s">
        <v>1154</v>
      </c>
      <c r="B29" s="1448" t="s">
        <v>707</v>
      </c>
      <c r="C29" s="580"/>
    </row>
    <row r="30" spans="1:3" ht="13.5" thickBot="1">
      <c r="A30" s="889" t="s">
        <v>1155</v>
      </c>
      <c r="B30" s="247" t="s">
        <v>1455</v>
      </c>
      <c r="C30" s="581">
        <f>4192+7134+2532+4835+7431+543</f>
        <v>26667</v>
      </c>
    </row>
    <row r="31" spans="1:3" ht="13.5" thickBot="1">
      <c r="A31" s="841" t="s">
        <v>1156</v>
      </c>
      <c r="B31" s="376" t="s">
        <v>705</v>
      </c>
      <c r="C31" s="658">
        <f>SUM(C28:C30)</f>
        <v>220347</v>
      </c>
    </row>
    <row r="32" spans="2:3" ht="12.75">
      <c r="B32" s="56"/>
      <c r="C32" s="465"/>
    </row>
    <row r="33" spans="2:3" ht="12.75">
      <c r="B33" s="56"/>
      <c r="C33" s="465"/>
    </row>
    <row r="34" spans="2:3" ht="12.75">
      <c r="B34" s="56"/>
      <c r="C34" s="465"/>
    </row>
    <row r="35" spans="2:3" ht="12.75">
      <c r="B35" s="56"/>
      <c r="C35" s="465"/>
    </row>
    <row r="36" spans="2:3" ht="12.75">
      <c r="B36" s="56"/>
      <c r="C36" s="465"/>
    </row>
    <row r="37" spans="2:3" ht="12.75">
      <c r="B37" s="56"/>
      <c r="C37" s="465"/>
    </row>
    <row r="38" spans="2:3" ht="12.75">
      <c r="B38" s="56"/>
      <c r="C38" s="465"/>
    </row>
    <row r="39" spans="2:3" ht="12.75">
      <c r="B39" s="56"/>
      <c r="C39" s="465"/>
    </row>
    <row r="40" spans="2:3" ht="12.75">
      <c r="B40" s="56"/>
      <c r="C40" s="465"/>
    </row>
    <row r="41" spans="2:3" ht="12.75">
      <c r="B41" s="56"/>
      <c r="C41" s="465"/>
    </row>
    <row r="42" spans="2:3" ht="12.75">
      <c r="B42" s="56"/>
      <c r="C42" s="465"/>
    </row>
    <row r="43" spans="2:3" ht="12.75">
      <c r="B43" s="56"/>
      <c r="C43" s="465"/>
    </row>
    <row r="44" spans="2:3" ht="12.75">
      <c r="B44" s="56"/>
      <c r="C44" s="465"/>
    </row>
    <row r="45" spans="2:3" ht="12.75">
      <c r="B45" s="56"/>
      <c r="C45" s="465"/>
    </row>
    <row r="46" spans="2:3" ht="12.75">
      <c r="B46" s="56"/>
      <c r="C46" s="465"/>
    </row>
    <row r="47" spans="2:3" ht="12.75">
      <c r="B47" s="56"/>
      <c r="C47" s="465"/>
    </row>
    <row r="48" spans="2:3" ht="12.75">
      <c r="B48" s="56"/>
      <c r="C48" s="465"/>
    </row>
    <row r="49" spans="2:3" ht="12.75">
      <c r="B49" s="56"/>
      <c r="C49" s="465"/>
    </row>
    <row r="50" spans="2:3" ht="12.75">
      <c r="B50" s="56"/>
      <c r="C50" s="465"/>
    </row>
    <row r="51" spans="2:3" ht="12.75">
      <c r="B51" s="56"/>
      <c r="C51" s="465"/>
    </row>
    <row r="52" spans="2:3" ht="12.75">
      <c r="B52" s="56"/>
      <c r="C52" s="465"/>
    </row>
    <row r="53" spans="2:3" ht="12.75">
      <c r="B53" s="56"/>
      <c r="C53" s="465"/>
    </row>
    <row r="54" spans="2:3" ht="12.75">
      <c r="B54" s="56"/>
      <c r="C54" s="465"/>
    </row>
    <row r="55" spans="2:3" ht="12.75">
      <c r="B55" s="56"/>
      <c r="C55" s="465"/>
    </row>
    <row r="56" spans="2:3" ht="12.75">
      <c r="B56" s="56"/>
      <c r="C56" s="465"/>
    </row>
    <row r="57" spans="1:5" ht="12.75">
      <c r="A57" s="1547" t="s">
        <v>1311</v>
      </c>
      <c r="B57" s="1547"/>
      <c r="C57" s="1547"/>
      <c r="D57" s="1068"/>
      <c r="E57" s="1068"/>
    </row>
    <row r="58" spans="2:3" ht="13.5" customHeight="1">
      <c r="B58" s="1573" t="s">
        <v>901</v>
      </c>
      <c r="C58" s="1573"/>
    </row>
    <row r="59" spans="2:3" ht="12" customHeight="1" thickBot="1">
      <c r="B59" s="242"/>
      <c r="C59" s="242" t="s">
        <v>919</v>
      </c>
    </row>
    <row r="60" spans="1:3" ht="25.5" customHeight="1" thickBot="1">
      <c r="A60" s="1530" t="s">
        <v>1148</v>
      </c>
      <c r="B60" s="1531" t="s">
        <v>139</v>
      </c>
      <c r="C60" s="1187" t="s">
        <v>71</v>
      </c>
    </row>
    <row r="61" spans="1:3" ht="15" customHeight="1" thickBot="1">
      <c r="A61" s="1529" t="s">
        <v>1149</v>
      </c>
      <c r="B61" s="1517" t="s">
        <v>1150</v>
      </c>
      <c r="C61" s="971" t="s">
        <v>1151</v>
      </c>
    </row>
    <row r="62" spans="1:3" ht="13.5" thickBot="1">
      <c r="A62" s="1525" t="s">
        <v>1153</v>
      </c>
      <c r="B62" s="1519" t="s">
        <v>916</v>
      </c>
      <c r="C62" s="703">
        <f>C63+C87+C68</f>
        <v>613940</v>
      </c>
    </row>
    <row r="63" spans="1:3" ht="13.5" thickBot="1">
      <c r="A63" s="996" t="s">
        <v>1154</v>
      </c>
      <c r="B63" s="1520" t="s">
        <v>1366</v>
      </c>
      <c r="C63" s="289">
        <f>C64+C66+C65+C67</f>
        <v>339953</v>
      </c>
    </row>
    <row r="64" spans="1:3" ht="12.75">
      <c r="A64" s="1526" t="s">
        <v>1155</v>
      </c>
      <c r="B64" s="1194" t="s">
        <v>902</v>
      </c>
      <c r="C64" s="506">
        <f>279062-301+12084</f>
        <v>290845</v>
      </c>
    </row>
    <row r="65" spans="1:3" ht="12.75">
      <c r="A65" s="1538" t="s">
        <v>1156</v>
      </c>
      <c r="B65" s="1192" t="s">
        <v>1397</v>
      </c>
      <c r="C65" s="367">
        <f>2752-208</f>
        <v>2544</v>
      </c>
    </row>
    <row r="66" spans="1:3" ht="12.75">
      <c r="A66" s="1523" t="s">
        <v>1157</v>
      </c>
      <c r="B66" s="1521" t="s">
        <v>1398</v>
      </c>
      <c r="C66" s="369">
        <f>208+155</f>
        <v>363</v>
      </c>
    </row>
    <row r="67" spans="1:3" ht="13.5" thickBot="1">
      <c r="A67" s="1539" t="s">
        <v>1158</v>
      </c>
      <c r="B67" s="1521" t="s">
        <v>1483</v>
      </c>
      <c r="C67" s="291">
        <v>46201</v>
      </c>
    </row>
    <row r="68" spans="1:3" ht="13.5" thickBot="1">
      <c r="A68" s="1518" t="s">
        <v>1159</v>
      </c>
      <c r="B68" s="1520" t="s">
        <v>1367</v>
      </c>
      <c r="C68" s="289">
        <f>SUM(C69:C86)</f>
        <v>73963</v>
      </c>
    </row>
    <row r="69" spans="1:3" ht="12.75">
      <c r="A69" s="1540" t="s">
        <v>1160</v>
      </c>
      <c r="B69" s="866" t="s">
        <v>1349</v>
      </c>
      <c r="C69" s="285">
        <f>351+831+1083+385</f>
        <v>2650</v>
      </c>
    </row>
    <row r="70" spans="1:3" ht="12.75">
      <c r="A70" s="1523" t="s">
        <v>1161</v>
      </c>
      <c r="B70" s="1473" t="s">
        <v>1350</v>
      </c>
      <c r="C70" s="282">
        <f>5236+7405+7978+2584</f>
        <v>23203</v>
      </c>
    </row>
    <row r="71" spans="1:3" ht="12.75">
      <c r="A71" s="1538" t="s">
        <v>1162</v>
      </c>
      <c r="B71" s="1473" t="s">
        <v>1351</v>
      </c>
      <c r="C71" s="282">
        <f>2713+1004+1309+792</f>
        <v>5818</v>
      </c>
    </row>
    <row r="72" spans="1:3" ht="12.75">
      <c r="A72" s="1523" t="s">
        <v>1163</v>
      </c>
      <c r="B72" s="1473" t="s">
        <v>1352</v>
      </c>
      <c r="C72" s="282">
        <f>1297+384+521+169</f>
        <v>2371</v>
      </c>
    </row>
    <row r="73" spans="1:3" ht="12.75">
      <c r="A73" s="1538" t="s">
        <v>1164</v>
      </c>
      <c r="B73" s="1473" t="s">
        <v>1353</v>
      </c>
      <c r="C73" s="282">
        <f>357+425</f>
        <v>782</v>
      </c>
    </row>
    <row r="74" spans="1:3" ht="12.75">
      <c r="A74" s="1523" t="s">
        <v>1165</v>
      </c>
      <c r="B74" s="1473" t="s">
        <v>1354</v>
      </c>
      <c r="C74" s="282">
        <v>75</v>
      </c>
    </row>
    <row r="75" spans="1:3" ht="12.75">
      <c r="A75" s="1538" t="s">
        <v>1166</v>
      </c>
      <c r="B75" s="1473" t="s">
        <v>1355</v>
      </c>
      <c r="C75" s="282">
        <f>100+100</f>
        <v>200</v>
      </c>
    </row>
    <row r="76" spans="1:3" ht="12.75">
      <c r="A76" s="1523" t="s">
        <v>1167</v>
      </c>
      <c r="B76" s="1473" t="s">
        <v>1477</v>
      </c>
      <c r="C76" s="272">
        <v>1084</v>
      </c>
    </row>
    <row r="77" spans="1:3" ht="12.75">
      <c r="A77" s="1538" t="s">
        <v>1168</v>
      </c>
      <c r="B77" s="1473" t="s">
        <v>1359</v>
      </c>
      <c r="C77" s="272">
        <f>203+304+284+84</f>
        <v>875</v>
      </c>
    </row>
    <row r="78" spans="1:3" ht="12.75">
      <c r="A78" s="1523" t="s">
        <v>1169</v>
      </c>
      <c r="B78" s="1473" t="s">
        <v>1360</v>
      </c>
      <c r="C78" s="272">
        <f>637+665</f>
        <v>1302</v>
      </c>
    </row>
    <row r="79" spans="1:3" ht="12.75">
      <c r="A79" s="1538" t="s">
        <v>1170</v>
      </c>
      <c r="B79" s="1473" t="s">
        <v>1418</v>
      </c>
      <c r="C79" s="272">
        <v>3233</v>
      </c>
    </row>
    <row r="80" spans="1:3" ht="12.75">
      <c r="A80" s="1523" t="s">
        <v>1171</v>
      </c>
      <c r="B80" s="1473" t="s">
        <v>1419</v>
      </c>
      <c r="C80" s="272">
        <v>100</v>
      </c>
    </row>
    <row r="81" spans="1:3" ht="12.75">
      <c r="A81" s="1538" t="s">
        <v>1173</v>
      </c>
      <c r="B81" s="1473" t="s">
        <v>1501</v>
      </c>
      <c r="C81" s="272">
        <v>214</v>
      </c>
    </row>
    <row r="82" spans="1:3" ht="12.75">
      <c r="A82" s="1523" t="s">
        <v>1174</v>
      </c>
      <c r="B82" s="1473" t="s">
        <v>1361</v>
      </c>
      <c r="C82" s="272">
        <f>409+991+1078+342</f>
        <v>2820</v>
      </c>
    </row>
    <row r="83" spans="1:3" ht="12.75">
      <c r="A83" s="1538" t="s">
        <v>1175</v>
      </c>
      <c r="B83" s="1473" t="s">
        <v>1362</v>
      </c>
      <c r="C83" s="272">
        <f>741+930+712+211</f>
        <v>2594</v>
      </c>
    </row>
    <row r="84" spans="1:3" ht="12.75">
      <c r="A84" s="1523" t="s">
        <v>1176</v>
      </c>
      <c r="B84" s="1473" t="s">
        <v>1363</v>
      </c>
      <c r="C84" s="272">
        <f>2861+2773</f>
        <v>5634</v>
      </c>
    </row>
    <row r="85" spans="1:3" ht="12.75">
      <c r="A85" s="1538" t="s">
        <v>1177</v>
      </c>
      <c r="B85" s="1494" t="s">
        <v>1364</v>
      </c>
      <c r="C85" s="276">
        <f>6991+4612+3988+2917</f>
        <v>18508</v>
      </c>
    </row>
    <row r="86" spans="1:3" ht="13.5" thickBot="1">
      <c r="A86" s="1527" t="s">
        <v>1178</v>
      </c>
      <c r="B86" s="1522" t="s">
        <v>1498</v>
      </c>
      <c r="C86" s="1487">
        <v>2500</v>
      </c>
    </row>
    <row r="87" spans="1:3" ht="13.5" thickBot="1">
      <c r="A87" s="996" t="s">
        <v>1179</v>
      </c>
      <c r="B87" s="643" t="s">
        <v>69</v>
      </c>
      <c r="C87" s="289">
        <f>SUM(C88:C112)</f>
        <v>200024</v>
      </c>
    </row>
    <row r="88" spans="1:3" ht="12.75">
      <c r="A88" s="1526" t="s">
        <v>1180</v>
      </c>
      <c r="B88" s="48" t="s">
        <v>903</v>
      </c>
      <c r="C88" s="506">
        <f>30000+9919</f>
        <v>39919</v>
      </c>
    </row>
    <row r="89" spans="1:3" ht="12.75">
      <c r="A89" s="1538" t="s">
        <v>1181</v>
      </c>
      <c r="B89" s="332" t="s">
        <v>904</v>
      </c>
      <c r="C89" s="367">
        <f>4000+2000</f>
        <v>6000</v>
      </c>
    </row>
    <row r="90" spans="1:3" ht="12.75">
      <c r="A90" s="1523" t="s">
        <v>1182</v>
      </c>
      <c r="B90" s="332" t="s">
        <v>905</v>
      </c>
      <c r="C90" s="367">
        <v>1610</v>
      </c>
    </row>
    <row r="91" spans="1:3" ht="12.75">
      <c r="A91" s="1538" t="s">
        <v>1183</v>
      </c>
      <c r="B91" s="1398" t="s">
        <v>906</v>
      </c>
      <c r="C91" s="367">
        <f>1475+23</f>
        <v>1498</v>
      </c>
    </row>
    <row r="92" spans="1:3" ht="12.75">
      <c r="A92" s="1523" t="s">
        <v>1184</v>
      </c>
      <c r="B92" s="1398" t="s">
        <v>907</v>
      </c>
      <c r="C92" s="367">
        <v>5839</v>
      </c>
    </row>
    <row r="93" spans="1:3" ht="12.75">
      <c r="A93" s="1538" t="s">
        <v>1185</v>
      </c>
      <c r="B93" s="1398" t="s">
        <v>908</v>
      </c>
      <c r="C93" s="511">
        <f>8000-1451</f>
        <v>6549</v>
      </c>
    </row>
    <row r="94" spans="1:3" ht="12.75">
      <c r="A94" s="1523" t="s">
        <v>1186</v>
      </c>
      <c r="B94" s="1398" t="s">
        <v>909</v>
      </c>
      <c r="C94" s="511">
        <v>17200</v>
      </c>
    </row>
    <row r="95" spans="1:3" ht="12.75">
      <c r="A95" s="1538" t="s">
        <v>1187</v>
      </c>
      <c r="B95" s="1398" t="s">
        <v>910</v>
      </c>
      <c r="C95" s="511">
        <v>210</v>
      </c>
    </row>
    <row r="96" spans="1:3" ht="12.75">
      <c r="A96" s="1523" t="s">
        <v>1188</v>
      </c>
      <c r="B96" s="1398" t="s">
        <v>911</v>
      </c>
      <c r="C96" s="511">
        <f>10000-354</f>
        <v>9646</v>
      </c>
    </row>
    <row r="97" spans="1:8" s="50" customFormat="1" ht="12.75">
      <c r="A97" s="1538" t="s">
        <v>1189</v>
      </c>
      <c r="B97" s="1398" t="s">
        <v>1439</v>
      </c>
      <c r="C97" s="511">
        <f>5691+2860+4757+2335+2260+11216</f>
        <v>29119</v>
      </c>
      <c r="H97"/>
    </row>
    <row r="98" spans="1:8" s="24" customFormat="1" ht="12.75">
      <c r="A98" s="1523" t="s">
        <v>1190</v>
      </c>
      <c r="B98" s="1398" t="s">
        <v>1380</v>
      </c>
      <c r="C98" s="511">
        <v>13</v>
      </c>
      <c r="H98" s="50"/>
    </row>
    <row r="99" spans="1:3" s="24" customFormat="1" ht="12.75">
      <c r="A99" s="1538" t="s">
        <v>1191</v>
      </c>
      <c r="B99" s="1398" t="s">
        <v>912</v>
      </c>
      <c r="C99" s="511">
        <v>800</v>
      </c>
    </row>
    <row r="100" spans="1:3" s="24" customFormat="1" ht="12.75">
      <c r="A100" s="1523" t="s">
        <v>1192</v>
      </c>
      <c r="B100" s="1398" t="s">
        <v>913</v>
      </c>
      <c r="C100" s="511">
        <v>3821</v>
      </c>
    </row>
    <row r="101" spans="1:3" s="24" customFormat="1" ht="12.75">
      <c r="A101" s="1538" t="s">
        <v>1193</v>
      </c>
      <c r="B101" s="1398" t="s">
        <v>914</v>
      </c>
      <c r="C101" s="511">
        <f>5740-5740</f>
        <v>0</v>
      </c>
    </row>
    <row r="102" spans="1:3" s="24" customFormat="1" ht="12.75">
      <c r="A102" s="1523" t="s">
        <v>1194</v>
      </c>
      <c r="B102" s="1398" t="s">
        <v>915</v>
      </c>
      <c r="C102" s="367">
        <f>26358-16106+390-10642</f>
        <v>0</v>
      </c>
    </row>
    <row r="103" spans="1:8" s="50" customFormat="1" ht="12.75">
      <c r="A103" s="1538" t="s">
        <v>1195</v>
      </c>
      <c r="B103" s="1398" t="s">
        <v>1391</v>
      </c>
      <c r="C103" s="511">
        <f>26358+11577</f>
        <v>37935</v>
      </c>
      <c r="E103" s="1380"/>
      <c r="H103" s="24"/>
    </row>
    <row r="104" spans="1:8" ht="12.75">
      <c r="A104" s="1523" t="s">
        <v>1196</v>
      </c>
      <c r="B104" s="332" t="s">
        <v>1426</v>
      </c>
      <c r="C104" s="511">
        <f>7528+2267</f>
        <v>9795</v>
      </c>
      <c r="H104" s="50"/>
    </row>
    <row r="105" spans="1:8" ht="12.75">
      <c r="A105" s="1538" t="s">
        <v>1236</v>
      </c>
      <c r="B105" s="1398" t="s">
        <v>1434</v>
      </c>
      <c r="C105" s="511">
        <f>4434+2057</f>
        <v>6491</v>
      </c>
      <c r="H105" s="50"/>
    </row>
    <row r="106" spans="1:8" ht="12.75">
      <c r="A106" s="1523" t="s">
        <v>1237</v>
      </c>
      <c r="B106" s="1398" t="s">
        <v>1436</v>
      </c>
      <c r="C106" s="511">
        <f>436+136</f>
        <v>572</v>
      </c>
      <c r="H106" s="50"/>
    </row>
    <row r="107" spans="1:8" ht="12.75">
      <c r="A107" s="1538" t="s">
        <v>1238</v>
      </c>
      <c r="B107" s="1502" t="s">
        <v>1435</v>
      </c>
      <c r="C107" s="511">
        <f>5986+5643</f>
        <v>11629</v>
      </c>
      <c r="H107" s="50"/>
    </row>
    <row r="108" spans="1:8" ht="12.75">
      <c r="A108" s="1523" t="s">
        <v>1239</v>
      </c>
      <c r="B108" s="1502" t="s">
        <v>1438</v>
      </c>
      <c r="C108" s="511">
        <v>2952</v>
      </c>
      <c r="H108" s="50"/>
    </row>
    <row r="109" spans="1:8" ht="12.75">
      <c r="A109" s="1538" t="s">
        <v>1240</v>
      </c>
      <c r="B109" s="1503" t="s">
        <v>1488</v>
      </c>
      <c r="C109" s="511">
        <v>787</v>
      </c>
      <c r="H109" s="50"/>
    </row>
    <row r="110" spans="1:8" ht="12.75">
      <c r="A110" s="1523" t="s">
        <v>1241</v>
      </c>
      <c r="B110" s="1501" t="s">
        <v>1529</v>
      </c>
      <c r="C110" s="511">
        <v>2778</v>
      </c>
      <c r="H110" s="50"/>
    </row>
    <row r="111" spans="1:8" ht="12.75">
      <c r="A111" s="1538" t="s">
        <v>1242</v>
      </c>
      <c r="B111" s="1502" t="s">
        <v>1507</v>
      </c>
      <c r="C111" s="511">
        <v>2940</v>
      </c>
      <c r="H111" s="50"/>
    </row>
    <row r="112" spans="1:8" ht="13.5" thickBot="1">
      <c r="A112" s="1524" t="s">
        <v>1243</v>
      </c>
      <c r="B112" s="1532" t="s">
        <v>1508</v>
      </c>
      <c r="C112" s="1533">
        <v>1921</v>
      </c>
      <c r="H112" s="50"/>
    </row>
    <row r="113" spans="1:8" ht="12.75">
      <c r="A113" s="839"/>
      <c r="B113" s="1380"/>
      <c r="C113" s="41"/>
      <c r="H113" s="50"/>
    </row>
    <row r="114" spans="1:8" ht="12.75">
      <c r="A114" s="1574"/>
      <c r="B114" s="1574"/>
      <c r="C114" s="1574"/>
      <c r="H114" s="50"/>
    </row>
    <row r="115" spans="1:8" ht="12.75">
      <c r="A115" s="1547" t="s">
        <v>1311</v>
      </c>
      <c r="B115" s="1547"/>
      <c r="C115" s="1547"/>
      <c r="H115" s="50"/>
    </row>
    <row r="116" spans="1:8" ht="12.75">
      <c r="A116" s="1575">
        <v>2</v>
      </c>
      <c r="B116" s="1575"/>
      <c r="C116" s="1575"/>
      <c r="H116" s="50"/>
    </row>
    <row r="117" spans="1:8" ht="12.75">
      <c r="A117" s="824"/>
      <c r="B117" s="824"/>
      <c r="C117" s="824"/>
      <c r="H117" s="50"/>
    </row>
    <row r="118" spans="2:8" ht="15.75">
      <c r="B118" s="1573" t="s">
        <v>901</v>
      </c>
      <c r="C118" s="1573"/>
      <c r="H118" s="50"/>
    </row>
    <row r="119" spans="2:8" ht="13.5" thickBot="1">
      <c r="B119" s="242"/>
      <c r="C119" s="242" t="s">
        <v>919</v>
      </c>
      <c r="H119" s="50"/>
    </row>
    <row r="120" spans="1:8" ht="27" thickBot="1">
      <c r="A120" s="1530" t="s">
        <v>1148</v>
      </c>
      <c r="B120" s="1531" t="s">
        <v>139</v>
      </c>
      <c r="C120" s="1187" t="s">
        <v>71</v>
      </c>
      <c r="H120" s="50"/>
    </row>
    <row r="121" spans="1:8" ht="16.5" thickBot="1">
      <c r="A121" s="943" t="s">
        <v>1149</v>
      </c>
      <c r="B121" s="1534" t="s">
        <v>1150</v>
      </c>
      <c r="C121" s="403" t="s">
        <v>1151</v>
      </c>
      <c r="H121" s="50"/>
    </row>
    <row r="122" spans="1:3" ht="13.5" thickBot="1">
      <c r="A122" s="996" t="s">
        <v>1243</v>
      </c>
      <c r="B122" s="1528" t="s">
        <v>917</v>
      </c>
      <c r="C122" s="749">
        <f>C123+C127</f>
        <v>5302</v>
      </c>
    </row>
    <row r="123" spans="1:3" ht="13.5" thickBot="1">
      <c r="A123" s="996" t="s">
        <v>1244</v>
      </c>
      <c r="B123" s="1294" t="s">
        <v>1367</v>
      </c>
      <c r="C123" s="289">
        <f>SUM(C124:C126)</f>
        <v>1008</v>
      </c>
    </row>
    <row r="124" spans="1:3" ht="12.75">
      <c r="A124" s="1540" t="s">
        <v>1245</v>
      </c>
      <c r="B124" s="1129" t="s">
        <v>1356</v>
      </c>
      <c r="C124" s="285">
        <v>120</v>
      </c>
    </row>
    <row r="125" spans="1:3" ht="12.75">
      <c r="A125" s="1540" t="s">
        <v>1246</v>
      </c>
      <c r="B125" s="1127" t="s">
        <v>1357</v>
      </c>
      <c r="C125" s="282">
        <v>188</v>
      </c>
    </row>
    <row r="126" spans="1:3" ht="13.5" thickBot="1">
      <c r="A126" s="1540" t="s">
        <v>1247</v>
      </c>
      <c r="B126" s="1128" t="s">
        <v>1358</v>
      </c>
      <c r="C126" s="287">
        <v>700</v>
      </c>
    </row>
    <row r="127" spans="1:3" ht="13.5" thickBot="1">
      <c r="A127" s="996" t="s">
        <v>1248</v>
      </c>
      <c r="B127" s="1299" t="s">
        <v>918</v>
      </c>
      <c r="C127" s="289">
        <f>SUM(C128:C129)</f>
        <v>4294</v>
      </c>
    </row>
    <row r="128" spans="1:3" ht="12.75">
      <c r="A128" s="1540" t="s">
        <v>1249</v>
      </c>
      <c r="B128" s="1129" t="s">
        <v>920</v>
      </c>
      <c r="C128" s="285">
        <f>1084+1414+1396</f>
        <v>3894</v>
      </c>
    </row>
    <row r="129" spans="1:3" ht="13.5" thickBot="1">
      <c r="A129" s="1541" t="s">
        <v>1250</v>
      </c>
      <c r="B129" s="1128" t="s">
        <v>1029</v>
      </c>
      <c r="C129" s="287">
        <v>400</v>
      </c>
    </row>
    <row r="130" spans="1:3" ht="13.5" thickBot="1">
      <c r="A130" s="996" t="s">
        <v>1251</v>
      </c>
      <c r="B130" s="1535" t="s">
        <v>1552</v>
      </c>
      <c r="C130" s="289">
        <f>SUM(C131)</f>
        <v>12728</v>
      </c>
    </row>
    <row r="131" spans="1:3" ht="13.5" thickBot="1">
      <c r="A131" s="1541" t="s">
        <v>1252</v>
      </c>
      <c r="B131" s="1536" t="s">
        <v>1553</v>
      </c>
      <c r="C131" s="291">
        <v>12728</v>
      </c>
    </row>
    <row r="132" spans="1:3" ht="13.5" thickBot="1">
      <c r="A132" s="996" t="s">
        <v>1253</v>
      </c>
      <c r="B132" s="770" t="s">
        <v>647</v>
      </c>
      <c r="C132" s="289">
        <f>C130+C122+C62</f>
        <v>631970</v>
      </c>
    </row>
    <row r="135" s="26" customFormat="1" ht="12.75">
      <c r="H135"/>
    </row>
    <row r="136" ht="12.75">
      <c r="H136" s="26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</sheetData>
  <sheetProtection/>
  <mergeCells count="14">
    <mergeCell ref="A6:A7"/>
    <mergeCell ref="A25:A26"/>
    <mergeCell ref="A116:C116"/>
    <mergeCell ref="A115:C115"/>
    <mergeCell ref="B118:C118"/>
    <mergeCell ref="A114:C114"/>
    <mergeCell ref="A1:C1"/>
    <mergeCell ref="A57:C57"/>
    <mergeCell ref="A20:E20"/>
    <mergeCell ref="A3:C3"/>
    <mergeCell ref="A22:C22"/>
    <mergeCell ref="B58:C58"/>
    <mergeCell ref="B24:C24"/>
    <mergeCell ref="B5:C5"/>
  </mergeCells>
  <printOptions/>
  <pageMargins left="0.7480314960629921" right="0.7480314960629921" top="0.708661417322834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1">
      <selection activeCell="C50" sqref="C50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13.8515625" style="0" customWidth="1"/>
    <col min="4" max="4" width="14.140625" style="0" customWidth="1"/>
    <col min="5" max="5" width="14.8515625" style="0" customWidth="1"/>
  </cols>
  <sheetData>
    <row r="1" spans="1:5" ht="12.75">
      <c r="A1" s="1547" t="s">
        <v>1312</v>
      </c>
      <c r="B1" s="1547"/>
      <c r="C1" s="1547"/>
      <c r="D1" s="1547"/>
      <c r="E1" s="1547"/>
    </row>
    <row r="2" spans="2:5" ht="15">
      <c r="B2" s="27"/>
      <c r="C2" s="27"/>
      <c r="D2" s="27"/>
      <c r="E2" s="27"/>
    </row>
    <row r="3" spans="2:6" ht="15.75">
      <c r="B3" s="1555" t="s">
        <v>710</v>
      </c>
      <c r="C3" s="1555"/>
      <c r="D3" s="1555"/>
      <c r="E3" s="1555"/>
      <c r="F3" s="30"/>
    </row>
    <row r="4" spans="2:5" ht="15">
      <c r="B4" s="27"/>
      <c r="C4" s="27"/>
      <c r="D4" s="27"/>
      <c r="E4" s="27"/>
    </row>
    <row r="5" spans="2:6" ht="15.75" thickBot="1">
      <c r="B5" s="27"/>
      <c r="C5" s="27"/>
      <c r="D5" s="27"/>
      <c r="E5" s="49" t="s">
        <v>157</v>
      </c>
      <c r="F5" s="49"/>
    </row>
    <row r="6" spans="1:5" ht="13.5" thickBot="1">
      <c r="A6" s="1568" t="s">
        <v>1148</v>
      </c>
      <c r="B6" s="1576" t="s">
        <v>143</v>
      </c>
      <c r="C6" s="1578" t="s">
        <v>144</v>
      </c>
      <c r="D6" s="1578"/>
      <c r="E6" s="1579"/>
    </row>
    <row r="7" spans="1:5" ht="13.5" thickBot="1">
      <c r="A7" s="1569"/>
      <c r="B7" s="1577"/>
      <c r="C7" s="608" t="s">
        <v>145</v>
      </c>
      <c r="D7" s="610" t="s">
        <v>146</v>
      </c>
      <c r="E7" s="615" t="s">
        <v>147</v>
      </c>
    </row>
    <row r="8" spans="1:5" ht="13.5" thickBot="1">
      <c r="A8" s="943" t="s">
        <v>1149</v>
      </c>
      <c r="B8" s="1007" t="s">
        <v>1150</v>
      </c>
      <c r="C8" s="1008" t="s">
        <v>1151</v>
      </c>
      <c r="D8" s="1009" t="s">
        <v>1152</v>
      </c>
      <c r="E8" s="1010" t="s">
        <v>1172</v>
      </c>
    </row>
    <row r="9" spans="1:5" ht="12.75">
      <c r="A9" s="904" t="s">
        <v>1153</v>
      </c>
      <c r="B9" s="1509" t="s">
        <v>1548</v>
      </c>
      <c r="C9" s="1510">
        <v>71</v>
      </c>
      <c r="D9" s="1511"/>
      <c r="E9" s="1512">
        <f>SUM(C9:D9)</f>
        <v>71</v>
      </c>
    </row>
    <row r="10" spans="1:5" ht="15.75" thickBot="1">
      <c r="A10" s="889" t="s">
        <v>1154</v>
      </c>
      <c r="B10" s="617" t="s">
        <v>1551</v>
      </c>
      <c r="C10" s="1407">
        <v>250</v>
      </c>
      <c r="D10" s="1408"/>
      <c r="E10" s="1409">
        <f aca="true" t="shared" si="0" ref="E10:E16">SUM(C10:D10)</f>
        <v>250</v>
      </c>
    </row>
    <row r="11" spans="1:5" ht="15" thickBot="1">
      <c r="A11" s="841" t="s">
        <v>1155</v>
      </c>
      <c r="B11" s="618" t="s">
        <v>148</v>
      </c>
      <c r="C11" s="1410">
        <f>SUM(C9:C10)</f>
        <v>321</v>
      </c>
      <c r="D11" s="1411"/>
      <c r="E11" s="1412">
        <f t="shared" si="0"/>
        <v>321</v>
      </c>
    </row>
    <row r="12" spans="1:5" ht="15">
      <c r="A12" s="904" t="s">
        <v>1156</v>
      </c>
      <c r="B12" s="1406" t="s">
        <v>149</v>
      </c>
      <c r="C12" s="1407">
        <v>0</v>
      </c>
      <c r="D12" s="844">
        <f>1159+247</f>
        <v>1406</v>
      </c>
      <c r="E12" s="1413">
        <f t="shared" si="0"/>
        <v>1406</v>
      </c>
    </row>
    <row r="13" spans="1:5" ht="15">
      <c r="A13" s="883" t="s">
        <v>1157</v>
      </c>
      <c r="B13" s="617" t="s">
        <v>1450</v>
      </c>
      <c r="C13" s="1414"/>
      <c r="D13" s="844">
        <f>333+45720+770+9775</f>
        <v>56598</v>
      </c>
      <c r="E13" s="1470">
        <f t="shared" si="0"/>
        <v>56598</v>
      </c>
    </row>
    <row r="14" spans="1:5" ht="15">
      <c r="A14" s="883" t="s">
        <v>1158</v>
      </c>
      <c r="B14" s="245" t="s">
        <v>1451</v>
      </c>
      <c r="C14" s="1414"/>
      <c r="D14" s="844">
        <f>1104-221</f>
        <v>883</v>
      </c>
      <c r="E14" s="1470">
        <f t="shared" si="0"/>
        <v>883</v>
      </c>
    </row>
    <row r="15" spans="1:5" ht="15">
      <c r="A15" s="889" t="s">
        <v>1159</v>
      </c>
      <c r="B15" s="542" t="s">
        <v>1546</v>
      </c>
      <c r="C15" s="1415"/>
      <c r="D15" s="844">
        <v>320</v>
      </c>
      <c r="E15" s="1470">
        <f t="shared" si="0"/>
        <v>320</v>
      </c>
    </row>
    <row r="16" spans="1:5" ht="15.75" thickBot="1">
      <c r="A16" s="889" t="s">
        <v>1160</v>
      </c>
      <c r="B16" s="542" t="s">
        <v>1424</v>
      </c>
      <c r="C16" s="1415"/>
      <c r="D16" s="844">
        <f>276464+126+47197</f>
        <v>323787</v>
      </c>
      <c r="E16" s="1470">
        <f t="shared" si="0"/>
        <v>323787</v>
      </c>
    </row>
    <row r="17" spans="1:5" ht="15" thickBot="1">
      <c r="A17" s="841" t="s">
        <v>1161</v>
      </c>
      <c r="B17" s="250" t="s">
        <v>150</v>
      </c>
      <c r="C17" s="1416">
        <f>SUM(C12:C16)</f>
        <v>0</v>
      </c>
      <c r="D17" s="1416">
        <f>SUM(D12:D16)</f>
        <v>382994</v>
      </c>
      <c r="E17" s="1417">
        <f>SUM(E12:E16)</f>
        <v>382994</v>
      </c>
    </row>
    <row r="18" spans="1:5" ht="15" thickBot="1">
      <c r="A18" s="1006" t="s">
        <v>1162</v>
      </c>
      <c r="B18" s="619" t="s">
        <v>711</v>
      </c>
      <c r="C18" s="1418">
        <f>SUM(C11:C16)</f>
        <v>321</v>
      </c>
      <c r="D18" s="1419">
        <f>SUM(D11:D16)</f>
        <v>382994</v>
      </c>
      <c r="E18" s="1420">
        <f>SUM(E11:E16)</f>
        <v>383315</v>
      </c>
    </row>
    <row r="19" spans="2:5" ht="15">
      <c r="B19" s="27"/>
      <c r="C19" s="27"/>
      <c r="D19" s="27"/>
      <c r="E19" s="27"/>
    </row>
    <row r="20" spans="2:5" ht="15">
      <c r="B20" s="27"/>
      <c r="C20" s="27"/>
      <c r="D20" s="27"/>
      <c r="E20" s="27"/>
    </row>
    <row r="21" spans="1:5" ht="12.75">
      <c r="A21" s="1547" t="s">
        <v>1313</v>
      </c>
      <c r="B21" s="1547"/>
      <c r="C21" s="1547"/>
      <c r="D21" s="1547"/>
      <c r="E21" s="1547"/>
    </row>
    <row r="22" spans="2:5" ht="15">
      <c r="B22" s="27"/>
      <c r="C22" s="27"/>
      <c r="D22" s="27"/>
      <c r="E22" s="27"/>
    </row>
    <row r="23" spans="2:5" ht="15.75">
      <c r="B23" s="1555" t="s">
        <v>712</v>
      </c>
      <c r="C23" s="1562"/>
      <c r="D23" s="1562"/>
      <c r="E23" s="1562"/>
    </row>
    <row r="24" spans="2:5" ht="14.25">
      <c r="B24" s="1582" t="s">
        <v>151</v>
      </c>
      <c r="C24" s="1582"/>
      <c r="D24" s="1582"/>
      <c r="E24" s="1582"/>
    </row>
    <row r="25" spans="2:5" ht="14.25">
      <c r="B25" s="609"/>
      <c r="C25" s="609"/>
      <c r="D25" s="609"/>
      <c r="E25" s="609"/>
    </row>
    <row r="26" spans="2:5" ht="15.75" thickBot="1">
      <c r="B26" s="27"/>
      <c r="C26" s="27"/>
      <c r="D26" s="27"/>
      <c r="E26" s="49" t="s">
        <v>157</v>
      </c>
    </row>
    <row r="27" spans="1:5" ht="13.5" thickBot="1">
      <c r="A27" s="1568" t="s">
        <v>1148</v>
      </c>
      <c r="B27" s="1584" t="s">
        <v>127</v>
      </c>
      <c r="C27" s="1583" t="s">
        <v>144</v>
      </c>
      <c r="D27" s="1578"/>
      <c r="E27" s="1579"/>
    </row>
    <row r="28" spans="1:5" ht="13.5" thickBot="1">
      <c r="A28" s="1569"/>
      <c r="B28" s="1585"/>
      <c r="C28" s="1011" t="s">
        <v>145</v>
      </c>
      <c r="D28" s="610" t="s">
        <v>146</v>
      </c>
      <c r="E28" s="615" t="s">
        <v>147</v>
      </c>
    </row>
    <row r="29" spans="1:5" ht="13.5" thickBot="1">
      <c r="A29" s="943" t="s">
        <v>1149</v>
      </c>
      <c r="B29" s="1007" t="s">
        <v>1150</v>
      </c>
      <c r="C29" s="1008" t="s">
        <v>1151</v>
      </c>
      <c r="D29" s="1009" t="s">
        <v>1152</v>
      </c>
      <c r="E29" s="1027" t="s">
        <v>1172</v>
      </c>
    </row>
    <row r="30" spans="1:5" ht="26.25">
      <c r="A30" s="904" t="s">
        <v>1153</v>
      </c>
      <c r="B30" s="1012" t="s">
        <v>152</v>
      </c>
      <c r="C30" s="1013">
        <v>0</v>
      </c>
      <c r="D30" s="1014">
        <f>198241+1</f>
        <v>198242</v>
      </c>
      <c r="E30" s="1015">
        <f>SUM(C30:D30)</f>
        <v>198242</v>
      </c>
    </row>
    <row r="31" spans="1:5" ht="15">
      <c r="A31" s="883" t="s">
        <v>1154</v>
      </c>
      <c r="B31" s="230" t="s">
        <v>153</v>
      </c>
      <c r="C31" s="611">
        <v>0</v>
      </c>
      <c r="D31" s="844">
        <v>3989</v>
      </c>
      <c r="E31" s="845">
        <f>SUM(C31:D31)</f>
        <v>3989</v>
      </c>
    </row>
    <row r="32" spans="1:5" ht="15.75" thickBot="1">
      <c r="A32" s="889" t="s">
        <v>1155</v>
      </c>
      <c r="B32" s="233" t="s">
        <v>154</v>
      </c>
      <c r="C32" s="612">
        <v>0</v>
      </c>
      <c r="D32" s="846">
        <v>0</v>
      </c>
      <c r="E32" s="847">
        <f>SUM(C32:D32)</f>
        <v>0</v>
      </c>
    </row>
    <row r="33" spans="1:5" ht="24.75" thickBot="1">
      <c r="A33" s="841" t="s">
        <v>1156</v>
      </c>
      <c r="B33" s="613" t="s">
        <v>713</v>
      </c>
      <c r="C33" s="851">
        <f>SUM(C30:C32)</f>
        <v>0</v>
      </c>
      <c r="D33" s="852">
        <f>SUM(D30:D32)</f>
        <v>202231</v>
      </c>
      <c r="E33" s="853">
        <f>SUM(E30:E32)</f>
        <v>202231</v>
      </c>
    </row>
    <row r="34" spans="2:5" ht="15">
      <c r="B34" s="27"/>
      <c r="C34" s="27"/>
      <c r="D34" s="27"/>
      <c r="E34" s="27"/>
    </row>
    <row r="35" spans="2:5" ht="15">
      <c r="B35" s="27"/>
      <c r="C35" s="27"/>
      <c r="D35" s="27"/>
      <c r="E35" s="27"/>
    </row>
    <row r="36" spans="1:5" ht="12.75">
      <c r="A36" s="1547" t="s">
        <v>1314</v>
      </c>
      <c r="B36" s="1547"/>
      <c r="C36" s="1547"/>
      <c r="D36" s="1547"/>
      <c r="E36" s="1547"/>
    </row>
    <row r="37" spans="2:5" ht="15">
      <c r="B37" s="27"/>
      <c r="C37" s="27"/>
      <c r="D37" s="27"/>
      <c r="E37" s="27"/>
    </row>
    <row r="38" spans="2:5" ht="15.75">
      <c r="B38" s="1573" t="s">
        <v>714</v>
      </c>
      <c r="C38" s="1573"/>
      <c r="D38" s="1573"/>
      <c r="E38" s="1573"/>
    </row>
    <row r="39" spans="2:5" ht="15">
      <c r="B39" s="27"/>
      <c r="C39" s="27"/>
      <c r="D39" s="27"/>
      <c r="E39" s="27"/>
    </row>
    <row r="40" spans="2:5" ht="15.75" thickBot="1">
      <c r="B40" s="27"/>
      <c r="C40" s="27"/>
      <c r="D40" s="27"/>
      <c r="E40" s="49" t="s">
        <v>157</v>
      </c>
    </row>
    <row r="41" spans="1:5" ht="13.5" thickBot="1">
      <c r="A41" s="1568" t="s">
        <v>1148</v>
      </c>
      <c r="B41" s="1580" t="s">
        <v>127</v>
      </c>
      <c r="C41" s="1578" t="s">
        <v>144</v>
      </c>
      <c r="D41" s="1578"/>
      <c r="E41" s="1579"/>
    </row>
    <row r="42" spans="1:5" ht="13.5" thickBot="1">
      <c r="A42" s="1569"/>
      <c r="B42" s="1581"/>
      <c r="C42" s="1017" t="s">
        <v>145</v>
      </c>
      <c r="D42" s="1018" t="s">
        <v>146</v>
      </c>
      <c r="E42" s="1019" t="s">
        <v>147</v>
      </c>
    </row>
    <row r="43" spans="1:5" ht="13.5" thickBot="1">
      <c r="A43" s="943" t="s">
        <v>1149</v>
      </c>
      <c r="B43" s="1007" t="s">
        <v>1150</v>
      </c>
      <c r="C43" s="1008" t="s">
        <v>1151</v>
      </c>
      <c r="D43" s="1009" t="s">
        <v>1152</v>
      </c>
      <c r="E43" s="1027" t="s">
        <v>1172</v>
      </c>
    </row>
    <row r="44" spans="1:5" ht="15.75">
      <c r="A44" s="904" t="s">
        <v>1153</v>
      </c>
      <c r="B44" s="1020" t="s">
        <v>155</v>
      </c>
      <c r="C44" s="1021"/>
      <c r="D44" s="1021"/>
      <c r="E44" s="1022">
        <f>SUM(C44:D44)</f>
        <v>0</v>
      </c>
    </row>
    <row r="45" spans="1:5" ht="16.5" thickBot="1">
      <c r="A45" s="889" t="s">
        <v>1154</v>
      </c>
      <c r="B45" s="616" t="s">
        <v>156</v>
      </c>
      <c r="C45" s="848"/>
      <c r="D45" s="848">
        <f>130000+49107+16776</f>
        <v>195883</v>
      </c>
      <c r="E45" s="849">
        <f>SUM(C45:D45)</f>
        <v>195883</v>
      </c>
    </row>
    <row r="46" spans="1:5" ht="15" thickBot="1">
      <c r="A46" s="841" t="s">
        <v>1155</v>
      </c>
      <c r="B46" s="614" t="s">
        <v>715</v>
      </c>
      <c r="C46" s="850"/>
      <c r="D46" s="850">
        <f>SUM(D44:D45)</f>
        <v>195883</v>
      </c>
      <c r="E46" s="854">
        <f>SUM(E44:E45)</f>
        <v>195883</v>
      </c>
    </row>
    <row r="47" spans="2:5" ht="15">
      <c r="B47" s="27"/>
      <c r="C47" s="27"/>
      <c r="D47" s="27"/>
      <c r="E47" s="27"/>
    </row>
    <row r="48" spans="2:5" ht="15">
      <c r="B48" s="27"/>
      <c r="C48" s="27"/>
      <c r="D48" s="27"/>
      <c r="E48" s="27"/>
    </row>
    <row r="49" spans="2:5" ht="15">
      <c r="B49" s="27"/>
      <c r="C49" s="27"/>
      <c r="D49" s="27"/>
      <c r="E49" s="27"/>
    </row>
    <row r="50" spans="2:5" ht="15">
      <c r="B50" s="27"/>
      <c r="C50" s="27"/>
      <c r="D50" s="27"/>
      <c r="E50" s="27"/>
    </row>
    <row r="51" spans="2:5" ht="15">
      <c r="B51" s="27"/>
      <c r="C51" s="27"/>
      <c r="D51" s="27"/>
      <c r="E51" s="27"/>
    </row>
    <row r="52" spans="2:5" ht="15">
      <c r="B52" s="27"/>
      <c r="C52" s="27"/>
      <c r="D52" s="27"/>
      <c r="E52" s="27"/>
    </row>
    <row r="53" spans="2:5" ht="12.75">
      <c r="B53" s="1"/>
      <c r="C53" s="1"/>
      <c r="D53" s="1"/>
      <c r="E53" s="1"/>
    </row>
    <row r="61" ht="16.5" customHeight="1"/>
    <row r="62" ht="16.5" customHeight="1"/>
    <row r="63" ht="16.5" customHeight="1"/>
  </sheetData>
  <sheetProtection/>
  <mergeCells count="16">
    <mergeCell ref="B41:B42"/>
    <mergeCell ref="C41:E41"/>
    <mergeCell ref="B23:E23"/>
    <mergeCell ref="B24:E24"/>
    <mergeCell ref="C27:E27"/>
    <mergeCell ref="B27:B28"/>
    <mergeCell ref="A41:A42"/>
    <mergeCell ref="A27:A28"/>
    <mergeCell ref="A6:A7"/>
    <mergeCell ref="A1:E1"/>
    <mergeCell ref="A21:E21"/>
    <mergeCell ref="A36:E36"/>
    <mergeCell ref="B6:B7"/>
    <mergeCell ref="C6:E6"/>
    <mergeCell ref="B3:E3"/>
    <mergeCell ref="B38:E3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9.421875" style="0" customWidth="1"/>
  </cols>
  <sheetData>
    <row r="2" spans="1:5" ht="12.75">
      <c r="A2" s="1547" t="s">
        <v>1315</v>
      </c>
      <c r="B2" s="1547"/>
      <c r="C2" s="1547"/>
      <c r="D2" s="1547"/>
      <c r="E2" s="1547"/>
    </row>
    <row r="3" spans="2:3" ht="15.75">
      <c r="B3" s="178"/>
      <c r="C3" s="1"/>
    </row>
    <row r="4" spans="2:3" ht="15.75">
      <c r="B4" s="1555" t="s">
        <v>716</v>
      </c>
      <c r="C4" s="1555"/>
    </row>
    <row r="5" spans="2:3" ht="15.75">
      <c r="B5" s="53"/>
      <c r="C5" s="177"/>
    </row>
    <row r="6" spans="2:3" ht="13.5" thickBot="1">
      <c r="B6" s="1567" t="s">
        <v>86</v>
      </c>
      <c r="C6" s="1567"/>
    </row>
    <row r="7" spans="1:3" ht="15.75">
      <c r="A7" s="1568" t="s">
        <v>1148</v>
      </c>
      <c r="B7" s="226" t="s">
        <v>139</v>
      </c>
      <c r="C7" s="601" t="s">
        <v>88</v>
      </c>
    </row>
    <row r="8" spans="1:3" ht="13.5" thickBot="1">
      <c r="A8" s="1569"/>
      <c r="B8" s="375"/>
      <c r="C8" s="602" t="s">
        <v>21</v>
      </c>
    </row>
    <row r="9" spans="1:3" ht="13.5" thickBot="1">
      <c r="A9" s="943" t="s">
        <v>1149</v>
      </c>
      <c r="B9" s="1007" t="s">
        <v>1150</v>
      </c>
      <c r="C9" s="1023" t="s">
        <v>1151</v>
      </c>
    </row>
    <row r="10" spans="1:3" ht="12.75">
      <c r="A10" s="904" t="s">
        <v>1153</v>
      </c>
      <c r="B10" s="245" t="s">
        <v>717</v>
      </c>
      <c r="C10" s="603"/>
    </row>
    <row r="11" spans="1:3" ht="12.75">
      <c r="A11" s="883" t="s">
        <v>1154</v>
      </c>
      <c r="B11" s="1365" t="s">
        <v>1413</v>
      </c>
      <c r="C11" s="604">
        <f>23317</f>
        <v>23317</v>
      </c>
    </row>
    <row r="12" spans="1:3" ht="12.75">
      <c r="A12" s="889" t="s">
        <v>1155</v>
      </c>
      <c r="B12" s="245" t="s">
        <v>1479</v>
      </c>
      <c r="C12" s="604">
        <f>6300+14700</f>
        <v>21000</v>
      </c>
    </row>
    <row r="13" spans="1:3" ht="12.75">
      <c r="A13" s="889" t="s">
        <v>1156</v>
      </c>
      <c r="B13" s="1365" t="s">
        <v>1486</v>
      </c>
      <c r="C13" s="604">
        <v>71</v>
      </c>
    </row>
    <row r="14" spans="1:3" ht="12.75">
      <c r="A14" s="889" t="s">
        <v>1157</v>
      </c>
      <c r="B14" s="245"/>
      <c r="C14" s="604"/>
    </row>
    <row r="15" spans="1:3" ht="12.75">
      <c r="A15" s="889" t="s">
        <v>1158</v>
      </c>
      <c r="B15" s="213"/>
      <c r="C15" s="604"/>
    </row>
    <row r="16" spans="1:3" ht="13.5" thickBot="1">
      <c r="A16" s="889" t="s">
        <v>1159</v>
      </c>
      <c r="B16" s="247"/>
      <c r="C16" s="605"/>
    </row>
    <row r="17" spans="1:3" ht="13.5" thickBot="1">
      <c r="A17" s="841" t="s">
        <v>1160</v>
      </c>
      <c r="B17" s="376" t="s">
        <v>718</v>
      </c>
      <c r="C17" s="1284">
        <f>SUM(C11:C16)</f>
        <v>44388</v>
      </c>
    </row>
    <row r="21" spans="1:5" ht="12.75">
      <c r="A21" s="1547" t="s">
        <v>1316</v>
      </c>
      <c r="B21" s="1547"/>
      <c r="C21" s="1547"/>
      <c r="D21" s="1547"/>
      <c r="E21" s="1547"/>
    </row>
    <row r="22" spans="2:3" ht="15.75">
      <c r="B22" s="178"/>
      <c r="C22" s="1"/>
    </row>
    <row r="23" spans="2:3" ht="15.75">
      <c r="B23" s="1555" t="s">
        <v>719</v>
      </c>
      <c r="C23" s="1555"/>
    </row>
    <row r="24" spans="2:3" ht="15.75">
      <c r="B24" s="53"/>
      <c r="C24" s="177"/>
    </row>
    <row r="25" spans="2:3" ht="13.5" thickBot="1">
      <c r="B25" s="1567" t="s">
        <v>86</v>
      </c>
      <c r="C25" s="1567"/>
    </row>
    <row r="26" spans="1:3" ht="15.75">
      <c r="A26" s="1568" t="s">
        <v>1148</v>
      </c>
      <c r="B26" s="226" t="s">
        <v>139</v>
      </c>
      <c r="C26" s="601" t="s">
        <v>88</v>
      </c>
    </row>
    <row r="27" spans="1:3" ht="13.5" thickBot="1">
      <c r="A27" s="1569"/>
      <c r="B27" s="375"/>
      <c r="C27" s="602" t="s">
        <v>21</v>
      </c>
    </row>
    <row r="28" spans="1:3" ht="13.5" thickBot="1">
      <c r="A28" s="943" t="s">
        <v>1149</v>
      </c>
      <c r="B28" s="1007" t="s">
        <v>1150</v>
      </c>
      <c r="C28" s="1023" t="s">
        <v>1151</v>
      </c>
    </row>
    <row r="29" spans="1:3" ht="12.75">
      <c r="A29" s="904" t="s">
        <v>1153</v>
      </c>
      <c r="B29" s="245" t="s">
        <v>721</v>
      </c>
      <c r="C29" s="603"/>
    </row>
    <row r="30" spans="1:3" ht="12.75">
      <c r="A30" s="883" t="s">
        <v>1154</v>
      </c>
      <c r="B30" s="305" t="s">
        <v>725</v>
      </c>
      <c r="C30" s="604"/>
    </row>
    <row r="31" spans="1:3" ht="12.75">
      <c r="A31" s="889" t="s">
        <v>1155</v>
      </c>
      <c r="B31" s="620" t="s">
        <v>722</v>
      </c>
      <c r="C31" s="604"/>
    </row>
    <row r="32" spans="1:3" ht="12.75">
      <c r="A32" s="889" t="s">
        <v>1156</v>
      </c>
      <c r="B32" s="620" t="s">
        <v>723</v>
      </c>
      <c r="C32" s="604"/>
    </row>
    <row r="33" spans="1:3" ht="12.75">
      <c r="A33" s="889" t="s">
        <v>1157</v>
      </c>
      <c r="B33" s="621" t="s">
        <v>724</v>
      </c>
      <c r="C33" s="604"/>
    </row>
    <row r="34" spans="1:3" ht="13.5" thickBot="1">
      <c r="A34" s="889" t="s">
        <v>1158</v>
      </c>
      <c r="B34" s="247"/>
      <c r="C34" s="605"/>
    </row>
    <row r="35" spans="1:3" ht="13.5" thickBot="1">
      <c r="A35" s="841" t="s">
        <v>1159</v>
      </c>
      <c r="B35" s="376" t="s">
        <v>720</v>
      </c>
      <c r="C35" s="1004"/>
    </row>
  </sheetData>
  <sheetProtection/>
  <mergeCells count="8">
    <mergeCell ref="A7:A8"/>
    <mergeCell ref="A26:A27"/>
    <mergeCell ref="A2:E2"/>
    <mergeCell ref="A21:E21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2"/>
  <sheetViews>
    <sheetView zoomScalePageLayoutView="0" workbookViewId="0" topLeftCell="A36">
      <selection activeCell="F44" sqref="F44"/>
    </sheetView>
  </sheetViews>
  <sheetFormatPr defaultColWidth="9.140625" defaultRowHeight="12.75"/>
  <cols>
    <col min="1" max="1" width="5.421875" style="0" customWidth="1"/>
    <col min="2" max="2" width="41.42187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547" t="s">
        <v>1317</v>
      </c>
      <c r="B1" s="1547"/>
      <c r="C1" s="1547"/>
      <c r="D1" s="1547"/>
      <c r="E1" s="1547"/>
      <c r="F1" s="49"/>
    </row>
    <row r="3" spans="2:6" ht="15.75">
      <c r="B3" s="1555" t="s">
        <v>726</v>
      </c>
      <c r="C3" s="1555"/>
      <c r="D3" s="1555"/>
      <c r="E3" s="1555"/>
      <c r="F3" s="1"/>
    </row>
    <row r="4" spans="2:6" ht="15.75">
      <c r="B4" s="53"/>
      <c r="C4" s="53"/>
      <c r="D4" s="53"/>
      <c r="E4" s="53"/>
      <c r="F4" s="1"/>
    </row>
    <row r="5" spans="2:6" ht="13.5" thickBot="1">
      <c r="B5" s="242"/>
      <c r="C5" s="242"/>
      <c r="D5" s="242"/>
      <c r="E5" s="242" t="s">
        <v>140</v>
      </c>
      <c r="F5" s="1"/>
    </row>
    <row r="6" spans="1:6" ht="15.75">
      <c r="A6" s="1568" t="s">
        <v>1148</v>
      </c>
      <c r="B6" s="1024" t="s">
        <v>139</v>
      </c>
      <c r="C6" s="564" t="s">
        <v>141</v>
      </c>
      <c r="D6" s="1025" t="s">
        <v>142</v>
      </c>
      <c r="E6" s="965" t="s">
        <v>88</v>
      </c>
      <c r="F6" s="1"/>
    </row>
    <row r="7" spans="1:6" ht="13.5" thickBot="1">
      <c r="A7" s="1569"/>
      <c r="B7" s="223"/>
      <c r="C7" s="599" t="s">
        <v>21</v>
      </c>
      <c r="D7" s="56" t="s">
        <v>21</v>
      </c>
      <c r="E7" s="1026" t="s">
        <v>21</v>
      </c>
      <c r="F7" s="1"/>
    </row>
    <row r="8" spans="1:6" ht="13.5" thickBot="1">
      <c r="A8" s="943" t="s">
        <v>1149</v>
      </c>
      <c r="B8" s="1007" t="s">
        <v>1150</v>
      </c>
      <c r="C8" s="1008" t="s">
        <v>1151</v>
      </c>
      <c r="D8" s="1009" t="s">
        <v>1152</v>
      </c>
      <c r="E8" s="1027" t="s">
        <v>1172</v>
      </c>
      <c r="F8" s="1"/>
    </row>
    <row r="9" spans="1:6" ht="12.75">
      <c r="A9" s="904" t="s">
        <v>1153</v>
      </c>
      <c r="B9" s="1479"/>
      <c r="C9" s="667"/>
      <c r="D9" s="667"/>
      <c r="E9" s="1476"/>
      <c r="F9" s="1"/>
    </row>
    <row r="10" spans="1:6" ht="13.5" thickBot="1">
      <c r="A10" s="889" t="s">
        <v>1154</v>
      </c>
      <c r="B10" s="1031"/>
      <c r="C10" s="1478"/>
      <c r="D10" s="1478"/>
      <c r="E10" s="1477"/>
      <c r="F10" s="1"/>
    </row>
    <row r="11" spans="1:6" ht="13.5" thickBot="1">
      <c r="A11" s="841" t="s">
        <v>1155</v>
      </c>
      <c r="B11" s="803" t="s">
        <v>37</v>
      </c>
      <c r="C11" s="472"/>
      <c r="D11" s="183"/>
      <c r="E11" s="184"/>
      <c r="F11" s="1"/>
    </row>
    <row r="12" spans="1:6" ht="13.5" thickBot="1">
      <c r="A12" s="841" t="s">
        <v>1156</v>
      </c>
      <c r="B12" s="48" t="s">
        <v>1225</v>
      </c>
      <c r="C12" s="39"/>
      <c r="D12" s="458"/>
      <c r="E12" s="214"/>
      <c r="F12" s="1"/>
    </row>
    <row r="13" spans="1:6" ht="12.75">
      <c r="A13" s="944" t="s">
        <v>1157</v>
      </c>
      <c r="B13" s="359" t="s">
        <v>899</v>
      </c>
      <c r="C13" s="856"/>
      <c r="D13" s="857">
        <f>7000-6232-214</f>
        <v>554</v>
      </c>
      <c r="E13" s="1424">
        <f>SUM(C13:D13)</f>
        <v>554</v>
      </c>
      <c r="F13" s="1"/>
    </row>
    <row r="14" spans="1:6" ht="12.75">
      <c r="A14" s="889" t="s">
        <v>1158</v>
      </c>
      <c r="B14" s="230" t="s">
        <v>900</v>
      </c>
      <c r="C14" s="35"/>
      <c r="D14" s="461">
        <f>7000+6043+2350</f>
        <v>15393</v>
      </c>
      <c r="E14" s="506">
        <f>SUM(C14:D14)</f>
        <v>15393</v>
      </c>
      <c r="F14" s="1"/>
    </row>
    <row r="15" spans="1:6" ht="12.75">
      <c r="A15" s="889" t="s">
        <v>1159</v>
      </c>
      <c r="B15" s="305" t="s">
        <v>1226</v>
      </c>
      <c r="C15" s="35"/>
      <c r="D15" s="461">
        <f>SUM(D13:D14)</f>
        <v>15947</v>
      </c>
      <c r="E15" s="506">
        <f>SUM(E13:E14)</f>
        <v>15947</v>
      </c>
      <c r="F15" s="1"/>
    </row>
    <row r="16" spans="1:6" ht="12.75">
      <c r="A16" s="889" t="s">
        <v>1160</v>
      </c>
      <c r="B16" s="620"/>
      <c r="C16" s="35"/>
      <c r="D16" s="461"/>
      <c r="E16" s="506"/>
      <c r="F16" s="1"/>
    </row>
    <row r="17" spans="1:6" ht="12.75">
      <c r="A17" s="889" t="s">
        <v>1161</v>
      </c>
      <c r="B17" s="247" t="s">
        <v>158</v>
      </c>
      <c r="C17" s="35"/>
      <c r="D17" s="461"/>
      <c r="E17" s="506"/>
      <c r="F17" s="1"/>
    </row>
    <row r="18" spans="1:6" ht="12.75">
      <c r="A18" s="889" t="s">
        <v>1162</v>
      </c>
      <c r="B18" s="245" t="s">
        <v>1214</v>
      </c>
      <c r="C18" s="12"/>
      <c r="D18" s="44"/>
      <c r="E18" s="367">
        <f aca="true" t="shared" si="0" ref="E18:E34">SUM(C18:D18)</f>
        <v>0</v>
      </c>
      <c r="F18" s="1"/>
    </row>
    <row r="19" spans="1:6" ht="12.75">
      <c r="A19" s="889" t="s">
        <v>1163</v>
      </c>
      <c r="B19" s="772" t="s">
        <v>1216</v>
      </c>
      <c r="C19" s="12"/>
      <c r="D19" s="44">
        <v>808</v>
      </c>
      <c r="E19" s="367">
        <f t="shared" si="0"/>
        <v>808</v>
      </c>
      <c r="F19" s="1"/>
    </row>
    <row r="20" spans="1:6" ht="12.75">
      <c r="A20" s="889" t="s">
        <v>1164</v>
      </c>
      <c r="B20" s="855" t="s">
        <v>1215</v>
      </c>
      <c r="C20" s="18"/>
      <c r="D20" s="463">
        <f>71-71</f>
        <v>0</v>
      </c>
      <c r="E20" s="511">
        <f t="shared" si="0"/>
        <v>0</v>
      </c>
      <c r="F20" s="1"/>
    </row>
    <row r="21" spans="1:6" ht="12.75">
      <c r="A21" s="889" t="s">
        <v>1165</v>
      </c>
      <c r="B21" s="772" t="s">
        <v>1217</v>
      </c>
      <c r="C21" s="354"/>
      <c r="D21" s="600">
        <v>1611872</v>
      </c>
      <c r="E21" s="511">
        <f t="shared" si="0"/>
        <v>1611872</v>
      </c>
      <c r="F21" s="1"/>
    </row>
    <row r="22" spans="1:6" ht="12.75">
      <c r="A22" s="889" t="s">
        <v>1166</v>
      </c>
      <c r="B22" s="858" t="s">
        <v>1218</v>
      </c>
      <c r="C22" s="354"/>
      <c r="D22" s="600">
        <f>528696+272990</f>
        <v>801686</v>
      </c>
      <c r="E22" s="511">
        <f t="shared" si="0"/>
        <v>801686</v>
      </c>
      <c r="F22" s="1"/>
    </row>
    <row r="23" spans="1:6" ht="12.75">
      <c r="A23" s="889" t="s">
        <v>1167</v>
      </c>
      <c r="B23" s="858" t="s">
        <v>1220</v>
      </c>
      <c r="C23" s="354"/>
      <c r="D23" s="600">
        <f>373315+18000</f>
        <v>391315</v>
      </c>
      <c r="E23" s="511">
        <f t="shared" si="0"/>
        <v>391315</v>
      </c>
      <c r="F23" s="1"/>
    </row>
    <row r="24" spans="1:6" ht="12.75">
      <c r="A24" s="889" t="s">
        <v>1168</v>
      </c>
      <c r="B24" s="858" t="s">
        <v>1219</v>
      </c>
      <c r="C24" s="354"/>
      <c r="D24" s="600">
        <v>90605</v>
      </c>
      <c r="E24" s="511">
        <f t="shared" si="0"/>
        <v>90605</v>
      </c>
      <c r="F24" s="1"/>
    </row>
    <row r="25" spans="1:6" ht="12.75">
      <c r="A25" s="889" t="s">
        <v>1169</v>
      </c>
      <c r="B25" s="858" t="s">
        <v>1221</v>
      </c>
      <c r="C25" s="354"/>
      <c r="D25" s="600">
        <v>80000</v>
      </c>
      <c r="E25" s="511">
        <f t="shared" si="0"/>
        <v>80000</v>
      </c>
      <c r="F25" s="1"/>
    </row>
    <row r="26" spans="1:6" ht="12.75">
      <c r="A26" s="889" t="s">
        <v>1170</v>
      </c>
      <c r="B26" s="858" t="s">
        <v>1222</v>
      </c>
      <c r="C26" s="354"/>
      <c r="D26" s="600">
        <f>70688</f>
        <v>70688</v>
      </c>
      <c r="E26" s="511">
        <f t="shared" si="0"/>
        <v>70688</v>
      </c>
      <c r="F26" s="1"/>
    </row>
    <row r="27" spans="1:6" ht="12.75">
      <c r="A27" s="889" t="s">
        <v>1171</v>
      </c>
      <c r="B27" s="858" t="s">
        <v>1223</v>
      </c>
      <c r="C27" s="354"/>
      <c r="D27" s="600">
        <v>40346</v>
      </c>
      <c r="E27" s="511">
        <f t="shared" si="0"/>
        <v>40346</v>
      </c>
      <c r="F27" s="1"/>
    </row>
    <row r="28" spans="1:6" ht="12.75">
      <c r="A28" s="889" t="s">
        <v>1173</v>
      </c>
      <c r="B28" s="861" t="s">
        <v>1224</v>
      </c>
      <c r="C28" s="354"/>
      <c r="D28" s="600">
        <v>482530</v>
      </c>
      <c r="E28" s="511">
        <f t="shared" si="0"/>
        <v>482530</v>
      </c>
      <c r="F28" s="1"/>
    </row>
    <row r="29" spans="1:6" ht="12.75">
      <c r="A29" s="889" t="s">
        <v>1174</v>
      </c>
      <c r="B29" s="1300" t="s">
        <v>1379</v>
      </c>
      <c r="C29" s="354"/>
      <c r="D29" s="600">
        <v>64978</v>
      </c>
      <c r="E29" s="511">
        <f t="shared" si="0"/>
        <v>64978</v>
      </c>
      <c r="F29" s="1"/>
    </row>
    <row r="30" spans="1:6" ht="12.75">
      <c r="A30" s="889" t="s">
        <v>1175</v>
      </c>
      <c r="B30" s="1300" t="s">
        <v>1387</v>
      </c>
      <c r="C30" s="354"/>
      <c r="D30" s="600">
        <v>3985</v>
      </c>
      <c r="E30" s="511">
        <f t="shared" si="0"/>
        <v>3985</v>
      </c>
      <c r="F30" s="1"/>
    </row>
    <row r="31" spans="1:6" ht="12.75">
      <c r="A31" s="889" t="s">
        <v>1176</v>
      </c>
      <c r="B31" s="1376" t="s">
        <v>1421</v>
      </c>
      <c r="C31" s="354"/>
      <c r="D31" s="600">
        <v>17807</v>
      </c>
      <c r="E31" s="511">
        <f t="shared" si="0"/>
        <v>17807</v>
      </c>
      <c r="F31" s="1"/>
    </row>
    <row r="32" spans="1:6" ht="12.75">
      <c r="A32" s="889" t="s">
        <v>1177</v>
      </c>
      <c r="B32" s="1421" t="s">
        <v>1452</v>
      </c>
      <c r="C32" s="354"/>
      <c r="D32" s="600">
        <v>4798</v>
      </c>
      <c r="E32" s="511">
        <f t="shared" si="0"/>
        <v>4798</v>
      </c>
      <c r="F32" s="1"/>
    </row>
    <row r="33" spans="1:6" ht="12.75">
      <c r="A33" s="1491" t="s">
        <v>1178</v>
      </c>
      <c r="B33" s="1493" t="s">
        <v>1505</v>
      </c>
      <c r="C33" s="1492"/>
      <c r="D33" s="600">
        <v>560</v>
      </c>
      <c r="E33" s="511">
        <f t="shared" si="0"/>
        <v>560</v>
      </c>
      <c r="F33" s="1"/>
    </row>
    <row r="34" spans="1:6" ht="12.75">
      <c r="A34" s="1491" t="s">
        <v>1179</v>
      </c>
      <c r="B34" s="1493" t="s">
        <v>1506</v>
      </c>
      <c r="C34" s="1492"/>
      <c r="D34" s="600">
        <v>2700</v>
      </c>
      <c r="E34" s="511">
        <f t="shared" si="0"/>
        <v>2700</v>
      </c>
      <c r="F34" s="1"/>
    </row>
    <row r="35" spans="1:6" ht="12.75">
      <c r="A35" s="1491" t="s">
        <v>1180</v>
      </c>
      <c r="B35" s="247" t="s">
        <v>158</v>
      </c>
      <c r="C35" s="354"/>
      <c r="D35" s="600">
        <f>SUM(D19:D34)</f>
        <v>3664678</v>
      </c>
      <c r="E35" s="1542">
        <f>SUM(E19:E34)</f>
        <v>3664678</v>
      </c>
      <c r="F35" s="1"/>
    </row>
    <row r="36" spans="1:6" ht="13.5" thickBot="1">
      <c r="A36" s="1491" t="s">
        <v>1181</v>
      </c>
      <c r="B36" s="764"/>
      <c r="C36" s="859"/>
      <c r="D36" s="860"/>
      <c r="E36" s="1425"/>
      <c r="F36" s="1"/>
    </row>
    <row r="37" spans="1:6" ht="13.5" thickBot="1">
      <c r="A37" s="1088" t="s">
        <v>1182</v>
      </c>
      <c r="B37" s="643" t="s">
        <v>727</v>
      </c>
      <c r="C37" s="362">
        <f>SUM(C12:C36)</f>
        <v>0</v>
      </c>
      <c r="D37" s="493">
        <f>D35+D15</f>
        <v>3680625</v>
      </c>
      <c r="E37" s="289">
        <f>E35+E15</f>
        <v>3680625</v>
      </c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1:6" ht="12.75">
      <c r="A40" s="1547" t="s">
        <v>1318</v>
      </c>
      <c r="B40" s="1547"/>
      <c r="C40" s="1547"/>
      <c r="D40" s="1547"/>
      <c r="E40" s="1547"/>
      <c r="F40" s="1"/>
    </row>
    <row r="41" spans="2:6" ht="12.75">
      <c r="B41" s="1"/>
      <c r="C41" s="1"/>
      <c r="D41" s="1"/>
      <c r="E41" s="1"/>
      <c r="F41" s="1"/>
    </row>
    <row r="42" spans="2:6" ht="15.75">
      <c r="B42" s="1555" t="s">
        <v>728</v>
      </c>
      <c r="C42" s="1555"/>
      <c r="D42" s="1555"/>
      <c r="E42" s="1555"/>
      <c r="F42" s="1"/>
    </row>
    <row r="43" spans="2:6" ht="12.75">
      <c r="B43" s="1"/>
      <c r="C43" s="1"/>
      <c r="D43" s="1"/>
      <c r="E43" s="1"/>
      <c r="F43" s="1"/>
    </row>
    <row r="44" spans="2:6" ht="13.5" thickBot="1">
      <c r="B44" s="242"/>
      <c r="C44" s="242"/>
      <c r="D44" s="242"/>
      <c r="E44" s="242" t="s">
        <v>140</v>
      </c>
      <c r="F44" s="1"/>
    </row>
    <row r="45" spans="1:6" ht="15.75">
      <c r="A45" s="1568" t="s">
        <v>1148</v>
      </c>
      <c r="B45" s="1024" t="s">
        <v>139</v>
      </c>
      <c r="C45" s="1032" t="s">
        <v>141</v>
      </c>
      <c r="D45" s="1032" t="s">
        <v>142</v>
      </c>
      <c r="E45" s="565" t="s">
        <v>88</v>
      </c>
      <c r="F45" s="1"/>
    </row>
    <row r="46" spans="1:6" ht="13.5" thickBot="1">
      <c r="A46" s="1569"/>
      <c r="B46" s="438"/>
      <c r="C46" s="1033" t="s">
        <v>21</v>
      </c>
      <c r="D46" s="1033" t="s">
        <v>21</v>
      </c>
      <c r="E46" s="1036" t="s">
        <v>21</v>
      </c>
      <c r="F46" s="1"/>
    </row>
    <row r="47" spans="1:6" ht="13.5" thickBot="1">
      <c r="A47" s="943" t="s">
        <v>1149</v>
      </c>
      <c r="B47" s="1028" t="s">
        <v>1150</v>
      </c>
      <c r="C47" s="1034" t="s">
        <v>1151</v>
      </c>
      <c r="D47" s="1034" t="s">
        <v>1152</v>
      </c>
      <c r="E47" s="1016" t="s">
        <v>1172</v>
      </c>
      <c r="F47" s="1"/>
    </row>
    <row r="48" spans="1:6" ht="15">
      <c r="A48" s="904" t="s">
        <v>1153</v>
      </c>
      <c r="B48" s="1029" t="s">
        <v>1213</v>
      </c>
      <c r="C48" s="1035"/>
      <c r="D48" s="1040">
        <f>1104-1104</f>
        <v>0</v>
      </c>
      <c r="E48" s="1037">
        <f aca="true" t="shared" si="1" ref="E48:E53">SUM(C48:D48)</f>
        <v>0</v>
      </c>
      <c r="F48" s="1"/>
    </row>
    <row r="49" spans="1:6" ht="15">
      <c r="A49" s="889" t="s">
        <v>1154</v>
      </c>
      <c r="B49" s="1030" t="s">
        <v>1228</v>
      </c>
      <c r="C49" s="243"/>
      <c r="D49" s="1041">
        <v>25378</v>
      </c>
      <c r="E49" s="1038">
        <f t="shared" si="1"/>
        <v>25378</v>
      </c>
      <c r="F49" s="1"/>
    </row>
    <row r="50" spans="1:6" ht="15">
      <c r="A50" s="889" t="s">
        <v>1155</v>
      </c>
      <c r="B50" s="1030" t="s">
        <v>1235</v>
      </c>
      <c r="C50" s="243"/>
      <c r="D50" s="1041">
        <v>485948</v>
      </c>
      <c r="E50" s="1038">
        <f t="shared" si="1"/>
        <v>485948</v>
      </c>
      <c r="F50" s="1"/>
    </row>
    <row r="51" spans="1:6" ht="15">
      <c r="A51" s="889" t="s">
        <v>1156</v>
      </c>
      <c r="B51" s="1031" t="s">
        <v>1543</v>
      </c>
      <c r="C51" s="1475"/>
      <c r="D51" s="1042">
        <v>391</v>
      </c>
      <c r="E51" s="1038">
        <f t="shared" si="1"/>
        <v>391</v>
      </c>
      <c r="F51" s="1"/>
    </row>
    <row r="52" spans="1:6" ht="15">
      <c r="A52" s="889" t="s">
        <v>1157</v>
      </c>
      <c r="B52" s="1031" t="s">
        <v>1544</v>
      </c>
      <c r="C52" s="1475"/>
      <c r="D52" s="1042">
        <v>150</v>
      </c>
      <c r="E52" s="1038">
        <f t="shared" si="1"/>
        <v>150</v>
      </c>
      <c r="F52" s="1"/>
    </row>
    <row r="53" spans="1:6" ht="16.5" thickBot="1">
      <c r="A53" s="889" t="s">
        <v>1158</v>
      </c>
      <c r="B53" s="1031" t="s">
        <v>1484</v>
      </c>
      <c r="C53" s="1543">
        <v>3300</v>
      </c>
      <c r="D53" s="1042"/>
      <c r="E53" s="1038">
        <f t="shared" si="1"/>
        <v>3300</v>
      </c>
      <c r="F53" s="1"/>
    </row>
    <row r="54" spans="1:6" ht="24.75" thickBot="1">
      <c r="A54" s="841" t="s">
        <v>1159</v>
      </c>
      <c r="B54" s="929" t="s">
        <v>728</v>
      </c>
      <c r="C54" s="1043">
        <f>SUM(C48:C53)</f>
        <v>3300</v>
      </c>
      <c r="D54" s="1043">
        <f>SUM(D48:D53)</f>
        <v>511867</v>
      </c>
      <c r="E54" s="1039">
        <f>SUM(E48:E53)</f>
        <v>515167</v>
      </c>
      <c r="F54" s="1"/>
    </row>
    <row r="55" spans="2:6" ht="12.75">
      <c r="B55" s="1"/>
      <c r="C55" s="1"/>
      <c r="D55" s="1"/>
      <c r="E55" s="1"/>
      <c r="F55" s="1"/>
    </row>
    <row r="56" spans="2:6" ht="12.75">
      <c r="B56" s="1586"/>
      <c r="C56" s="1586"/>
      <c r="D56" s="1"/>
      <c r="E56" s="1"/>
      <c r="F56" s="1"/>
    </row>
    <row r="57" ht="12.75" customHeight="1">
      <c r="B57" s="49"/>
    </row>
    <row r="58" ht="12.75">
      <c r="B58" s="1"/>
    </row>
    <row r="59" ht="15.75">
      <c r="B59" s="30"/>
    </row>
    <row r="60" ht="12.75" customHeight="1">
      <c r="B60" s="30"/>
    </row>
    <row r="61" ht="16.5" customHeight="1">
      <c r="B61" s="1"/>
    </row>
    <row r="62" ht="16.5" customHeight="1"/>
    <row r="63" ht="16.5" customHeight="1"/>
    <row r="67" ht="12.75">
      <c r="B67" s="1"/>
    </row>
    <row r="68" ht="12.75">
      <c r="B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3.5" customHeight="1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s="4" customFormat="1" ht="1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32.25" customHeight="1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28.5" customHeight="1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3.5" thickBot="1">
      <c r="B107" s="1"/>
      <c r="C107" s="1"/>
      <c r="D107" s="1"/>
      <c r="E107" s="1"/>
      <c r="F107" s="1"/>
    </row>
    <row r="108" spans="1:19" s="51" customFormat="1" ht="13.5" thickBot="1">
      <c r="A108" s="50"/>
      <c r="B108" s="1"/>
      <c r="C108" s="1"/>
      <c r="D108" s="1"/>
      <c r="E108" s="1"/>
      <c r="F108" s="1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2:19" s="26" customFormat="1" ht="12.75">
      <c r="B109" s="1"/>
      <c r="C109" s="1"/>
      <c r="D109" s="1"/>
      <c r="E109" s="1"/>
      <c r="F109" s="1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2:19" s="26" customFormat="1" ht="12.75">
      <c r="B110" s="1"/>
      <c r="C110" s="1"/>
      <c r="D110" s="1"/>
      <c r="E110" s="1"/>
      <c r="F110" s="1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2:19" s="26" customFormat="1" ht="12.75">
      <c r="B111" s="1"/>
      <c r="C111" s="1"/>
      <c r="D111" s="1"/>
      <c r="E111" s="1"/>
      <c r="F111" s="1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2:19" s="26" customFormat="1" ht="12.75">
      <c r="B112" s="1"/>
      <c r="C112" s="1"/>
      <c r="D112" s="1"/>
      <c r="E112" s="1"/>
      <c r="F112" s="1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2:19" s="26" customFormat="1" ht="13.5" thickBot="1">
      <c r="B113" s="1"/>
      <c r="C113" s="1"/>
      <c r="D113" s="1"/>
      <c r="E113" s="1"/>
      <c r="F113" s="1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s="51" customFormat="1" ht="13.5" thickBot="1">
      <c r="A114" s="50"/>
      <c r="B114" s="1"/>
      <c r="C114" s="1"/>
      <c r="D114" s="1"/>
      <c r="E114" s="1"/>
      <c r="F114" s="1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2:6" ht="12.75">
      <c r="B115" s="1"/>
      <c r="C115" s="1"/>
      <c r="D115" s="1"/>
      <c r="E115" s="1"/>
      <c r="F115" s="1"/>
    </row>
    <row r="116" spans="2:6" ht="27" customHeight="1">
      <c r="B116" s="1"/>
      <c r="C116" s="1"/>
      <c r="D116" s="1"/>
      <c r="E116" s="1"/>
      <c r="F116" s="1"/>
    </row>
    <row r="117" spans="2:6" ht="27" customHeight="1">
      <c r="B117" s="1"/>
      <c r="C117" s="1"/>
      <c r="D117" s="1"/>
      <c r="E117" s="1"/>
      <c r="F117" s="1"/>
    </row>
    <row r="118" spans="2:6" ht="27" customHeight="1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</sheetData>
  <sheetProtection/>
  <mergeCells count="7">
    <mergeCell ref="B56:C56"/>
    <mergeCell ref="B42:E42"/>
    <mergeCell ref="B3:E3"/>
    <mergeCell ref="A6:A7"/>
    <mergeCell ref="A45:A46"/>
    <mergeCell ref="A1:E1"/>
    <mergeCell ref="A40:E40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1547" t="s">
        <v>1319</v>
      </c>
      <c r="B2" s="1547"/>
      <c r="C2" s="1547"/>
      <c r="D2" s="1547"/>
      <c r="E2" s="1547"/>
    </row>
    <row r="3" spans="1:5" ht="12.75">
      <c r="A3" s="824"/>
      <c r="B3" s="824"/>
      <c r="C3" s="824"/>
      <c r="D3" s="824"/>
      <c r="E3" s="824"/>
    </row>
    <row r="4" spans="2:3" ht="15.75">
      <c r="B4" s="1555" t="s">
        <v>729</v>
      </c>
      <c r="C4" s="1555"/>
    </row>
    <row r="5" spans="2:3" ht="15.75">
      <c r="B5" s="178"/>
      <c r="C5" s="1"/>
    </row>
    <row r="6" spans="2:3" ht="13.5" thickBot="1">
      <c r="B6" s="1"/>
      <c r="C6" s="31" t="s">
        <v>86</v>
      </c>
    </row>
    <row r="7" spans="1:3" ht="15.75">
      <c r="A7" s="1568" t="s">
        <v>1148</v>
      </c>
      <c r="B7" s="371" t="s">
        <v>87</v>
      </c>
      <c r="C7" s="364" t="s">
        <v>88</v>
      </c>
    </row>
    <row r="8" spans="1:3" ht="13.5" thickBot="1">
      <c r="A8" s="1569"/>
      <c r="B8" s="247"/>
      <c r="C8" s="365" t="s">
        <v>21</v>
      </c>
    </row>
    <row r="9" spans="1:3" ht="13.5" thickBot="1">
      <c r="A9" s="943" t="s">
        <v>1149</v>
      </c>
      <c r="B9" s="1007" t="s">
        <v>1150</v>
      </c>
      <c r="C9" s="1023" t="s">
        <v>1151</v>
      </c>
    </row>
    <row r="10" spans="1:3" ht="12.75">
      <c r="A10" s="904" t="s">
        <v>1153</v>
      </c>
      <c r="B10" s="268" t="s">
        <v>731</v>
      </c>
      <c r="C10" s="1044">
        <f>C11+C13</f>
        <v>0</v>
      </c>
    </row>
    <row r="11" spans="1:3" ht="12.75">
      <c r="A11" s="889" t="s">
        <v>1154</v>
      </c>
      <c r="B11" s="305" t="s">
        <v>732</v>
      </c>
      <c r="C11" s="366"/>
    </row>
    <row r="12" spans="1:3" ht="12.75">
      <c r="A12" s="889" t="s">
        <v>1155</v>
      </c>
      <c r="B12" s="305"/>
      <c r="C12" s="366"/>
    </row>
    <row r="13" spans="1:3" ht="12.75">
      <c r="A13" s="889" t="s">
        <v>1156</v>
      </c>
      <c r="B13" s="305" t="s">
        <v>733</v>
      </c>
      <c r="C13" s="366"/>
    </row>
    <row r="14" spans="1:3" ht="12.75">
      <c r="A14" s="889" t="s">
        <v>1157</v>
      </c>
      <c r="B14" s="305"/>
      <c r="C14" s="366"/>
    </row>
    <row r="15" spans="1:3" ht="12.75">
      <c r="A15" s="889" t="s">
        <v>1158</v>
      </c>
      <c r="B15" s="373" t="s">
        <v>730</v>
      </c>
      <c r="C15" s="288">
        <f>C16+C19</f>
        <v>4835</v>
      </c>
    </row>
    <row r="16" spans="1:3" ht="12.75">
      <c r="A16" s="889" t="s">
        <v>1159</v>
      </c>
      <c r="B16" s="245" t="s">
        <v>571</v>
      </c>
      <c r="C16" s="282">
        <f>C17+C18</f>
        <v>520</v>
      </c>
    </row>
    <row r="17" spans="1:3" ht="12.75">
      <c r="A17" s="889" t="s">
        <v>1160</v>
      </c>
      <c r="B17" s="245" t="s">
        <v>741</v>
      </c>
      <c r="C17" s="367">
        <v>520</v>
      </c>
    </row>
    <row r="18" spans="1:3" ht="12.75">
      <c r="A18" s="889" t="s">
        <v>1161</v>
      </c>
      <c r="B18" s="374"/>
      <c r="C18" s="367"/>
    </row>
    <row r="19" spans="1:3" ht="12.75">
      <c r="A19" s="889" t="s">
        <v>1162</v>
      </c>
      <c r="B19" s="374" t="s">
        <v>735</v>
      </c>
      <c r="C19" s="367">
        <f>C20+C21+C22+C23+C24</f>
        <v>4315</v>
      </c>
    </row>
    <row r="20" spans="1:3" ht="12.75">
      <c r="A20" s="889" t="s">
        <v>1163</v>
      </c>
      <c r="B20" s="245" t="s">
        <v>736</v>
      </c>
      <c r="C20" s="367">
        <f>2400+915</f>
        <v>3315</v>
      </c>
    </row>
    <row r="21" spans="1:3" ht="12.75">
      <c r="A21" s="889" t="s">
        <v>1164</v>
      </c>
      <c r="B21" s="245" t="s">
        <v>737</v>
      </c>
      <c r="C21" s="367">
        <v>250</v>
      </c>
    </row>
    <row r="22" spans="1:3" ht="12.75">
      <c r="A22" s="889" t="s">
        <v>1165</v>
      </c>
      <c r="B22" s="223" t="s">
        <v>738</v>
      </c>
      <c r="C22" s="367">
        <v>0</v>
      </c>
    </row>
    <row r="23" spans="1:3" ht="12.75">
      <c r="A23" s="889" t="s">
        <v>1166</v>
      </c>
      <c r="B23" s="8" t="s">
        <v>739</v>
      </c>
      <c r="C23" s="367">
        <v>160</v>
      </c>
    </row>
    <row r="24" spans="1:3" ht="12.75">
      <c r="A24" s="889" t="s">
        <v>1167</v>
      </c>
      <c r="B24" s="245" t="s">
        <v>734</v>
      </c>
      <c r="C24" s="367">
        <v>590</v>
      </c>
    </row>
    <row r="25" spans="1:3" ht="12.75">
      <c r="A25" s="889" t="s">
        <v>1168</v>
      </c>
      <c r="B25" s="245"/>
      <c r="C25" s="367"/>
    </row>
    <row r="26" spans="1:3" ht="12.75">
      <c r="A26" s="889" t="s">
        <v>1169</v>
      </c>
      <c r="B26" s="373" t="s">
        <v>740</v>
      </c>
      <c r="C26" s="368">
        <f>C27+C29</f>
        <v>0</v>
      </c>
    </row>
    <row r="27" spans="1:3" ht="12.75">
      <c r="A27" s="889" t="s">
        <v>1170</v>
      </c>
      <c r="B27" s="245" t="s">
        <v>742</v>
      </c>
      <c r="C27" s="367"/>
    </row>
    <row r="28" spans="1:3" ht="12.75">
      <c r="A28" s="889" t="s">
        <v>1171</v>
      </c>
      <c r="B28" s="245"/>
      <c r="C28" s="367"/>
    </row>
    <row r="29" spans="1:3" ht="12.75">
      <c r="A29" s="889" t="s">
        <v>1173</v>
      </c>
      <c r="B29" s="374" t="s">
        <v>743</v>
      </c>
      <c r="C29" s="369"/>
    </row>
    <row r="30" spans="1:3" ht="13.5" thickBot="1">
      <c r="A30" s="908" t="s">
        <v>1174</v>
      </c>
      <c r="B30" s="1045"/>
      <c r="C30" s="1046"/>
    </row>
    <row r="31" spans="1:3" ht="13.5" thickBot="1">
      <c r="A31" s="841" t="s">
        <v>1175</v>
      </c>
      <c r="B31" s="560" t="s">
        <v>744</v>
      </c>
      <c r="C31" s="749">
        <f>C10+C15+C26</f>
        <v>4835</v>
      </c>
    </row>
  </sheetData>
  <sheetProtection/>
  <mergeCells count="3">
    <mergeCell ref="B4:C4"/>
    <mergeCell ref="A7:A8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84">
      <selection activeCell="C107" sqref="C107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13.7109375" style="0" customWidth="1"/>
    <col min="4" max="4" width="12.8515625" style="0" customWidth="1"/>
    <col min="5" max="5" width="16.00390625" style="0" customWidth="1"/>
  </cols>
  <sheetData>
    <row r="1" spans="1:6" ht="12.75">
      <c r="A1" s="1547" t="s">
        <v>1320</v>
      </c>
      <c r="B1" s="1547"/>
      <c r="C1" s="1547"/>
      <c r="D1" s="1547"/>
      <c r="E1" s="1547"/>
      <c r="F1" s="1"/>
    </row>
    <row r="2" spans="2:6" ht="15.75">
      <c r="B2" s="1555" t="s">
        <v>159</v>
      </c>
      <c r="C2" s="1555"/>
      <c r="D2" s="1555"/>
      <c r="E2" s="1555"/>
      <c r="F2" s="1"/>
    </row>
    <row r="3" spans="2:6" ht="15.75">
      <c r="B3" s="1555" t="s">
        <v>633</v>
      </c>
      <c r="C3" s="1555"/>
      <c r="D3" s="1555"/>
      <c r="E3" s="1555"/>
      <c r="F3" s="1"/>
    </row>
    <row r="4" spans="2:6" ht="13.5" thickBot="1">
      <c r="B4" s="1"/>
      <c r="C4" s="1"/>
      <c r="D4" s="54" t="s">
        <v>15</v>
      </c>
      <c r="E4" s="1"/>
      <c r="F4" s="1"/>
    </row>
    <row r="5" spans="1:6" ht="24.75" customHeight="1" thickBot="1">
      <c r="A5" s="938" t="s">
        <v>1148</v>
      </c>
      <c r="B5" s="534" t="s">
        <v>127</v>
      </c>
      <c r="C5" s="227" t="s">
        <v>35</v>
      </c>
      <c r="D5" s="583" t="s">
        <v>36</v>
      </c>
      <c r="E5" s="585" t="s">
        <v>160</v>
      </c>
      <c r="F5" s="1"/>
    </row>
    <row r="6" spans="1:6" ht="12" customHeight="1" thickBot="1">
      <c r="A6" s="1064" t="s">
        <v>1149</v>
      </c>
      <c r="B6" s="1007" t="s">
        <v>1150</v>
      </c>
      <c r="C6" s="1008" t="s">
        <v>1151</v>
      </c>
      <c r="D6" s="1009" t="s">
        <v>1152</v>
      </c>
      <c r="E6" s="1027" t="s">
        <v>1172</v>
      </c>
      <c r="F6" s="1"/>
    </row>
    <row r="7" spans="1:6" ht="15" customHeight="1" thickBot="1">
      <c r="A7" s="841" t="s">
        <v>1153</v>
      </c>
      <c r="B7" s="1047" t="s">
        <v>646</v>
      </c>
      <c r="C7" s="520">
        <f>C13+C20</f>
        <v>317376</v>
      </c>
      <c r="D7" s="520">
        <f>D13+D20</f>
        <v>61016</v>
      </c>
      <c r="E7" s="556">
        <f>SUM(C7:D7)</f>
        <v>378392</v>
      </c>
      <c r="F7" s="1"/>
    </row>
    <row r="8" spans="1:6" ht="12" customHeight="1">
      <c r="A8" s="950" t="s">
        <v>1154</v>
      </c>
      <c r="B8" s="1048" t="s">
        <v>638</v>
      </c>
      <c r="C8" s="516"/>
      <c r="D8" s="516"/>
      <c r="E8" s="557"/>
      <c r="F8" s="1"/>
    </row>
    <row r="9" spans="1:6" ht="12.75" customHeight="1">
      <c r="A9" s="939" t="s">
        <v>1155</v>
      </c>
      <c r="B9" s="592" t="s">
        <v>634</v>
      </c>
      <c r="C9" s="336"/>
      <c r="D9" s="336"/>
      <c r="E9" s="586">
        <f>D9+C9</f>
        <v>0</v>
      </c>
      <c r="F9" s="1"/>
    </row>
    <row r="10" spans="1:6" ht="12.75" customHeight="1">
      <c r="A10" s="939" t="s">
        <v>1156</v>
      </c>
      <c r="B10" s="6" t="s">
        <v>635</v>
      </c>
      <c r="C10" s="367">
        <f>24015-668</f>
        <v>23347</v>
      </c>
      <c r="D10" s="367">
        <f>990+724+247</f>
        <v>1961</v>
      </c>
      <c r="E10" s="586">
        <f>D10+C10</f>
        <v>25308</v>
      </c>
      <c r="F10" s="1"/>
    </row>
    <row r="11" spans="1:6" ht="12.75" customHeight="1">
      <c r="A11" s="939" t="s">
        <v>1157</v>
      </c>
      <c r="B11" s="6" t="s">
        <v>636</v>
      </c>
      <c r="C11" s="367"/>
      <c r="D11" s="367"/>
      <c r="E11" s="586">
        <f>D11+C11</f>
        <v>0</v>
      </c>
      <c r="F11" s="1"/>
    </row>
    <row r="12" spans="1:6" s="26" customFormat="1" ht="15" customHeight="1" thickBot="1">
      <c r="A12" s="951" t="s">
        <v>1158</v>
      </c>
      <c r="B12" s="1049" t="s">
        <v>637</v>
      </c>
      <c r="C12" s="291">
        <f>500-223</f>
        <v>277</v>
      </c>
      <c r="D12" s="291">
        <f>10+76+40</f>
        <v>126</v>
      </c>
      <c r="E12" s="582">
        <f>D12+C12</f>
        <v>403</v>
      </c>
      <c r="F12" s="52"/>
    </row>
    <row r="13" spans="1:6" ht="15" customHeight="1" thickBot="1">
      <c r="A13" s="841" t="s">
        <v>1159</v>
      </c>
      <c r="B13" s="881" t="s">
        <v>161</v>
      </c>
      <c r="C13" s="505">
        <f>SUM(C9:C12)</f>
        <v>23624</v>
      </c>
      <c r="D13" s="505">
        <f>SUM(D9:D12)</f>
        <v>2087</v>
      </c>
      <c r="E13" s="484">
        <f>SUM(C13:D13)</f>
        <v>25711</v>
      </c>
      <c r="F13" s="1"/>
    </row>
    <row r="14" spans="1:6" ht="15" customHeight="1">
      <c r="A14" s="950" t="s">
        <v>1160</v>
      </c>
      <c r="B14" s="1050" t="s">
        <v>647</v>
      </c>
      <c r="C14" s="286"/>
      <c r="D14" s="286"/>
      <c r="E14" s="275"/>
      <c r="F14" s="1"/>
    </row>
    <row r="15" spans="1:6" ht="12.75" customHeight="1">
      <c r="A15" s="939" t="s">
        <v>1161</v>
      </c>
      <c r="B15" s="1051" t="s">
        <v>648</v>
      </c>
      <c r="C15" s="506">
        <f>'19 21_sz_ melléklet'!C64+'19 21_sz_ melléklet'!C65+'19 21_sz_ melléklet'!C66</f>
        <v>293752</v>
      </c>
      <c r="D15" s="506">
        <f>'19 21_sz_ melléklet'!C67</f>
        <v>46201</v>
      </c>
      <c r="E15" s="479">
        <f>D15+C15</f>
        <v>339953</v>
      </c>
      <c r="F15" s="1"/>
    </row>
    <row r="16" spans="1:6" ht="12.75" customHeight="1">
      <c r="A16" s="939" t="s">
        <v>1162</v>
      </c>
      <c r="B16" s="1052" t="s">
        <v>102</v>
      </c>
      <c r="C16" s="507">
        <f>'19 21_sz_ melléklet'!C64</f>
        <v>290845</v>
      </c>
      <c r="D16" s="507"/>
      <c r="E16" s="479">
        <f>D16+C16</f>
        <v>290845</v>
      </c>
      <c r="F16" s="1"/>
    </row>
    <row r="17" spans="1:6" ht="12.75" customHeight="1">
      <c r="A17" s="939" t="s">
        <v>1163</v>
      </c>
      <c r="B17" s="1052" t="s">
        <v>651</v>
      </c>
      <c r="C17" s="507"/>
      <c r="D17" s="507"/>
      <c r="E17" s="479">
        <f>D17+C17</f>
        <v>0</v>
      </c>
      <c r="F17" s="1"/>
    </row>
    <row r="18" spans="1:6" s="26" customFormat="1" ht="12.75" customHeight="1">
      <c r="A18" s="939" t="s">
        <v>1164</v>
      </c>
      <c r="B18" s="1053" t="s">
        <v>649</v>
      </c>
      <c r="C18" s="508"/>
      <c r="D18" s="508"/>
      <c r="E18" s="479">
        <f>D18+C18</f>
        <v>0</v>
      </c>
      <c r="F18" s="52"/>
    </row>
    <row r="19" spans="1:6" ht="15" customHeight="1" thickBot="1">
      <c r="A19" s="951" t="s">
        <v>1165</v>
      </c>
      <c r="B19" s="1054" t="s">
        <v>652</v>
      </c>
      <c r="C19" s="509"/>
      <c r="D19" s="509">
        <v>12728</v>
      </c>
      <c r="E19" s="479">
        <f>D19+C19</f>
        <v>12728</v>
      </c>
      <c r="F19" s="1"/>
    </row>
    <row r="20" spans="1:6" ht="15" customHeight="1" thickBot="1">
      <c r="A20" s="841" t="s">
        <v>1166</v>
      </c>
      <c r="B20" s="643" t="s">
        <v>650</v>
      </c>
      <c r="C20" s="289">
        <f>C15+C17+C18+C19</f>
        <v>293752</v>
      </c>
      <c r="D20" s="289">
        <f>D15+D17+D18+D19</f>
        <v>58929</v>
      </c>
      <c r="E20" s="474">
        <f>SUM(C20:D20)</f>
        <v>352681</v>
      </c>
      <c r="F20" s="1"/>
    </row>
    <row r="21" spans="1:6" ht="6.75" customHeight="1" thickBot="1">
      <c r="A21" s="945"/>
      <c r="B21" s="931"/>
      <c r="C21" s="291"/>
      <c r="D21" s="291"/>
      <c r="E21" s="278"/>
      <c r="F21" s="1"/>
    </row>
    <row r="22" spans="1:6" ht="15" customHeight="1" thickBot="1">
      <c r="A22" s="947" t="s">
        <v>1167</v>
      </c>
      <c r="B22" s="1055" t="s">
        <v>659</v>
      </c>
      <c r="C22" s="284">
        <f>C26+C31</f>
        <v>71</v>
      </c>
      <c r="D22" s="284">
        <f>D26+D31</f>
        <v>29731</v>
      </c>
      <c r="E22" s="521">
        <f>SUM(C22:D22)</f>
        <v>29802</v>
      </c>
      <c r="F22" s="1"/>
    </row>
    <row r="23" spans="1:6" ht="15" customHeight="1">
      <c r="A23" s="946" t="s">
        <v>1168</v>
      </c>
      <c r="B23" s="1050" t="s">
        <v>653</v>
      </c>
      <c r="C23" s="510"/>
      <c r="D23" s="510"/>
      <c r="E23" s="558"/>
      <c r="F23" s="1"/>
    </row>
    <row r="24" spans="1:6" ht="15" customHeight="1">
      <c r="A24" s="941" t="s">
        <v>1169</v>
      </c>
      <c r="B24" s="6" t="s">
        <v>654</v>
      </c>
      <c r="C24" s="367">
        <f>'22 24  sz. melléklet'!C9</f>
        <v>71</v>
      </c>
      <c r="D24" s="367"/>
      <c r="E24" s="481">
        <f>C24+D24</f>
        <v>71</v>
      </c>
      <c r="F24" s="1"/>
    </row>
    <row r="25" spans="1:6" ht="15" customHeight="1" thickBot="1">
      <c r="A25" s="1065" t="s">
        <v>1170</v>
      </c>
      <c r="B25" s="785" t="s">
        <v>661</v>
      </c>
      <c r="C25" s="511"/>
      <c r="D25" s="511"/>
      <c r="E25" s="496">
        <f>C25+D25</f>
        <v>0</v>
      </c>
      <c r="F25" s="1"/>
    </row>
    <row r="26" spans="1:6" s="26" customFormat="1" ht="11.25" customHeight="1" thickBot="1">
      <c r="A26" s="947" t="s">
        <v>1171</v>
      </c>
      <c r="B26" s="1055" t="s">
        <v>662</v>
      </c>
      <c r="C26" s="284">
        <f>C24+C25</f>
        <v>71</v>
      </c>
      <c r="D26" s="284">
        <f>D24+D25</f>
        <v>0</v>
      </c>
      <c r="E26" s="521">
        <f>C26+D26</f>
        <v>71</v>
      </c>
      <c r="F26" s="52"/>
    </row>
    <row r="27" spans="1:6" ht="15" customHeight="1">
      <c r="A27" s="946" t="s">
        <v>1173</v>
      </c>
      <c r="B27" s="1050" t="s">
        <v>655</v>
      </c>
      <c r="C27" s="291"/>
      <c r="D27" s="291"/>
      <c r="E27" s="278"/>
      <c r="F27" s="1"/>
    </row>
    <row r="28" spans="1:6" ht="15" customHeight="1">
      <c r="A28" s="941" t="s">
        <v>1174</v>
      </c>
      <c r="B28" s="6" t="s">
        <v>656</v>
      </c>
      <c r="C28" s="511">
        <v>0</v>
      </c>
      <c r="D28" s="282">
        <f>SUM(D24:D27)</f>
        <v>0</v>
      </c>
      <c r="E28" s="272">
        <f>C28+D28</f>
        <v>0</v>
      </c>
      <c r="F28" s="1"/>
    </row>
    <row r="29" spans="1:6" ht="15" customHeight="1">
      <c r="A29" s="941" t="s">
        <v>1175</v>
      </c>
      <c r="B29" s="1052" t="s">
        <v>657</v>
      </c>
      <c r="C29" s="369"/>
      <c r="D29" s="285">
        <f>' 27 28 sz. melléklet'!C53</f>
        <v>3300</v>
      </c>
      <c r="E29" s="272">
        <f>C29+D29</f>
        <v>3300</v>
      </c>
      <c r="F29" s="1"/>
    </row>
    <row r="30" spans="1:6" ht="15" customHeight="1" thickBot="1">
      <c r="A30" s="1065" t="s">
        <v>1176</v>
      </c>
      <c r="B30" s="1054" t="s">
        <v>658</v>
      </c>
      <c r="C30" s="291"/>
      <c r="D30" s="291">
        <v>26431</v>
      </c>
      <c r="E30" s="272">
        <f>C30+D30</f>
        <v>26431</v>
      </c>
      <c r="F30" s="1"/>
    </row>
    <row r="31" spans="1:6" ht="15" customHeight="1" thickBot="1">
      <c r="A31" s="947" t="s">
        <v>1177</v>
      </c>
      <c r="B31" s="643" t="s">
        <v>660</v>
      </c>
      <c r="C31" s="289">
        <f>C28+C29+C30</f>
        <v>0</v>
      </c>
      <c r="D31" s="289">
        <f>D28+D29+D30</f>
        <v>29731</v>
      </c>
      <c r="E31" s="474">
        <f>SUM(C31:D31)</f>
        <v>29731</v>
      </c>
      <c r="F31" s="1"/>
    </row>
    <row r="32" spans="1:6" ht="7.5" customHeight="1" thickBot="1">
      <c r="A32" s="945"/>
      <c r="B32" s="931"/>
      <c r="C32" s="291"/>
      <c r="D32" s="512"/>
      <c r="E32" s="278"/>
      <c r="F32" s="1"/>
    </row>
    <row r="33" spans="1:6" ht="27" customHeight="1" thickBot="1">
      <c r="A33" s="947" t="s">
        <v>1178</v>
      </c>
      <c r="B33" s="929" t="s">
        <v>663</v>
      </c>
      <c r="C33" s="284"/>
      <c r="D33" s="639"/>
      <c r="E33" s="521">
        <f>D33+C33</f>
        <v>0</v>
      </c>
      <c r="F33" s="1"/>
    </row>
    <row r="34" spans="1:6" ht="6" customHeight="1" thickBot="1">
      <c r="A34" s="945"/>
      <c r="B34" s="48"/>
      <c r="C34" s="291"/>
      <c r="D34" s="291"/>
      <c r="E34" s="278"/>
      <c r="F34" s="1"/>
    </row>
    <row r="35" spans="1:6" ht="20.25" customHeight="1" thickBot="1">
      <c r="A35" s="947" t="s">
        <v>1179</v>
      </c>
      <c r="B35" s="643" t="s">
        <v>664</v>
      </c>
      <c r="C35" s="284">
        <f>C36</f>
        <v>0</v>
      </c>
      <c r="D35" s="284">
        <f>D36</f>
        <v>0</v>
      </c>
      <c r="E35" s="521">
        <f>SUM(C35:D35)</f>
        <v>0</v>
      </c>
      <c r="F35" s="1"/>
    </row>
    <row r="36" spans="1:6" ht="12" customHeight="1">
      <c r="A36" s="950" t="s">
        <v>1180</v>
      </c>
      <c r="B36" s="930" t="s">
        <v>666</v>
      </c>
      <c r="C36" s="526"/>
      <c r="D36" s="526"/>
      <c r="E36" s="527">
        <f>C36+D36</f>
        <v>0</v>
      </c>
      <c r="F36" s="1"/>
    </row>
    <row r="37" spans="1:6" ht="6.75" customHeight="1" thickBot="1">
      <c r="A37" s="951"/>
      <c r="B37" s="931"/>
      <c r="C37" s="291"/>
      <c r="D37" s="512"/>
      <c r="E37" s="499"/>
      <c r="F37" s="1"/>
    </row>
    <row r="38" spans="1:6" ht="31.5" customHeight="1" thickBot="1">
      <c r="A38" s="841" t="s">
        <v>1181</v>
      </c>
      <c r="B38" s="932" t="s">
        <v>665</v>
      </c>
      <c r="C38" s="505">
        <f>C7+C22+C33+C35</f>
        <v>317447</v>
      </c>
      <c r="D38" s="505">
        <f>D7+D22+D33+D35</f>
        <v>90747</v>
      </c>
      <c r="E38" s="289">
        <f>SUM(C38:D38)</f>
        <v>408194</v>
      </c>
      <c r="F38" s="1"/>
    </row>
    <row r="39" spans="1:6" s="26" customFormat="1" ht="7.5" customHeight="1" thickBot="1">
      <c r="A39" s="952"/>
      <c r="B39" s="56"/>
      <c r="C39" s="513"/>
      <c r="D39" s="513"/>
      <c r="E39" s="501"/>
      <c r="F39" s="52"/>
    </row>
    <row r="40" spans="1:6" ht="25.5" customHeight="1" thickBot="1">
      <c r="A40" s="939" t="s">
        <v>1182</v>
      </c>
      <c r="B40" s="1056" t="s">
        <v>699</v>
      </c>
      <c r="C40" s="505">
        <f>C41</f>
        <v>19340</v>
      </c>
      <c r="D40" s="505">
        <f>D41</f>
        <v>2900</v>
      </c>
      <c r="E40" s="289">
        <f>SUM(C40:D40)</f>
        <v>22240</v>
      </c>
      <c r="F40" s="1"/>
    </row>
    <row r="41" spans="1:6" ht="15" customHeight="1">
      <c r="A41" s="939" t="s">
        <v>1183</v>
      </c>
      <c r="B41" s="1057" t="s">
        <v>671</v>
      </c>
      <c r="C41" s="506">
        <f>C42+C43</f>
        <v>19340</v>
      </c>
      <c r="D41" s="506">
        <f>D42+D43</f>
        <v>2900</v>
      </c>
      <c r="E41" s="479">
        <f>SUM(C41:D41)</f>
        <v>22240</v>
      </c>
      <c r="F41" s="1"/>
    </row>
    <row r="42" spans="1:6" ht="12.75">
      <c r="A42" s="939" t="s">
        <v>1184</v>
      </c>
      <c r="B42" s="6" t="s">
        <v>667</v>
      </c>
      <c r="C42" s="367">
        <v>18737</v>
      </c>
      <c r="D42" s="367">
        <f>13487+1861+280-12728</f>
        <v>2900</v>
      </c>
      <c r="E42" s="481">
        <f>SUM(C42:D42)</f>
        <v>21637</v>
      </c>
      <c r="F42" s="1"/>
    </row>
    <row r="43" spans="1:6" ht="12.75">
      <c r="A43" s="939" t="s">
        <v>1185</v>
      </c>
      <c r="B43" s="6" t="s">
        <v>668</v>
      </c>
      <c r="C43" s="367">
        <v>603</v>
      </c>
      <c r="D43" s="367"/>
      <c r="E43" s="481">
        <f>SUM(C43:D43)</f>
        <v>603</v>
      </c>
      <c r="F43" s="1"/>
    </row>
    <row r="44" spans="1:6" ht="6" customHeight="1" thickBot="1">
      <c r="A44" s="951"/>
      <c r="B44" s="56"/>
      <c r="C44" s="513"/>
      <c r="D44" s="513"/>
      <c r="E44" s="501"/>
      <c r="F44" s="1"/>
    </row>
    <row r="45" spans="1:6" ht="21.75" thickBot="1">
      <c r="A45" s="841" t="s">
        <v>1186</v>
      </c>
      <c r="B45" s="1058" t="s">
        <v>670</v>
      </c>
      <c r="C45" s="289">
        <f>C46+C50</f>
        <v>0</v>
      </c>
      <c r="D45" s="289">
        <f>D46+D50</f>
        <v>0</v>
      </c>
      <c r="E45" s="474">
        <f>SUM(C45:D45)</f>
        <v>0</v>
      </c>
      <c r="F45" s="1"/>
    </row>
    <row r="46" spans="1:6" ht="12.75">
      <c r="A46" s="950" t="s">
        <v>1187</v>
      </c>
      <c r="B46" s="1059" t="s">
        <v>674</v>
      </c>
      <c r="C46" s="288">
        <f>C47+C48</f>
        <v>0</v>
      </c>
      <c r="D46" s="288">
        <f>D47+D48</f>
        <v>0</v>
      </c>
      <c r="E46" s="277">
        <f>SUM(C46:D46)</f>
        <v>0</v>
      </c>
      <c r="F46" s="1"/>
    </row>
    <row r="47" spans="1:6" ht="12.75">
      <c r="A47" s="939" t="s">
        <v>1188</v>
      </c>
      <c r="B47" s="332" t="s">
        <v>672</v>
      </c>
      <c r="C47" s="286"/>
      <c r="D47" s="286"/>
      <c r="E47" s="275">
        <f>D47+C47</f>
        <v>0</v>
      </c>
      <c r="F47" s="1"/>
    </row>
    <row r="48" spans="1:6" ht="12.75">
      <c r="A48" s="939" t="s">
        <v>1189</v>
      </c>
      <c r="B48" s="332" t="s">
        <v>673</v>
      </c>
      <c r="C48" s="286"/>
      <c r="D48" s="286"/>
      <c r="E48" s="275">
        <f>D48+C48</f>
        <v>0</v>
      </c>
      <c r="F48" s="1"/>
    </row>
    <row r="49" spans="1:6" ht="4.5" customHeight="1">
      <c r="A49" s="939"/>
      <c r="B49" s="651"/>
      <c r="C49" s="286"/>
      <c r="D49" s="286"/>
      <c r="E49" s="275"/>
      <c r="F49" s="1"/>
    </row>
    <row r="50" spans="1:6" ht="12.75">
      <c r="A50" s="939" t="s">
        <v>1190</v>
      </c>
      <c r="B50" s="1060" t="s">
        <v>675</v>
      </c>
      <c r="C50" s="286">
        <f>C51+C52</f>
        <v>0</v>
      </c>
      <c r="D50" s="286">
        <f>D51+D52</f>
        <v>0</v>
      </c>
      <c r="E50" s="275">
        <f>SUM(C50:D50)</f>
        <v>0</v>
      </c>
      <c r="F50" s="1"/>
    </row>
    <row r="51" spans="1:6" ht="12.75">
      <c r="A51" s="939" t="s">
        <v>1191</v>
      </c>
      <c r="B51" s="332" t="s">
        <v>676</v>
      </c>
      <c r="C51" s="286"/>
      <c r="D51" s="286"/>
      <c r="E51" s="275">
        <f>D51+C51</f>
        <v>0</v>
      </c>
      <c r="F51" s="1"/>
    </row>
    <row r="52" spans="1:6" ht="12.75">
      <c r="A52" s="939" t="s">
        <v>1192</v>
      </c>
      <c r="B52" s="332" t="s">
        <v>677</v>
      </c>
      <c r="C52" s="286"/>
      <c r="D52" s="286"/>
      <c r="E52" s="275">
        <f>D52+C52</f>
        <v>0</v>
      </c>
      <c r="F52" s="1"/>
    </row>
    <row r="53" spans="1:6" ht="6.75" customHeight="1" thickBot="1">
      <c r="A53" s="951"/>
      <c r="B53" s="652"/>
      <c r="C53" s="283"/>
      <c r="D53" s="283"/>
      <c r="E53" s="273"/>
      <c r="F53" s="1"/>
    </row>
    <row r="54" spans="1:6" ht="13.5" thickBot="1">
      <c r="A54" s="841" t="s">
        <v>1193</v>
      </c>
      <c r="B54" s="1061" t="s">
        <v>678</v>
      </c>
      <c r="C54" s="289">
        <f>23576+1003+616+646+23</f>
        <v>25864</v>
      </c>
      <c r="D54" s="289">
        <f>266005+764+480+492</f>
        <v>267741</v>
      </c>
      <c r="E54" s="474">
        <f>SUM(C54:D54)</f>
        <v>293605</v>
      </c>
      <c r="F54" s="1"/>
    </row>
    <row r="55" spans="1:6" ht="6" customHeight="1" thickBot="1">
      <c r="A55" s="1066"/>
      <c r="B55" s="1062"/>
      <c r="C55" s="285"/>
      <c r="D55" s="748"/>
      <c r="E55" s="587"/>
      <c r="F55" s="1"/>
    </row>
    <row r="56" spans="1:6" ht="18.75" customHeight="1" thickBot="1">
      <c r="A56" s="841" t="s">
        <v>1194</v>
      </c>
      <c r="B56" s="1063" t="s">
        <v>679</v>
      </c>
      <c r="C56" s="749">
        <f>C38+C40+C45+C54</f>
        <v>362651</v>
      </c>
      <c r="D56" s="749">
        <f>D38+D40+D45+D54</f>
        <v>361388</v>
      </c>
      <c r="E56" s="561">
        <f>D56+C56</f>
        <v>724039</v>
      </c>
      <c r="F56" s="1"/>
    </row>
    <row r="57" spans="1:6" ht="11.25" customHeight="1">
      <c r="A57" s="1547" t="s">
        <v>1320</v>
      </c>
      <c r="B57" s="1547"/>
      <c r="C57" s="1547"/>
      <c r="D57" s="1547"/>
      <c r="E57" s="1547"/>
      <c r="F57" s="1"/>
    </row>
    <row r="58" spans="1:6" ht="11.25" customHeight="1">
      <c r="A58" s="824"/>
      <c r="B58" s="824"/>
      <c r="C58" s="824"/>
      <c r="D58" s="824"/>
      <c r="E58" s="824"/>
      <c r="F58" s="1"/>
    </row>
    <row r="59" spans="2:6" ht="9" customHeight="1">
      <c r="B59" s="1574">
        <v>2</v>
      </c>
      <c r="C59" s="1574"/>
      <c r="D59" s="1574"/>
      <c r="E59" s="1574"/>
      <c r="F59" s="559"/>
    </row>
    <row r="60" spans="2:6" ht="14.25" customHeight="1">
      <c r="B60" s="1555" t="s">
        <v>159</v>
      </c>
      <c r="C60" s="1555"/>
      <c r="D60" s="1555"/>
      <c r="E60" s="1555"/>
      <c r="F60" s="1"/>
    </row>
    <row r="61" spans="2:6" ht="13.5" customHeight="1">
      <c r="B61" s="1555" t="s">
        <v>633</v>
      </c>
      <c r="C61" s="1555"/>
      <c r="D61" s="1555"/>
      <c r="E61" s="1555"/>
      <c r="F61" s="1"/>
    </row>
    <row r="62" spans="2:6" ht="13.5" thickBot="1">
      <c r="B62" s="1"/>
      <c r="C62" s="1"/>
      <c r="D62" s="54" t="s">
        <v>15</v>
      </c>
      <c r="E62" s="1"/>
      <c r="F62" s="1"/>
    </row>
    <row r="63" spans="1:6" ht="36.75" customHeight="1" thickBot="1">
      <c r="A63" s="938" t="s">
        <v>1148</v>
      </c>
      <c r="B63" s="552" t="s">
        <v>127</v>
      </c>
      <c r="C63" s="625" t="s">
        <v>162</v>
      </c>
      <c r="D63" s="638" t="s">
        <v>683</v>
      </c>
      <c r="E63" s="633" t="s">
        <v>163</v>
      </c>
      <c r="F63" s="1"/>
    </row>
    <row r="64" spans="1:6" ht="12.75" customHeight="1" thickBot="1">
      <c r="A64" s="1064" t="s">
        <v>1149</v>
      </c>
      <c r="B64" s="1007" t="s">
        <v>1150</v>
      </c>
      <c r="C64" s="1008" t="s">
        <v>1151</v>
      </c>
      <c r="D64" s="1009" t="s">
        <v>1152</v>
      </c>
      <c r="E64" s="1027" t="s">
        <v>1172</v>
      </c>
      <c r="F64" s="1"/>
    </row>
    <row r="65" spans="1:6" ht="15" customHeight="1" thickBot="1">
      <c r="A65" s="841" t="s">
        <v>1153</v>
      </c>
      <c r="B65" s="517" t="s">
        <v>646</v>
      </c>
      <c r="C65" s="626">
        <f>C71+C78</f>
        <v>834005</v>
      </c>
      <c r="D65" s="520">
        <f>D71+D78</f>
        <v>246614</v>
      </c>
      <c r="E65" s="634">
        <f>SUM(C65:D65)</f>
        <v>1080619</v>
      </c>
      <c r="F65" s="1"/>
    </row>
    <row r="66" spans="1:6" ht="12" customHeight="1">
      <c r="A66" s="950" t="s">
        <v>1154</v>
      </c>
      <c r="B66" s="535" t="s">
        <v>638</v>
      </c>
      <c r="C66" s="627"/>
      <c r="D66" s="516"/>
      <c r="E66" s="635"/>
      <c r="F66" s="1"/>
    </row>
    <row r="67" spans="1:6" ht="12" customHeight="1">
      <c r="A67" s="939" t="s">
        <v>1155</v>
      </c>
      <c r="B67" s="263" t="s">
        <v>634</v>
      </c>
      <c r="C67" s="478">
        <f>8000+1086+225+1</f>
        <v>9312</v>
      </c>
      <c r="D67" s="307">
        <f>'31_sz_ melléklet'!D67</f>
        <v>8600</v>
      </c>
      <c r="E67" s="586">
        <f>D67+C67</f>
        <v>17912</v>
      </c>
      <c r="F67" s="1"/>
    </row>
    <row r="68" spans="1:6" ht="11.25" customHeight="1">
      <c r="A68" s="939" t="s">
        <v>1156</v>
      </c>
      <c r="B68" s="245" t="s">
        <v>635</v>
      </c>
      <c r="C68" s="480">
        <f>32000-3258-1360+3450</f>
        <v>30832</v>
      </c>
      <c r="D68" s="307">
        <f>'31_sz_ melléklet'!D68</f>
        <v>134407</v>
      </c>
      <c r="E68" s="586">
        <f>D68+C68</f>
        <v>165239</v>
      </c>
      <c r="F68" s="1"/>
    </row>
    <row r="69" spans="1:6" ht="12" customHeight="1">
      <c r="A69" s="939" t="s">
        <v>1157</v>
      </c>
      <c r="B69" s="245" t="s">
        <v>636</v>
      </c>
      <c r="C69" s="480">
        <f>12000+1321+619+4000+237+224985+45302-276464+228851+221+11430-178+457+214823+13949+59171+21218+18507</f>
        <v>580449</v>
      </c>
      <c r="D69" s="307">
        <f>'31_sz_ melléklet'!D69</f>
        <v>27931</v>
      </c>
      <c r="E69" s="586">
        <f>D69+C69</f>
        <v>608380</v>
      </c>
      <c r="F69" s="1"/>
    </row>
    <row r="70" spans="1:6" ht="14.25" customHeight="1" thickBot="1">
      <c r="A70" s="951" t="s">
        <v>1158</v>
      </c>
      <c r="B70" s="536" t="s">
        <v>637</v>
      </c>
      <c r="C70" s="482">
        <f>2000+1+8+7402+83</f>
        <v>9494</v>
      </c>
      <c r="D70" s="336">
        <f>'31_sz_ melléklet'!D70</f>
        <v>305</v>
      </c>
      <c r="E70" s="636">
        <f>D70+C70</f>
        <v>9799</v>
      </c>
      <c r="F70" s="1"/>
    </row>
    <row r="71" spans="1:6" ht="15" customHeight="1" thickBot="1">
      <c r="A71" s="841" t="s">
        <v>1159</v>
      </c>
      <c r="B71" s="250" t="s">
        <v>161</v>
      </c>
      <c r="C71" s="483">
        <f>SUM(C67:C70)</f>
        <v>630087</v>
      </c>
      <c r="D71" s="505">
        <f>SUM(D67:D70)</f>
        <v>171243</v>
      </c>
      <c r="E71" s="637">
        <f>SUM(C71:D71)</f>
        <v>801330</v>
      </c>
      <c r="F71" s="1"/>
    </row>
    <row r="72" spans="1:6" ht="13.5" customHeight="1">
      <c r="A72" s="950" t="s">
        <v>1160</v>
      </c>
      <c r="B72" s="249" t="s">
        <v>647</v>
      </c>
      <c r="C72" s="485"/>
      <c r="D72" s="286"/>
      <c r="E72" s="275"/>
      <c r="F72" s="1"/>
    </row>
    <row r="73" spans="1:6" ht="12.75" customHeight="1">
      <c r="A73" s="939" t="s">
        <v>1161</v>
      </c>
      <c r="B73" s="537" t="s">
        <v>648</v>
      </c>
      <c r="C73" s="486">
        <f>'19 21_sz_ melléklet'!C87</f>
        <v>200024</v>
      </c>
      <c r="D73" s="506">
        <f>'31_sz_ melléklet'!D73</f>
        <v>73963</v>
      </c>
      <c r="E73" s="479">
        <f aca="true" t="shared" si="0" ref="E73:E78">SUM(C73:D73)</f>
        <v>273987</v>
      </c>
      <c r="F73" s="1"/>
    </row>
    <row r="74" spans="1:6" ht="12.75" customHeight="1">
      <c r="A74" s="939" t="s">
        <v>1162</v>
      </c>
      <c r="B74" s="538" t="s">
        <v>102</v>
      </c>
      <c r="C74" s="487">
        <f>'19 21_sz_ melléklet'!C91</f>
        <v>1498</v>
      </c>
      <c r="D74" s="506">
        <f>'31_sz_ melléklet'!D74</f>
        <v>0</v>
      </c>
      <c r="E74" s="479">
        <f t="shared" si="0"/>
        <v>1498</v>
      </c>
      <c r="F74" s="1"/>
    </row>
    <row r="75" spans="1:6" ht="12.75" customHeight="1">
      <c r="A75" s="939" t="s">
        <v>1163</v>
      </c>
      <c r="B75" s="538" t="s">
        <v>651</v>
      </c>
      <c r="C75" s="487">
        <f>'19 21_sz_ melléklet'!C128</f>
        <v>3894</v>
      </c>
      <c r="D75" s="506">
        <f>'31_sz_ melléklet'!D75</f>
        <v>1408</v>
      </c>
      <c r="E75" s="479">
        <f t="shared" si="0"/>
        <v>5302</v>
      </c>
      <c r="F75" s="1"/>
    </row>
    <row r="76" spans="1:6" ht="12.75" customHeight="1">
      <c r="A76" s="939" t="s">
        <v>1164</v>
      </c>
      <c r="B76" s="539" t="s">
        <v>649</v>
      </c>
      <c r="C76" s="489"/>
      <c r="D76" s="506">
        <f>'31_sz_ melléklet'!D76</f>
        <v>0</v>
      </c>
      <c r="E76" s="479">
        <f t="shared" si="0"/>
        <v>0</v>
      </c>
      <c r="F76" s="1"/>
    </row>
    <row r="77" spans="1:6" ht="12.75" customHeight="1" thickBot="1">
      <c r="A77" s="951" t="s">
        <v>1165</v>
      </c>
      <c r="B77" s="540" t="s">
        <v>652</v>
      </c>
      <c r="C77" s="491"/>
      <c r="D77" s="506">
        <f>'31_sz_ melléklet'!D77</f>
        <v>0</v>
      </c>
      <c r="E77" s="479">
        <f t="shared" si="0"/>
        <v>0</v>
      </c>
      <c r="F77" s="1"/>
    </row>
    <row r="78" spans="1:6" ht="15" customHeight="1" thickBot="1">
      <c r="A78" s="841" t="s">
        <v>1166</v>
      </c>
      <c r="B78" s="248" t="s">
        <v>650</v>
      </c>
      <c r="C78" s="493">
        <f>C73+C75+C76+C77</f>
        <v>203918</v>
      </c>
      <c r="D78" s="289">
        <f>D73+D75+D76+D77</f>
        <v>75371</v>
      </c>
      <c r="E78" s="474">
        <f t="shared" si="0"/>
        <v>279289</v>
      </c>
      <c r="F78" s="1"/>
    </row>
    <row r="79" spans="1:6" ht="3.75" customHeight="1" thickBot="1">
      <c r="A79" s="945"/>
      <c r="B79" s="541"/>
      <c r="C79" s="482"/>
      <c r="D79" s="291"/>
      <c r="E79" s="278"/>
      <c r="F79" s="1"/>
    </row>
    <row r="80" spans="1:6" ht="15" customHeight="1" thickBot="1">
      <c r="A80" s="947" t="s">
        <v>1167</v>
      </c>
      <c r="B80" s="475" t="s">
        <v>659</v>
      </c>
      <c r="C80" s="493">
        <f>C84+C89</f>
        <v>4755422</v>
      </c>
      <c r="D80" s="289">
        <f>D84+D89</f>
        <v>16197</v>
      </c>
      <c r="E80" s="474">
        <f>SUM(C80:D80)</f>
        <v>4771619</v>
      </c>
      <c r="F80" s="1"/>
    </row>
    <row r="81" spans="1:6" ht="15" customHeight="1">
      <c r="A81" s="946" t="s">
        <v>1168</v>
      </c>
      <c r="B81" s="249" t="s">
        <v>653</v>
      </c>
      <c r="C81" s="494"/>
      <c r="D81" s="510"/>
      <c r="E81" s="558"/>
      <c r="F81" s="1"/>
    </row>
    <row r="82" spans="1:6" ht="15" customHeight="1">
      <c r="A82" s="941" t="s">
        <v>1169</v>
      </c>
      <c r="B82" s="245" t="s">
        <v>654</v>
      </c>
      <c r="C82" s="480">
        <f>'22 24  sz. melléklet'!D17</f>
        <v>382994</v>
      </c>
      <c r="D82" s="367">
        <f>'31_sz_ melléklet'!D82</f>
        <v>250</v>
      </c>
      <c r="E82" s="481">
        <f>D82+C82</f>
        <v>383244</v>
      </c>
      <c r="F82" s="1"/>
    </row>
    <row r="83" spans="1:6" ht="15" customHeight="1" thickBot="1">
      <c r="A83" s="1065" t="s">
        <v>1170</v>
      </c>
      <c r="B83" s="542" t="s">
        <v>661</v>
      </c>
      <c r="C83" s="495">
        <f>'22 24  sz. melléklet'!D46</f>
        <v>195883</v>
      </c>
      <c r="D83" s="511">
        <f>'31_sz_ melléklet'!D83</f>
        <v>0</v>
      </c>
      <c r="E83" s="481">
        <f>D83+C83</f>
        <v>195883</v>
      </c>
      <c r="F83" s="1"/>
    </row>
    <row r="84" spans="1:6" ht="15" customHeight="1" thickBot="1">
      <c r="A84" s="947" t="s">
        <v>1171</v>
      </c>
      <c r="B84" s="475" t="s">
        <v>662</v>
      </c>
      <c r="C84" s="493">
        <f>C82+C83</f>
        <v>578877</v>
      </c>
      <c r="D84" s="289">
        <f>D82+D83</f>
        <v>250</v>
      </c>
      <c r="E84" s="474">
        <f>SUM(C84:D84)</f>
        <v>579127</v>
      </c>
      <c r="F84" s="1"/>
    </row>
    <row r="85" spans="1:6" ht="11.25" customHeight="1">
      <c r="A85" s="946" t="s">
        <v>1173</v>
      </c>
      <c r="B85" s="249" t="s">
        <v>655</v>
      </c>
      <c r="C85" s="482"/>
      <c r="D85" s="291"/>
      <c r="E85" s="278"/>
      <c r="F85" s="1"/>
    </row>
    <row r="86" spans="1:6" ht="15" customHeight="1">
      <c r="A86" s="941" t="s">
        <v>1174</v>
      </c>
      <c r="B86" s="245" t="s">
        <v>656</v>
      </c>
      <c r="C86" s="495">
        <f>' 27 28 sz. melléklet'!D35</f>
        <v>3664678</v>
      </c>
      <c r="D86" s="282">
        <f>'31_sz_ melléklet'!D86</f>
        <v>15947</v>
      </c>
      <c r="E86" s="272">
        <f>D86+C86</f>
        <v>3680625</v>
      </c>
      <c r="F86" s="1"/>
    </row>
    <row r="87" spans="1:6" ht="15" customHeight="1">
      <c r="A87" s="941" t="s">
        <v>1175</v>
      </c>
      <c r="B87" s="538" t="s">
        <v>657</v>
      </c>
      <c r="C87" s="498">
        <f>' 27 28 sz. melléklet'!D54</f>
        <v>511867</v>
      </c>
      <c r="D87" s="282">
        <f>'31_sz_ melléklet'!D87</f>
        <v>0</v>
      </c>
      <c r="E87" s="272">
        <f>D87+C87</f>
        <v>511867</v>
      </c>
      <c r="F87" s="1"/>
    </row>
    <row r="88" spans="1:6" ht="15" customHeight="1" thickBot="1">
      <c r="A88" s="1065" t="s">
        <v>1176</v>
      </c>
      <c r="B88" s="540" t="s">
        <v>658</v>
      </c>
      <c r="C88" s="482"/>
      <c r="D88" s="282">
        <f>'31_sz_ melléklet'!D88</f>
        <v>0</v>
      </c>
      <c r="E88" s="272">
        <f>D88+C88</f>
        <v>0</v>
      </c>
      <c r="F88" s="1"/>
    </row>
    <row r="89" spans="1:6" ht="15" customHeight="1" thickBot="1">
      <c r="A89" s="947" t="s">
        <v>1177</v>
      </c>
      <c r="B89" s="248" t="s">
        <v>660</v>
      </c>
      <c r="C89" s="493">
        <f>C86+C87+C88</f>
        <v>4176545</v>
      </c>
      <c r="D89" s="289">
        <f>D86+D87+D88</f>
        <v>15947</v>
      </c>
      <c r="E89" s="474">
        <f>SUM(C89:D89)</f>
        <v>4192492</v>
      </c>
      <c r="F89" s="1"/>
    </row>
    <row r="90" spans="1:6" ht="6.75" customHeight="1" thickBot="1">
      <c r="A90" s="945"/>
      <c r="B90" s="541"/>
      <c r="C90" s="482"/>
      <c r="D90" s="512"/>
      <c r="E90" s="278"/>
      <c r="F90" s="1"/>
    </row>
    <row r="91" spans="1:6" ht="24.75" customHeight="1" thickBot="1">
      <c r="A91" s="947" t="s">
        <v>1178</v>
      </c>
      <c r="B91" s="522" t="s">
        <v>663</v>
      </c>
      <c r="C91" s="493">
        <f>'29 sz. mell'!C31</f>
        <v>4835</v>
      </c>
      <c r="D91" s="289">
        <f>'31_sz_ melléklet'!D91</f>
        <v>0</v>
      </c>
      <c r="E91" s="474">
        <f>D91+C91</f>
        <v>4835</v>
      </c>
      <c r="F91" s="1"/>
    </row>
    <row r="92" spans="1:6" ht="6" customHeight="1" thickBot="1">
      <c r="A92" s="945"/>
      <c r="B92" s="247"/>
      <c r="C92" s="482"/>
      <c r="D92" s="291"/>
      <c r="E92" s="278"/>
      <c r="F92" s="1"/>
    </row>
    <row r="93" spans="1:6" ht="15" customHeight="1" thickBot="1">
      <c r="A93" s="947" t="s">
        <v>1179</v>
      </c>
      <c r="B93" s="248" t="s">
        <v>664</v>
      </c>
      <c r="C93" s="497">
        <f>C94</f>
        <v>0</v>
      </c>
      <c r="D93" s="284">
        <f>D94</f>
        <v>0</v>
      </c>
      <c r="E93" s="521">
        <f>SUM(C93:D93)</f>
        <v>0</v>
      </c>
      <c r="F93" s="1"/>
    </row>
    <row r="94" spans="1:6" ht="12.75" customHeight="1">
      <c r="A94" s="950" t="s">
        <v>1180</v>
      </c>
      <c r="B94" s="543" t="s">
        <v>666</v>
      </c>
      <c r="C94" s="524"/>
      <c r="D94" s="526"/>
      <c r="E94" s="527">
        <f>D94+C94</f>
        <v>0</v>
      </c>
      <c r="F94" s="1"/>
    </row>
    <row r="95" spans="1:6" ht="5.25" customHeight="1" thickBot="1">
      <c r="A95" s="951"/>
      <c r="B95" s="541"/>
      <c r="C95" s="482"/>
      <c r="D95" s="512"/>
      <c r="E95" s="499"/>
      <c r="F95" s="1"/>
    </row>
    <row r="96" spans="1:6" ht="27" customHeight="1" thickBot="1">
      <c r="A96" s="841" t="s">
        <v>1181</v>
      </c>
      <c r="B96" s="255" t="s">
        <v>665</v>
      </c>
      <c r="C96" s="483">
        <f>C65+C80+C91+C93</f>
        <v>5594262</v>
      </c>
      <c r="D96" s="505">
        <f>D65+D80+D91+D93</f>
        <v>262811</v>
      </c>
      <c r="E96" s="484">
        <f>SUM(C96:D96)</f>
        <v>5857073</v>
      </c>
      <c r="F96" s="1"/>
    </row>
    <row r="97" spans="1:6" ht="4.5" customHeight="1" thickBot="1">
      <c r="A97" s="952"/>
      <c r="B97" s="256"/>
      <c r="C97" s="500"/>
      <c r="D97" s="513"/>
      <c r="E97" s="501"/>
      <c r="F97" s="1"/>
    </row>
    <row r="98" spans="1:6" ht="27.75" customHeight="1" thickBot="1">
      <c r="A98" s="939" t="s">
        <v>1182</v>
      </c>
      <c r="B98" s="544" t="s">
        <v>669</v>
      </c>
      <c r="C98" s="483">
        <f>C99</f>
        <v>923805</v>
      </c>
      <c r="D98" s="505">
        <f>D99</f>
        <v>12857</v>
      </c>
      <c r="E98" s="484">
        <f>SUM(C98:D98)</f>
        <v>936662</v>
      </c>
      <c r="F98" s="1"/>
    </row>
    <row r="99" spans="1:6" ht="15" customHeight="1">
      <c r="A99" s="939" t="s">
        <v>1183</v>
      </c>
      <c r="B99" s="545" t="s">
        <v>671</v>
      </c>
      <c r="C99" s="486">
        <f>C100+C101</f>
        <v>923805</v>
      </c>
      <c r="D99" s="506">
        <f>D100+D101</f>
        <v>12857</v>
      </c>
      <c r="E99" s="479">
        <f>SUM(C99:D99)</f>
        <v>936662</v>
      </c>
      <c r="F99" s="1"/>
    </row>
    <row r="100" spans="1:6" ht="13.5" customHeight="1">
      <c r="A100" s="939" t="s">
        <v>1184</v>
      </c>
      <c r="B100" s="245" t="s">
        <v>667</v>
      </c>
      <c r="C100" s="480">
        <f>140+99+448+54+101+60685</f>
        <v>61527</v>
      </c>
      <c r="D100" s="367">
        <f>'31_sz_ melléklet'!D100</f>
        <v>10575</v>
      </c>
      <c r="E100" s="481">
        <f>SUM(C100:D100)</f>
        <v>72102</v>
      </c>
      <c r="F100" s="1"/>
    </row>
    <row r="101" spans="1:6" ht="12" customHeight="1">
      <c r="A101" s="939" t="s">
        <v>1185</v>
      </c>
      <c r="B101" s="245" t="s">
        <v>668</v>
      </c>
      <c r="C101" s="480">
        <f>818829+88000-19000-1000+204424-64553-35609-60685-96324+2363-600-155+26431-250+70+338-1</f>
        <v>862278</v>
      </c>
      <c r="D101" s="367">
        <f>'31_sz_ melléklet'!D101</f>
        <v>2282</v>
      </c>
      <c r="E101" s="481">
        <f>SUM(C101:D101)</f>
        <v>864560</v>
      </c>
      <c r="F101" s="1"/>
    </row>
    <row r="102" spans="1:5" ht="5.25" customHeight="1" thickBot="1">
      <c r="A102" s="951"/>
      <c r="B102" s="256"/>
      <c r="C102" s="500"/>
      <c r="D102" s="513"/>
      <c r="E102" s="501"/>
    </row>
    <row r="103" spans="1:5" ht="25.5" customHeight="1" thickBot="1">
      <c r="A103" s="841" t="s">
        <v>1186</v>
      </c>
      <c r="B103" s="624" t="s">
        <v>670</v>
      </c>
      <c r="C103" s="628">
        <f>C104+C108</f>
        <v>182299.7673333343</v>
      </c>
      <c r="D103" s="289">
        <f>D104+D108</f>
        <v>0</v>
      </c>
      <c r="E103" s="474">
        <f>SUM(C103:D103)</f>
        <v>182299.7673333343</v>
      </c>
    </row>
    <row r="104" spans="1:5" ht="12.75">
      <c r="A104" s="950" t="s">
        <v>1187</v>
      </c>
      <c r="B104" s="546" t="s">
        <v>674</v>
      </c>
      <c r="C104" s="629">
        <f>C105+C106</f>
        <v>104598</v>
      </c>
      <c r="D104" s="288">
        <f>D105+D106</f>
        <v>0</v>
      </c>
      <c r="E104" s="277">
        <f>SUM(C104:D104)</f>
        <v>104598</v>
      </c>
    </row>
    <row r="105" spans="1:5" ht="12.75">
      <c r="A105" s="939" t="s">
        <v>1188</v>
      </c>
      <c r="B105" s="230" t="s">
        <v>672</v>
      </c>
      <c r="C105" s="630"/>
      <c r="D105" s="286"/>
      <c r="E105" s="275">
        <f>D105+C105</f>
        <v>0</v>
      </c>
    </row>
    <row r="106" spans="1:5" ht="12.75">
      <c r="A106" s="939" t="s">
        <v>1189</v>
      </c>
      <c r="B106" s="230" t="s">
        <v>673</v>
      </c>
      <c r="C106" s="630">
        <f>'52 53 sz melléklet'!D25</f>
        <v>104598</v>
      </c>
      <c r="D106" s="286"/>
      <c r="E106" s="275">
        <f>D106+C106</f>
        <v>104598</v>
      </c>
    </row>
    <row r="107" spans="1:5" ht="5.25" customHeight="1">
      <c r="A107" s="939"/>
      <c r="B107" s="228"/>
      <c r="C107" s="630"/>
      <c r="D107" s="286"/>
      <c r="E107" s="275"/>
    </row>
    <row r="108" spans="1:5" ht="12.75">
      <c r="A108" s="939" t="s">
        <v>1190</v>
      </c>
      <c r="B108" s="547" t="s">
        <v>675</v>
      </c>
      <c r="C108" s="630">
        <f>C109+C110</f>
        <v>77701.76733333431</v>
      </c>
      <c r="D108" s="286">
        <f>D109+D110</f>
        <v>0</v>
      </c>
      <c r="E108" s="275">
        <f>SUM(C108:D108)</f>
        <v>77701.76733333431</v>
      </c>
    </row>
    <row r="109" spans="1:5" ht="12.75">
      <c r="A109" s="939" t="s">
        <v>1191</v>
      </c>
      <c r="B109" s="230" t="s">
        <v>676</v>
      </c>
      <c r="C109" s="630">
        <f>'37 sz melléklet'!C26</f>
        <v>77701.76733333431</v>
      </c>
      <c r="D109" s="286"/>
      <c r="E109" s="275">
        <f>D109+C109</f>
        <v>77701.76733333431</v>
      </c>
    </row>
    <row r="110" spans="1:5" ht="12.75">
      <c r="A110" s="939" t="s">
        <v>1192</v>
      </c>
      <c r="B110" s="230" t="s">
        <v>677</v>
      </c>
      <c r="C110" s="630">
        <f>'37 sz melléklet'!C50</f>
        <v>0</v>
      </c>
      <c r="D110" s="286"/>
      <c r="E110" s="275">
        <f>D110+C110</f>
        <v>0</v>
      </c>
    </row>
    <row r="111" spans="1:5" ht="4.5" customHeight="1" thickBot="1">
      <c r="A111" s="951"/>
      <c r="B111" s="548"/>
      <c r="C111" s="631"/>
      <c r="D111" s="283"/>
      <c r="E111" s="273"/>
    </row>
    <row r="112" spans="1:5" ht="13.5" thickBot="1">
      <c r="A112" s="841" t="s">
        <v>1193</v>
      </c>
      <c r="B112" s="533" t="s">
        <v>678</v>
      </c>
      <c r="C112" s="628">
        <v>0</v>
      </c>
      <c r="D112" s="289">
        <f>'31_sz_ melléklet'!D112</f>
        <v>1602229</v>
      </c>
      <c r="E112" s="474">
        <f>C112+D112</f>
        <v>1602229</v>
      </c>
    </row>
    <row r="113" spans="1:5" ht="3" customHeight="1" thickBot="1">
      <c r="A113" s="1066"/>
      <c r="B113" s="550"/>
      <c r="C113" s="632"/>
      <c r="D113" s="512"/>
      <c r="E113" s="499"/>
    </row>
    <row r="114" spans="1:5" ht="17.25" customHeight="1" thickBot="1">
      <c r="A114" s="841" t="s">
        <v>1194</v>
      </c>
      <c r="B114" s="236" t="s">
        <v>679</v>
      </c>
      <c r="C114" s="628">
        <f>C96+C98+C103+C112</f>
        <v>6700366.767333334</v>
      </c>
      <c r="D114" s="289">
        <f>D96+D98+D103+D112</f>
        <v>1877897</v>
      </c>
      <c r="E114" s="474">
        <f>SUM(C114:D114)</f>
        <v>8578263.767333334</v>
      </c>
    </row>
  </sheetData>
  <sheetProtection/>
  <mergeCells count="7">
    <mergeCell ref="A1:E1"/>
    <mergeCell ref="A57:E57"/>
    <mergeCell ref="B61:E61"/>
    <mergeCell ref="B2:E2"/>
    <mergeCell ref="B3:E3"/>
    <mergeCell ref="B60:E60"/>
    <mergeCell ref="B59:E59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91">
      <selection activeCell="D26" sqref="D26"/>
    </sheetView>
  </sheetViews>
  <sheetFormatPr defaultColWidth="9.140625" defaultRowHeight="12.75"/>
  <cols>
    <col min="1" max="1" width="5.00390625" style="0" customWidth="1"/>
    <col min="2" max="2" width="35.421875" style="0" customWidth="1"/>
    <col min="3" max="3" width="9.421875" style="0" customWidth="1"/>
    <col min="4" max="4" width="11.57421875" style="0" customWidth="1"/>
    <col min="5" max="5" width="9.8515625" style="0" customWidth="1"/>
    <col min="6" max="6" width="11.00390625" style="0" customWidth="1"/>
    <col min="7" max="7" width="11.140625" style="0" customWidth="1"/>
  </cols>
  <sheetData>
    <row r="1" spans="1:7" ht="12.75">
      <c r="A1" s="1587" t="s">
        <v>1321</v>
      </c>
      <c r="B1" s="1587"/>
      <c r="C1" s="1587"/>
      <c r="D1" s="1587"/>
      <c r="E1" s="1587"/>
      <c r="F1" s="1587"/>
      <c r="G1" s="1587"/>
    </row>
    <row r="2" spans="2:7" ht="12.75">
      <c r="B2" s="1"/>
      <c r="C2" s="1"/>
      <c r="D2" s="1"/>
      <c r="E2" s="54"/>
      <c r="F2" s="54"/>
      <c r="G2" s="1"/>
    </row>
    <row r="3" spans="2:7" ht="15.75">
      <c r="B3" s="1555" t="s">
        <v>164</v>
      </c>
      <c r="C3" s="1555"/>
      <c r="D3" s="1555"/>
      <c r="E3" s="1555"/>
      <c r="F3" s="1555"/>
      <c r="G3" s="1555"/>
    </row>
    <row r="4" spans="2:7" ht="15.75">
      <c r="B4" s="1555" t="s">
        <v>632</v>
      </c>
      <c r="C4" s="1555"/>
      <c r="D4" s="1555"/>
      <c r="E4" s="1555"/>
      <c r="F4" s="1555"/>
      <c r="G4" s="1555"/>
    </row>
    <row r="5" spans="2:7" ht="13.5" thickBot="1">
      <c r="B5" s="1"/>
      <c r="C5" s="1"/>
      <c r="D5" s="1"/>
      <c r="E5" s="54"/>
      <c r="F5" s="54" t="s">
        <v>15</v>
      </c>
      <c r="G5" s="1"/>
    </row>
    <row r="6" spans="1:7" ht="33.75" customHeight="1" thickBot="1">
      <c r="A6" s="938" t="s">
        <v>1148</v>
      </c>
      <c r="B6" s="534" t="s">
        <v>127</v>
      </c>
      <c r="C6" s="477" t="s">
        <v>682</v>
      </c>
      <c r="D6" s="502" t="s">
        <v>165</v>
      </c>
      <c r="E6" s="1067" t="s">
        <v>42</v>
      </c>
      <c r="F6" s="504" t="s">
        <v>43</v>
      </c>
      <c r="G6" s="633" t="s">
        <v>166</v>
      </c>
    </row>
    <row r="7" spans="1:7" ht="15.75" customHeight="1" thickBot="1">
      <c r="A7" s="1064" t="s">
        <v>1149</v>
      </c>
      <c r="B7" s="1028" t="s">
        <v>1150</v>
      </c>
      <c r="C7" s="1034" t="s">
        <v>1151</v>
      </c>
      <c r="D7" s="1034" t="s">
        <v>1152</v>
      </c>
      <c r="E7" s="1069" t="s">
        <v>1172</v>
      </c>
      <c r="F7" s="504" t="s">
        <v>1197</v>
      </c>
      <c r="G7" s="1072" t="s">
        <v>1198</v>
      </c>
    </row>
    <row r="8" spans="1:7" ht="15.75" customHeight="1" thickBot="1">
      <c r="A8" s="841" t="s">
        <v>1153</v>
      </c>
      <c r="B8" s="517" t="s">
        <v>646</v>
      </c>
      <c r="C8" s="518">
        <f>C14+C21</f>
        <v>23203</v>
      </c>
      <c r="D8" s="519">
        <f>D14+D21</f>
        <v>2650</v>
      </c>
      <c r="E8" s="626">
        <f>E14+E21</f>
        <v>17938</v>
      </c>
      <c r="F8" s="520">
        <f>F14+F21</f>
        <v>11344</v>
      </c>
      <c r="G8" s="556">
        <f>G14+G21</f>
        <v>60986</v>
      </c>
    </row>
    <row r="9" spans="1:7" ht="12.75" customHeight="1">
      <c r="A9" s="950" t="s">
        <v>1154</v>
      </c>
      <c r="B9" s="535" t="s">
        <v>638</v>
      </c>
      <c r="C9" s="514"/>
      <c r="D9" s="515"/>
      <c r="E9" s="627"/>
      <c r="F9" s="516"/>
      <c r="G9" s="557"/>
    </row>
    <row r="10" spans="1:7" ht="12.75">
      <c r="A10" s="939" t="s">
        <v>1155</v>
      </c>
      <c r="B10" s="263" t="s">
        <v>634</v>
      </c>
      <c r="C10" s="478"/>
      <c r="D10" s="466"/>
      <c r="E10" s="478"/>
      <c r="F10" s="506"/>
      <c r="G10" s="479">
        <f>8000+600</f>
        <v>8600</v>
      </c>
    </row>
    <row r="11" spans="1:7" ht="12.75">
      <c r="A11" s="939" t="s">
        <v>1156</v>
      </c>
      <c r="B11" s="245" t="s">
        <v>635</v>
      </c>
      <c r="C11" s="480"/>
      <c r="D11" s="44"/>
      <c r="E11" s="480">
        <v>7300</v>
      </c>
      <c r="F11" s="958">
        <f>3735+1100</f>
        <v>4835</v>
      </c>
      <c r="G11" s="481">
        <v>20150</v>
      </c>
    </row>
    <row r="12" spans="1:7" ht="12.75">
      <c r="A12" s="939" t="s">
        <v>1157</v>
      </c>
      <c r="B12" s="245" t="s">
        <v>636</v>
      </c>
      <c r="C12" s="480"/>
      <c r="D12" s="44"/>
      <c r="E12" s="480"/>
      <c r="F12" s="958"/>
      <c r="G12" s="481">
        <v>2400</v>
      </c>
    </row>
    <row r="13" spans="1:7" ht="13.5" thickBot="1">
      <c r="A13" s="951" t="s">
        <v>1158</v>
      </c>
      <c r="B13" s="536" t="s">
        <v>637</v>
      </c>
      <c r="C13" s="482"/>
      <c r="D13" s="458"/>
      <c r="E13" s="482"/>
      <c r="F13" s="958">
        <v>85</v>
      </c>
      <c r="G13" s="481">
        <f>100+100</f>
        <v>200</v>
      </c>
    </row>
    <row r="14" spans="1:7" s="26" customFormat="1" ht="13.5" thickBot="1">
      <c r="A14" s="841" t="s">
        <v>1159</v>
      </c>
      <c r="B14" s="250" t="s">
        <v>161</v>
      </c>
      <c r="C14" s="483">
        <f>SUM(C10:C13)</f>
        <v>0</v>
      </c>
      <c r="D14" s="459">
        <f>SUM(D10:D13)</f>
        <v>0</v>
      </c>
      <c r="E14" s="483">
        <f>SUM(E10:E13)</f>
        <v>7300</v>
      </c>
      <c r="F14" s="505">
        <f>SUM(F10:F13)</f>
        <v>4920</v>
      </c>
      <c r="G14" s="484">
        <f>SUM(G10:G13)</f>
        <v>31350</v>
      </c>
    </row>
    <row r="15" spans="1:7" s="26" customFormat="1" ht="12.75">
      <c r="A15" s="950" t="s">
        <v>1160</v>
      </c>
      <c r="B15" s="249" t="s">
        <v>647</v>
      </c>
      <c r="C15" s="485"/>
      <c r="D15" s="469"/>
      <c r="E15" s="485"/>
      <c r="F15" s="286"/>
      <c r="G15" s="275"/>
    </row>
    <row r="16" spans="1:7" ht="12.75">
      <c r="A16" s="939" t="s">
        <v>1161</v>
      </c>
      <c r="B16" s="537" t="s">
        <v>648</v>
      </c>
      <c r="C16" s="486">
        <f>'19 21_sz_ melléklet'!C70</f>
        <v>23203</v>
      </c>
      <c r="D16" s="461">
        <f>'19 21_sz_ melléklet'!C69</f>
        <v>2650</v>
      </c>
      <c r="E16" s="486">
        <f>'19 21_sz_ melléklet'!C71+'19 21_sz_ melléklet'!C72+'19 21_sz_ melléklet'!C73+'19 21_sz_ melléklet'!C74+'19 21_sz_ melléklet'!C75+'19 21_sz_ melléklet'!C76</f>
        <v>10330</v>
      </c>
      <c r="F16" s="291">
        <f>'19 21_sz_ melléklet'!C77+'19 21_sz_ melléklet'!C78+'19 21_sz_ melléklet'!C79+'19 21_sz_ melléklet'!C80+'19 21_sz_ melléklet'!C81</f>
        <v>5724</v>
      </c>
      <c r="G16" s="278">
        <f>'19 21_sz_ melléklet'!C83+'19 21_sz_ melléklet'!C84+'19 21_sz_ melléklet'!C85+'19 21_sz_ melléklet'!C86</f>
        <v>29236</v>
      </c>
    </row>
    <row r="17" spans="1:7" ht="12.75">
      <c r="A17" s="939" t="s">
        <v>1162</v>
      </c>
      <c r="B17" s="538" t="s">
        <v>102</v>
      </c>
      <c r="C17" s="487"/>
      <c r="D17" s="460"/>
      <c r="E17" s="487"/>
      <c r="F17" s="507"/>
      <c r="G17" s="488"/>
    </row>
    <row r="18" spans="1:7" ht="12.75">
      <c r="A18" s="939" t="s">
        <v>1163</v>
      </c>
      <c r="B18" s="538" t="s">
        <v>651</v>
      </c>
      <c r="C18" s="487"/>
      <c r="D18" s="460"/>
      <c r="E18" s="487">
        <f>'19 21_sz_ melléklet'!C124+'19 21_sz_ melléklet'!C125</f>
        <v>308</v>
      </c>
      <c r="F18" s="507">
        <f>'19 21_sz_ melléklet'!C126</f>
        <v>700</v>
      </c>
      <c r="G18" s="488">
        <f>'19 21_sz_ melléklet'!C129</f>
        <v>400</v>
      </c>
    </row>
    <row r="19" spans="1:7" ht="12.75">
      <c r="A19" s="939" t="s">
        <v>1164</v>
      </c>
      <c r="B19" s="539" t="s">
        <v>649</v>
      </c>
      <c r="C19" s="489"/>
      <c r="D19" s="468"/>
      <c r="E19" s="489"/>
      <c r="F19" s="508"/>
      <c r="G19" s="490"/>
    </row>
    <row r="20" spans="1:7" ht="13.5" thickBot="1">
      <c r="A20" s="951" t="s">
        <v>1165</v>
      </c>
      <c r="B20" s="540" t="s">
        <v>652</v>
      </c>
      <c r="C20" s="491"/>
      <c r="D20" s="471"/>
      <c r="E20" s="491"/>
      <c r="F20" s="509"/>
      <c r="G20" s="492"/>
    </row>
    <row r="21" spans="1:7" ht="13.5" thickBot="1">
      <c r="A21" s="841" t="s">
        <v>1166</v>
      </c>
      <c r="B21" s="248" t="s">
        <v>650</v>
      </c>
      <c r="C21" s="493">
        <f>C16+C18+C19+C20</f>
        <v>23203</v>
      </c>
      <c r="D21" s="472">
        <f>D16+D18+D19+D20</f>
        <v>2650</v>
      </c>
      <c r="E21" s="493">
        <f>E16+E18+E19+E20</f>
        <v>10638</v>
      </c>
      <c r="F21" s="289">
        <f>F16+F18+F19+F20</f>
        <v>6424</v>
      </c>
      <c r="G21" s="474">
        <f>G16+G18+G19+G20</f>
        <v>29636</v>
      </c>
    </row>
    <row r="22" spans="1:7" ht="6.75" customHeight="1" thickBot="1">
      <c r="A22" s="945"/>
      <c r="B22" s="541"/>
      <c r="C22" s="482"/>
      <c r="D22" s="458"/>
      <c r="E22" s="482"/>
      <c r="F22" s="291"/>
      <c r="G22" s="278"/>
    </row>
    <row r="23" spans="1:7" ht="13.5" thickBot="1">
      <c r="A23" s="947" t="s">
        <v>1167</v>
      </c>
      <c r="B23" s="475" t="s">
        <v>659</v>
      </c>
      <c r="C23" s="493">
        <f>C27+C32</f>
        <v>0</v>
      </c>
      <c r="D23" s="472">
        <f>D27+D32</f>
        <v>250</v>
      </c>
      <c r="E23" s="493">
        <f>E27+E32</f>
        <v>0</v>
      </c>
      <c r="F23" s="289">
        <f>F27+F32</f>
        <v>554</v>
      </c>
      <c r="G23" s="474">
        <f>G27+G32</f>
        <v>15393</v>
      </c>
    </row>
    <row r="24" spans="1:7" s="26" customFormat="1" ht="12.75">
      <c r="A24" s="946" t="s">
        <v>1168</v>
      </c>
      <c r="B24" s="249" t="s">
        <v>653</v>
      </c>
      <c r="C24" s="494"/>
      <c r="D24" s="467"/>
      <c r="E24" s="494"/>
      <c r="F24" s="510"/>
      <c r="G24" s="558"/>
    </row>
    <row r="25" spans="1:7" ht="12.75">
      <c r="A25" s="941" t="s">
        <v>1169</v>
      </c>
      <c r="B25" s="245" t="s">
        <v>654</v>
      </c>
      <c r="C25" s="480"/>
      <c r="D25" s="44">
        <f>'22 24  sz. melléklet'!C10</f>
        <v>250</v>
      </c>
      <c r="E25" s="480"/>
      <c r="F25" s="367"/>
      <c r="G25" s="481"/>
    </row>
    <row r="26" spans="1:7" ht="13.5" thickBot="1">
      <c r="A26" s="1065" t="s">
        <v>1170</v>
      </c>
      <c r="B26" s="542" t="s">
        <v>661</v>
      </c>
      <c r="C26" s="495"/>
      <c r="D26" s="463"/>
      <c r="E26" s="495"/>
      <c r="F26" s="511"/>
      <c r="G26" s="496"/>
    </row>
    <row r="27" spans="1:7" ht="13.5" thickBot="1">
      <c r="A27" s="947" t="s">
        <v>1171</v>
      </c>
      <c r="B27" s="475" t="s">
        <v>662</v>
      </c>
      <c r="C27" s="497">
        <f>C25+C26</f>
        <v>0</v>
      </c>
      <c r="D27" s="476">
        <f>D25+D26</f>
        <v>250</v>
      </c>
      <c r="E27" s="497">
        <f>E25+E26</f>
        <v>0</v>
      </c>
      <c r="F27" s="284">
        <f>F25+F26</f>
        <v>0</v>
      </c>
      <c r="G27" s="521">
        <f>G25+G26</f>
        <v>0</v>
      </c>
    </row>
    <row r="28" spans="1:7" ht="12.75">
      <c r="A28" s="946" t="s">
        <v>1173</v>
      </c>
      <c r="B28" s="249" t="s">
        <v>655</v>
      </c>
      <c r="C28" s="482"/>
      <c r="D28" s="458"/>
      <c r="E28" s="482"/>
      <c r="F28" s="291"/>
      <c r="G28" s="278"/>
    </row>
    <row r="29" spans="1:7" ht="12.75">
      <c r="A29" s="941" t="s">
        <v>1174</v>
      </c>
      <c r="B29" s="245" t="s">
        <v>656</v>
      </c>
      <c r="C29" s="495"/>
      <c r="D29" s="470"/>
      <c r="E29" s="736"/>
      <c r="F29" s="282">
        <f>' 27 28 sz. melléklet'!D13</f>
        <v>554</v>
      </c>
      <c r="G29" s="272">
        <f>' 27 28 sz. melléklet'!D14</f>
        <v>15393</v>
      </c>
    </row>
    <row r="30" spans="1:7" ht="12.75">
      <c r="A30" s="941" t="s">
        <v>1175</v>
      </c>
      <c r="B30" s="538" t="s">
        <v>657</v>
      </c>
      <c r="C30" s="498"/>
      <c r="D30" s="473"/>
      <c r="E30" s="738"/>
      <c r="F30" s="285"/>
      <c r="G30" s="274"/>
    </row>
    <row r="31" spans="1:7" ht="13.5" thickBot="1">
      <c r="A31" s="1065" t="s">
        <v>1176</v>
      </c>
      <c r="B31" s="540" t="s">
        <v>658</v>
      </c>
      <c r="C31" s="482"/>
      <c r="D31" s="458"/>
      <c r="E31" s="482"/>
      <c r="F31" s="291"/>
      <c r="G31" s="278"/>
    </row>
    <row r="32" spans="1:7" ht="13.5" thickBot="1">
      <c r="A32" s="947" t="s">
        <v>1177</v>
      </c>
      <c r="B32" s="248" t="s">
        <v>660</v>
      </c>
      <c r="C32" s="493">
        <f>C29+C30+C31</f>
        <v>0</v>
      </c>
      <c r="D32" s="472">
        <f>D29+D30+D31</f>
        <v>0</v>
      </c>
      <c r="E32" s="493">
        <f>E29+E30+E31</f>
        <v>0</v>
      </c>
      <c r="F32" s="289">
        <f>F29+F30+F31</f>
        <v>554</v>
      </c>
      <c r="G32" s="474">
        <f>G29+G30+G31</f>
        <v>15393</v>
      </c>
    </row>
    <row r="33" spans="1:7" ht="5.25" customHeight="1" thickBot="1">
      <c r="A33" s="945"/>
      <c r="B33" s="541"/>
      <c r="C33" s="482"/>
      <c r="D33" s="464"/>
      <c r="E33" s="482"/>
      <c r="F33" s="291"/>
      <c r="G33" s="278"/>
    </row>
    <row r="34" spans="1:7" ht="24.75" thickBot="1">
      <c r="A34" s="947" t="s">
        <v>1178</v>
      </c>
      <c r="B34" s="522" t="s">
        <v>663</v>
      </c>
      <c r="C34" s="497"/>
      <c r="D34" s="523"/>
      <c r="E34" s="497"/>
      <c r="F34" s="284"/>
      <c r="G34" s="521"/>
    </row>
    <row r="35" spans="1:7" ht="6" customHeight="1" thickBot="1">
      <c r="A35" s="945"/>
      <c r="B35" s="247"/>
      <c r="C35" s="482"/>
      <c r="D35" s="458"/>
      <c r="E35" s="482"/>
      <c r="F35" s="291"/>
      <c r="G35" s="278"/>
    </row>
    <row r="36" spans="1:7" ht="13.5" thickBot="1">
      <c r="A36" s="947" t="s">
        <v>1179</v>
      </c>
      <c r="B36" s="248" t="s">
        <v>664</v>
      </c>
      <c r="C36" s="497">
        <f>C37</f>
        <v>0</v>
      </c>
      <c r="D36" s="497">
        <f>D37</f>
        <v>0</v>
      </c>
      <c r="E36" s="497">
        <f>E37</f>
        <v>0</v>
      </c>
      <c r="F36" s="284">
        <f>F37</f>
        <v>0</v>
      </c>
      <c r="G36" s="521">
        <f>G37</f>
        <v>0</v>
      </c>
    </row>
    <row r="37" spans="1:7" ht="12.75" customHeight="1">
      <c r="A37" s="950" t="s">
        <v>1180</v>
      </c>
      <c r="B37" s="543" t="s">
        <v>666</v>
      </c>
      <c r="C37" s="524"/>
      <c r="D37" s="525"/>
      <c r="E37" s="524"/>
      <c r="F37" s="526"/>
      <c r="G37" s="527"/>
    </row>
    <row r="38" spans="1:7" ht="6" customHeight="1" thickBot="1">
      <c r="A38" s="951"/>
      <c r="B38" s="541"/>
      <c r="C38" s="482"/>
      <c r="D38" s="464"/>
      <c r="E38" s="1070"/>
      <c r="F38" s="512"/>
      <c r="G38" s="499"/>
    </row>
    <row r="39" spans="1:7" ht="30.75" customHeight="1" thickBot="1">
      <c r="A39" s="841" t="s">
        <v>1181</v>
      </c>
      <c r="B39" s="255" t="s">
        <v>665</v>
      </c>
      <c r="C39" s="483">
        <f>C8+C23+C34+C36</f>
        <v>23203</v>
      </c>
      <c r="D39" s="483">
        <f>D8+D23+D34+D36</f>
        <v>2900</v>
      </c>
      <c r="E39" s="483">
        <f>E8+E23+E34+E36</f>
        <v>17938</v>
      </c>
      <c r="F39" s="505">
        <f>F8+F23+F34+F36</f>
        <v>11898</v>
      </c>
      <c r="G39" s="484">
        <f>G8+G23+G34+G36</f>
        <v>76379</v>
      </c>
    </row>
    <row r="40" spans="1:7" ht="6" customHeight="1" thickBot="1">
      <c r="A40" s="952"/>
      <c r="B40" s="256"/>
      <c r="C40" s="500"/>
      <c r="D40" s="462"/>
      <c r="E40" s="500"/>
      <c r="F40" s="513"/>
      <c r="G40" s="501"/>
    </row>
    <row r="41" spans="1:7" ht="25.5" customHeight="1" thickBot="1">
      <c r="A41" s="939" t="s">
        <v>1182</v>
      </c>
      <c r="B41" s="544" t="s">
        <v>669</v>
      </c>
      <c r="C41" s="483">
        <f>C42</f>
        <v>1241</v>
      </c>
      <c r="D41" s="483">
        <f>D42</f>
        <v>1281</v>
      </c>
      <c r="E41" s="483">
        <f>E42</f>
        <v>4323</v>
      </c>
      <c r="F41" s="505">
        <f>F42</f>
        <v>2784</v>
      </c>
      <c r="G41" s="484">
        <f>G42</f>
        <v>3228</v>
      </c>
    </row>
    <row r="42" spans="1:7" ht="12.75">
      <c r="A42" s="939" t="s">
        <v>1183</v>
      </c>
      <c r="B42" s="545" t="s">
        <v>671</v>
      </c>
      <c r="C42" s="486">
        <v>1241</v>
      </c>
      <c r="D42" s="461">
        <f>D43+D44</f>
        <v>1281</v>
      </c>
      <c r="E42" s="486">
        <f>E43+E44</f>
        <v>4323</v>
      </c>
      <c r="F42" s="506">
        <f>F43+F44</f>
        <v>2784</v>
      </c>
      <c r="G42" s="479">
        <f>G43+G44</f>
        <v>3228</v>
      </c>
    </row>
    <row r="43" spans="1:7" ht="12.75">
      <c r="A43" s="939" t="s">
        <v>1184</v>
      </c>
      <c r="B43" s="245" t="s">
        <v>667</v>
      </c>
      <c r="C43" s="480">
        <v>1241</v>
      </c>
      <c r="D43" s="44">
        <v>531</v>
      </c>
      <c r="E43" s="480">
        <v>4323</v>
      </c>
      <c r="F43" s="367">
        <v>2022</v>
      </c>
      <c r="G43" s="481">
        <v>2458</v>
      </c>
    </row>
    <row r="44" spans="1:7" ht="12.75">
      <c r="A44" s="939" t="s">
        <v>1185</v>
      </c>
      <c r="B44" s="245" t="s">
        <v>668</v>
      </c>
      <c r="C44" s="480">
        <v>0</v>
      </c>
      <c r="D44" s="44">
        <v>750</v>
      </c>
      <c r="E44" s="480">
        <v>0</v>
      </c>
      <c r="F44" s="367">
        <v>762</v>
      </c>
      <c r="G44" s="481">
        <v>770</v>
      </c>
    </row>
    <row r="45" spans="1:7" ht="7.5" customHeight="1" thickBot="1">
      <c r="A45" s="951"/>
      <c r="B45" s="256"/>
      <c r="C45" s="500"/>
      <c r="D45" s="462"/>
      <c r="E45" s="500"/>
      <c r="F45" s="513"/>
      <c r="G45" s="501"/>
    </row>
    <row r="46" spans="1:7" ht="33" thickBot="1">
      <c r="A46" s="841" t="s">
        <v>1186</v>
      </c>
      <c r="B46" s="529" t="s">
        <v>670</v>
      </c>
      <c r="C46" s="270">
        <f>C47+C51</f>
        <v>0</v>
      </c>
      <c r="D46" s="270">
        <f>D47+D51</f>
        <v>0</v>
      </c>
      <c r="E46" s="628">
        <f>E47+E51</f>
        <v>0</v>
      </c>
      <c r="F46" s="289">
        <f>F47+F51</f>
        <v>0</v>
      </c>
      <c r="G46" s="474">
        <f>G47+G51</f>
        <v>0</v>
      </c>
    </row>
    <row r="47" spans="1:7" ht="12.75">
      <c r="A47" s="950" t="s">
        <v>1187</v>
      </c>
      <c r="B47" s="546" t="s">
        <v>674</v>
      </c>
      <c r="C47" s="238">
        <f>C48+C49</f>
        <v>0</v>
      </c>
      <c r="D47" s="238">
        <f>D48+D49</f>
        <v>0</v>
      </c>
      <c r="E47" s="629">
        <f>E48+E49</f>
        <v>0</v>
      </c>
      <c r="F47" s="288">
        <f>F48+F49</f>
        <v>0</v>
      </c>
      <c r="G47" s="277">
        <f>G48+G49</f>
        <v>0</v>
      </c>
    </row>
    <row r="48" spans="1:7" ht="12.75">
      <c r="A48" s="939" t="s">
        <v>1188</v>
      </c>
      <c r="B48" s="230" t="s">
        <v>672</v>
      </c>
      <c r="C48" s="224"/>
      <c r="D48" s="224"/>
      <c r="E48" s="630"/>
      <c r="F48" s="286"/>
      <c r="G48" s="275"/>
    </row>
    <row r="49" spans="1:7" ht="12.75">
      <c r="A49" s="939" t="s">
        <v>1189</v>
      </c>
      <c r="B49" s="230" t="s">
        <v>673</v>
      </c>
      <c r="C49" s="224"/>
      <c r="D49" s="224"/>
      <c r="E49" s="630"/>
      <c r="F49" s="286"/>
      <c r="G49" s="275"/>
    </row>
    <row r="50" spans="1:7" ht="4.5" customHeight="1">
      <c r="A50" s="939"/>
      <c r="B50" s="228"/>
      <c r="C50" s="224"/>
      <c r="D50" s="224"/>
      <c r="E50" s="630"/>
      <c r="F50" s="286"/>
      <c r="G50" s="275"/>
    </row>
    <row r="51" spans="1:7" ht="12.75">
      <c r="A51" s="939" t="s">
        <v>1190</v>
      </c>
      <c r="B51" s="547" t="s">
        <v>675</v>
      </c>
      <c r="C51" s="224">
        <f>C52+C53</f>
        <v>0</v>
      </c>
      <c r="D51" s="224">
        <f>D52+D53</f>
        <v>0</v>
      </c>
      <c r="E51" s="630">
        <f>E52+E53</f>
        <v>0</v>
      </c>
      <c r="F51" s="286">
        <f>F52+F53</f>
        <v>0</v>
      </c>
      <c r="G51" s="275">
        <f>G52+G53</f>
        <v>0</v>
      </c>
    </row>
    <row r="52" spans="1:7" ht="12.75">
      <c r="A52" s="939" t="s">
        <v>1191</v>
      </c>
      <c r="B52" s="230" t="s">
        <v>676</v>
      </c>
      <c r="C52" s="224"/>
      <c r="D52" s="224"/>
      <c r="E52" s="630"/>
      <c r="F52" s="286"/>
      <c r="G52" s="275"/>
    </row>
    <row r="53" spans="1:7" ht="12.75">
      <c r="A53" s="939" t="s">
        <v>1192</v>
      </c>
      <c r="B53" s="230" t="s">
        <v>677</v>
      </c>
      <c r="C53" s="224"/>
      <c r="D53" s="224"/>
      <c r="E53" s="630"/>
      <c r="F53" s="286"/>
      <c r="G53" s="275"/>
    </row>
    <row r="54" spans="1:7" ht="5.25" customHeight="1" thickBot="1">
      <c r="A54" s="951"/>
      <c r="B54" s="548"/>
      <c r="C54" s="237"/>
      <c r="D54" s="237"/>
      <c r="E54" s="631"/>
      <c r="F54" s="283"/>
      <c r="G54" s="273"/>
    </row>
    <row r="55" spans="1:7" ht="13.5" thickBot="1">
      <c r="A55" s="841" t="s">
        <v>1193</v>
      </c>
      <c r="B55" s="533" t="s">
        <v>678</v>
      </c>
      <c r="C55" s="270">
        <v>251474</v>
      </c>
      <c r="D55" s="270">
        <v>221558</v>
      </c>
      <c r="E55" s="628">
        <v>465811</v>
      </c>
      <c r="F55" s="289">
        <f>199626+76+693+520+10000+504+1050+3240+569+186+1218</f>
        <v>217682</v>
      </c>
      <c r="G55" s="474">
        <f>262602+333+1202+936+693+1290+7680+908+297+1052-1620-42</f>
        <v>275331</v>
      </c>
    </row>
    <row r="56" spans="1:7" ht="9" customHeight="1" thickBot="1">
      <c r="A56" s="1066"/>
      <c r="B56" s="550"/>
      <c r="C56" s="531"/>
      <c r="D56" s="532"/>
      <c r="E56" s="1071"/>
      <c r="F56" s="512"/>
      <c r="G56" s="499"/>
    </row>
    <row r="57" spans="1:7" ht="17.25" customHeight="1" thickBot="1">
      <c r="A57" s="841" t="s">
        <v>1194</v>
      </c>
      <c r="B57" s="236" t="s">
        <v>679</v>
      </c>
      <c r="C57" s="270">
        <f>C39+C41+C46+C55</f>
        <v>275918</v>
      </c>
      <c r="D57" s="270">
        <f>D39+D41+D46+D55</f>
        <v>225739</v>
      </c>
      <c r="E57" s="628">
        <f>E39+E41+E46+E55</f>
        <v>488072</v>
      </c>
      <c r="F57" s="289">
        <f>F39+F41+F46+F55</f>
        <v>232364</v>
      </c>
      <c r="G57" s="474">
        <f>G39+G41+G46+G55</f>
        <v>354938</v>
      </c>
    </row>
    <row r="58" spans="1:7" ht="17.25" customHeight="1">
      <c r="A58" s="1547" t="s">
        <v>1321</v>
      </c>
      <c r="B58" s="1547"/>
      <c r="C58" s="1547"/>
      <c r="D58" s="1547"/>
      <c r="E58" s="1547"/>
      <c r="F58" s="57"/>
      <c r="G58" s="57"/>
    </row>
    <row r="59" spans="2:7" ht="12.75">
      <c r="B59" s="1565">
        <v>2</v>
      </c>
      <c r="C59" s="1565"/>
      <c r="D59" s="1565"/>
      <c r="E59" s="1565"/>
      <c r="F59" s="1565"/>
      <c r="G59" s="1565"/>
    </row>
    <row r="60" spans="2:7" ht="15.75">
      <c r="B60" s="1555" t="s">
        <v>164</v>
      </c>
      <c r="C60" s="1555"/>
      <c r="D60" s="1555"/>
      <c r="E60" s="1555"/>
      <c r="F60" s="1555"/>
      <c r="G60" s="1555"/>
    </row>
    <row r="61" spans="2:7" ht="15.75">
      <c r="B61" s="1555" t="s">
        <v>632</v>
      </c>
      <c r="C61" s="1555"/>
      <c r="D61" s="1555"/>
      <c r="E61" s="1555"/>
      <c r="F61" s="1555"/>
      <c r="G61" s="1555"/>
    </row>
    <row r="62" spans="2:7" ht="13.5" thickBot="1">
      <c r="B62" s="1"/>
      <c r="C62" s="1"/>
      <c r="D62" s="1"/>
      <c r="E62" s="54"/>
      <c r="F62" s="54" t="s">
        <v>15</v>
      </c>
      <c r="G62" s="1"/>
    </row>
    <row r="63" spans="1:7" ht="46.5" customHeight="1" thickBot="1">
      <c r="A63" s="938" t="s">
        <v>1148</v>
      </c>
      <c r="B63" s="552" t="s">
        <v>127</v>
      </c>
      <c r="C63" s="553" t="s">
        <v>167</v>
      </c>
      <c r="D63" s="554" t="s">
        <v>168</v>
      </c>
      <c r="E63" s="555" t="s">
        <v>169</v>
      </c>
      <c r="F63" s="528" t="s">
        <v>170</v>
      </c>
      <c r="G63" s="1"/>
    </row>
    <row r="64" spans="1:7" ht="12" customHeight="1" thickBot="1">
      <c r="A64" s="1064" t="s">
        <v>1149</v>
      </c>
      <c r="B64" s="1028" t="s">
        <v>1150</v>
      </c>
      <c r="C64" s="1034" t="s">
        <v>1151</v>
      </c>
      <c r="D64" s="1034" t="s">
        <v>1152</v>
      </c>
      <c r="E64" s="1016" t="s">
        <v>1172</v>
      </c>
      <c r="F64" s="633" t="s">
        <v>1197</v>
      </c>
      <c r="G64" s="1"/>
    </row>
    <row r="65" spans="1:6" ht="13.5" thickBot="1">
      <c r="A65" s="841" t="s">
        <v>1153</v>
      </c>
      <c r="B65" s="517" t="s">
        <v>646</v>
      </c>
      <c r="C65" s="518">
        <f>C71+C78</f>
        <v>130493</v>
      </c>
      <c r="D65" s="519">
        <f>C65+G8+F8+E8+D8+C8</f>
        <v>246614</v>
      </c>
      <c r="E65" s="520">
        <f>E71+E78</f>
        <v>15</v>
      </c>
      <c r="F65" s="556">
        <f>F71+F78</f>
        <v>246629</v>
      </c>
    </row>
    <row r="66" spans="1:6" ht="12.75">
      <c r="A66" s="950" t="s">
        <v>1154</v>
      </c>
      <c r="B66" s="535" t="s">
        <v>638</v>
      </c>
      <c r="C66" s="514"/>
      <c r="D66" s="714"/>
      <c r="E66" s="516"/>
      <c r="F66" s="557"/>
    </row>
    <row r="67" spans="1:6" ht="12.75">
      <c r="A67" s="939" t="s">
        <v>1155</v>
      </c>
      <c r="B67" s="263" t="s">
        <v>634</v>
      </c>
      <c r="C67" s="478"/>
      <c r="D67" s="714">
        <f>C67+G10+F10+E10+D10+C10</f>
        <v>8600</v>
      </c>
      <c r="E67" s="336"/>
      <c r="F67" s="479">
        <f>SUM(D67:E67)</f>
        <v>8600</v>
      </c>
    </row>
    <row r="68" spans="1:6" ht="12" customHeight="1">
      <c r="A68" s="939" t="s">
        <v>1156</v>
      </c>
      <c r="B68" s="245" t="s">
        <v>635</v>
      </c>
      <c r="C68" s="480">
        <f>113122-11000</f>
        <v>102122</v>
      </c>
      <c r="D68" s="714">
        <f>C68+G11+F11+E11+D11+C11</f>
        <v>134407</v>
      </c>
      <c r="E68" s="367">
        <v>15</v>
      </c>
      <c r="F68" s="479">
        <f>SUM(D68:E68)</f>
        <v>134422</v>
      </c>
    </row>
    <row r="69" spans="1:6" ht="12.75" customHeight="1">
      <c r="A69" s="939" t="s">
        <v>1157</v>
      </c>
      <c r="B69" s="245" t="s">
        <v>636</v>
      </c>
      <c r="C69" s="480">
        <f>28281-2750</f>
        <v>25531</v>
      </c>
      <c r="D69" s="714">
        <f>C69+G12+F12+E12+D12+C12</f>
        <v>27931</v>
      </c>
      <c r="E69" s="367"/>
      <c r="F69" s="479">
        <f>SUM(D69:E69)</f>
        <v>27931</v>
      </c>
    </row>
    <row r="70" spans="1:6" ht="13.5" thickBot="1">
      <c r="A70" s="951" t="s">
        <v>1158</v>
      </c>
      <c r="B70" s="536" t="s">
        <v>637</v>
      </c>
      <c r="C70" s="482">
        <v>20</v>
      </c>
      <c r="D70" s="714">
        <f>C70+G13+F13+E13+D13+C13</f>
        <v>305</v>
      </c>
      <c r="E70" s="291"/>
      <c r="F70" s="479">
        <f>SUM(D70:E70)</f>
        <v>305</v>
      </c>
    </row>
    <row r="71" spans="1:6" ht="13.5" thickBot="1">
      <c r="A71" s="841" t="s">
        <v>1159</v>
      </c>
      <c r="B71" s="250" t="s">
        <v>161</v>
      </c>
      <c r="C71" s="483">
        <f>SUM(C67:C70)</f>
        <v>127673</v>
      </c>
      <c r="D71" s="459">
        <f>SUM(D67:D70)</f>
        <v>171243</v>
      </c>
      <c r="E71" s="505">
        <f>SUM(E67:E70)</f>
        <v>15</v>
      </c>
      <c r="F71" s="640">
        <f>SUM(F67:F70)</f>
        <v>171258</v>
      </c>
    </row>
    <row r="72" spans="1:6" ht="12.75">
      <c r="A72" s="950" t="s">
        <v>1160</v>
      </c>
      <c r="B72" s="249" t="s">
        <v>647</v>
      </c>
      <c r="C72" s="485"/>
      <c r="D72" s="469"/>
      <c r="E72" s="485"/>
      <c r="F72" s="526"/>
    </row>
    <row r="73" spans="1:6" ht="12.75">
      <c r="A73" s="939" t="s">
        <v>1161</v>
      </c>
      <c r="B73" s="537" t="s">
        <v>648</v>
      </c>
      <c r="C73" s="486">
        <f>'19 21_sz_ melléklet'!C82</f>
        <v>2820</v>
      </c>
      <c r="D73" s="461">
        <f>C73+G16+F16+E16+D16+C16</f>
        <v>73963</v>
      </c>
      <c r="E73" s="486"/>
      <c r="F73" s="282">
        <f>SUM(D73:E73)</f>
        <v>73963</v>
      </c>
    </row>
    <row r="74" spans="1:6" ht="12.75">
      <c r="A74" s="939" t="s">
        <v>1162</v>
      </c>
      <c r="B74" s="538" t="s">
        <v>102</v>
      </c>
      <c r="C74" s="487"/>
      <c r="D74" s="461">
        <f>C74+G17+F17+E17+D17+C17</f>
        <v>0</v>
      </c>
      <c r="E74" s="487"/>
      <c r="F74" s="282">
        <f>SUM(D74:E74)</f>
        <v>0</v>
      </c>
    </row>
    <row r="75" spans="1:6" ht="12.75">
      <c r="A75" s="939" t="s">
        <v>1163</v>
      </c>
      <c r="B75" s="538" t="s">
        <v>651</v>
      </c>
      <c r="C75" s="487"/>
      <c r="D75" s="461">
        <f>C75+G18+F18+E18+D18+C18</f>
        <v>1408</v>
      </c>
      <c r="E75" s="487"/>
      <c r="F75" s="282">
        <f>SUM(D75:E75)</f>
        <v>1408</v>
      </c>
    </row>
    <row r="76" spans="1:6" ht="12.75">
      <c r="A76" s="939" t="s">
        <v>1164</v>
      </c>
      <c r="B76" s="539" t="s">
        <v>649</v>
      </c>
      <c r="C76" s="489"/>
      <c r="D76" s="461">
        <f>C76+G19+F19+E19+D19+C19</f>
        <v>0</v>
      </c>
      <c r="E76" s="489"/>
      <c r="F76" s="282">
        <f>SUM(D76:E76)</f>
        <v>0</v>
      </c>
    </row>
    <row r="77" spans="1:6" ht="13.5" thickBot="1">
      <c r="A77" s="951" t="s">
        <v>1165</v>
      </c>
      <c r="B77" s="540" t="s">
        <v>652</v>
      </c>
      <c r="C77" s="491"/>
      <c r="D77" s="461">
        <f>C77+G20+F20+E20+D20+C20</f>
        <v>0</v>
      </c>
      <c r="E77" s="491"/>
      <c r="F77" s="641"/>
    </row>
    <row r="78" spans="1:6" ht="13.5" thickBot="1">
      <c r="A78" s="841" t="s">
        <v>1166</v>
      </c>
      <c r="B78" s="248" t="s">
        <v>650</v>
      </c>
      <c r="C78" s="493">
        <f>C73+C75+C76+C77</f>
        <v>2820</v>
      </c>
      <c r="D78" s="472">
        <f>D73+D75+D76+D77</f>
        <v>75371</v>
      </c>
      <c r="E78" s="289">
        <f>E73+E75+E76+E77</f>
        <v>0</v>
      </c>
      <c r="F78" s="289">
        <f>F73+F75+F76+F77</f>
        <v>75371</v>
      </c>
    </row>
    <row r="79" spans="1:6" ht="5.25" customHeight="1" thickBot="1">
      <c r="A79" s="945"/>
      <c r="B79" s="541"/>
      <c r="C79" s="482"/>
      <c r="D79" s="458"/>
      <c r="E79" s="291"/>
      <c r="F79" s="278"/>
    </row>
    <row r="80" spans="1:6" ht="13.5" thickBot="1">
      <c r="A80" s="947" t="s">
        <v>1167</v>
      </c>
      <c r="B80" s="475" t="s">
        <v>659</v>
      </c>
      <c r="C80" s="493">
        <f>C84+C89</f>
        <v>0</v>
      </c>
      <c r="D80" s="493">
        <f>D84+D89</f>
        <v>16197</v>
      </c>
      <c r="E80" s="289">
        <f>E84+E89</f>
        <v>0</v>
      </c>
      <c r="F80" s="474">
        <f>F84+F89</f>
        <v>16197</v>
      </c>
    </row>
    <row r="81" spans="1:6" ht="12.75">
      <c r="A81" s="946" t="s">
        <v>1168</v>
      </c>
      <c r="B81" s="249" t="s">
        <v>653</v>
      </c>
      <c r="C81" s="494"/>
      <c r="D81" s="467"/>
      <c r="E81" s="510"/>
      <c r="F81" s="558"/>
    </row>
    <row r="82" spans="1:6" ht="12.75">
      <c r="A82" s="941" t="s">
        <v>1169</v>
      </c>
      <c r="B82" s="245" t="s">
        <v>654</v>
      </c>
      <c r="C82" s="480"/>
      <c r="D82" s="44">
        <f>C82+G25+F25+E25+D25+C25</f>
        <v>250</v>
      </c>
      <c r="E82" s="367"/>
      <c r="F82" s="481">
        <f>SUM(D82:E82)</f>
        <v>250</v>
      </c>
    </row>
    <row r="83" spans="1:6" ht="13.5" thickBot="1">
      <c r="A83" s="1065" t="s">
        <v>1170</v>
      </c>
      <c r="B83" s="542" t="s">
        <v>661</v>
      </c>
      <c r="C83" s="495"/>
      <c r="D83" s="44">
        <f>C83+G26+F26+E26+D26+C26</f>
        <v>0</v>
      </c>
      <c r="E83" s="511"/>
      <c r="F83" s="481">
        <f>SUM(D83:E83)</f>
        <v>0</v>
      </c>
    </row>
    <row r="84" spans="1:6" ht="13.5" thickBot="1">
      <c r="A84" s="947" t="s">
        <v>1171</v>
      </c>
      <c r="B84" s="475" t="s">
        <v>662</v>
      </c>
      <c r="C84" s="497">
        <f>C82+C83</f>
        <v>0</v>
      </c>
      <c r="D84" s="476">
        <f>SUM(D82:D83)</f>
        <v>250</v>
      </c>
      <c r="E84" s="284">
        <f>E82+E83</f>
        <v>0</v>
      </c>
      <c r="F84" s="521">
        <f>F82+F83</f>
        <v>250</v>
      </c>
    </row>
    <row r="85" spans="1:6" ht="12.75">
      <c r="A85" s="946" t="s">
        <v>1173</v>
      </c>
      <c r="B85" s="249" t="s">
        <v>655</v>
      </c>
      <c r="C85" s="482"/>
      <c r="D85" s="458"/>
      <c r="E85" s="291"/>
      <c r="F85" s="278"/>
    </row>
    <row r="86" spans="1:6" ht="12.75">
      <c r="A86" s="941" t="s">
        <v>1174</v>
      </c>
      <c r="B86" s="245" t="s">
        <v>656</v>
      </c>
      <c r="C86" s="495"/>
      <c r="D86" s="470">
        <f>C86+G29+F29+C29</f>
        <v>15947</v>
      </c>
      <c r="E86" s="282"/>
      <c r="F86" s="272">
        <f>SUM(D86:E86)</f>
        <v>15947</v>
      </c>
    </row>
    <row r="87" spans="1:6" ht="12.75">
      <c r="A87" s="941" t="s">
        <v>1175</v>
      </c>
      <c r="B87" s="538" t="s">
        <v>657</v>
      </c>
      <c r="C87" s="498"/>
      <c r="D87" s="470">
        <f>C87+G30+F30+C30</f>
        <v>0</v>
      </c>
      <c r="E87" s="285"/>
      <c r="F87" s="272">
        <f>SUM(D87:E87)</f>
        <v>0</v>
      </c>
    </row>
    <row r="88" spans="1:6" ht="13.5" thickBot="1">
      <c r="A88" s="1065" t="s">
        <v>1176</v>
      </c>
      <c r="B88" s="540" t="s">
        <v>658</v>
      </c>
      <c r="C88" s="482"/>
      <c r="D88" s="470">
        <f>C88+G31+F31+C31</f>
        <v>0</v>
      </c>
      <c r="E88" s="291"/>
      <c r="F88" s="272">
        <f>SUM(D88:E88)</f>
        <v>0</v>
      </c>
    </row>
    <row r="89" spans="1:6" ht="12" customHeight="1" thickBot="1">
      <c r="A89" s="947" t="s">
        <v>1177</v>
      </c>
      <c r="B89" s="248" t="s">
        <v>660</v>
      </c>
      <c r="C89" s="493">
        <f>C86+C87+C88</f>
        <v>0</v>
      </c>
      <c r="D89" s="472">
        <f>SUM(D86:D88)</f>
        <v>15947</v>
      </c>
      <c r="E89" s="289">
        <f>E86+E87+E88</f>
        <v>0</v>
      </c>
      <c r="F89" s="474">
        <f>F86+F87+F88</f>
        <v>15947</v>
      </c>
    </row>
    <row r="90" spans="1:6" ht="6" customHeight="1" thickBot="1">
      <c r="A90" s="945"/>
      <c r="B90" s="541"/>
      <c r="C90" s="482"/>
      <c r="D90" s="464"/>
      <c r="E90" s="291"/>
      <c r="F90" s="278"/>
    </row>
    <row r="91" spans="1:6" ht="22.5" customHeight="1" thickBot="1">
      <c r="A91" s="947" t="s">
        <v>1178</v>
      </c>
      <c r="B91" s="522" t="s">
        <v>663</v>
      </c>
      <c r="C91" s="497"/>
      <c r="D91" s="523">
        <f>C91+G34+F34+E34+D34+C34</f>
        <v>0</v>
      </c>
      <c r="E91" s="284"/>
      <c r="F91" s="521">
        <f>SUM(D91:E91)</f>
        <v>0</v>
      </c>
    </row>
    <row r="92" spans="1:6" ht="6" customHeight="1" thickBot="1">
      <c r="A92" s="945"/>
      <c r="B92" s="247"/>
      <c r="C92" s="482"/>
      <c r="D92" s="458"/>
      <c r="E92" s="291"/>
      <c r="F92" s="278"/>
    </row>
    <row r="93" spans="1:6" ht="13.5" thickBot="1">
      <c r="A93" s="947" t="s">
        <v>1179</v>
      </c>
      <c r="B93" s="248" t="s">
        <v>664</v>
      </c>
      <c r="C93" s="497">
        <f>C94</f>
        <v>0</v>
      </c>
      <c r="D93" s="497">
        <f>C93+G36+F36+E36+D36+C36</f>
        <v>0</v>
      </c>
      <c r="E93" s="497">
        <f>E94</f>
        <v>0</v>
      </c>
      <c r="F93" s="284">
        <f>F94</f>
        <v>0</v>
      </c>
    </row>
    <row r="94" spans="1:6" ht="12.75">
      <c r="A94" s="950" t="s">
        <v>1180</v>
      </c>
      <c r="B94" s="543" t="s">
        <v>666</v>
      </c>
      <c r="C94" s="524"/>
      <c r="D94" s="525">
        <f>C94+G37+F37+E37+D37+C37</f>
        <v>0</v>
      </c>
      <c r="E94" s="526"/>
      <c r="F94" s="527">
        <f>SUM(D94:E94)</f>
        <v>0</v>
      </c>
    </row>
    <row r="95" spans="1:6" ht="6.75" customHeight="1" thickBot="1">
      <c r="A95" s="951"/>
      <c r="B95" s="541"/>
      <c r="C95" s="482"/>
      <c r="D95" s="464"/>
      <c r="E95" s="512"/>
      <c r="F95" s="499"/>
    </row>
    <row r="96" spans="1:6" ht="26.25" thickBot="1">
      <c r="A96" s="841" t="s">
        <v>1181</v>
      </c>
      <c r="B96" s="255" t="s">
        <v>665</v>
      </c>
      <c r="C96" s="483">
        <f>C65+C80+C91+C93</f>
        <v>130493</v>
      </c>
      <c r="D96" s="483">
        <f>D65+D80+D91+D93</f>
        <v>262811</v>
      </c>
      <c r="E96" s="483">
        <f>E65+E80+E91+E93</f>
        <v>15</v>
      </c>
      <c r="F96" s="505">
        <f>F65+F80+F91+F93</f>
        <v>262826</v>
      </c>
    </row>
    <row r="97" spans="1:6" ht="7.5" customHeight="1" thickBot="1">
      <c r="A97" s="952"/>
      <c r="B97" s="256"/>
      <c r="C97" s="500"/>
      <c r="D97" s="462"/>
      <c r="E97" s="513"/>
      <c r="F97" s="501"/>
    </row>
    <row r="98" spans="1:6" ht="32.25" customHeight="1" thickBot="1">
      <c r="A98" s="939" t="s">
        <v>1182</v>
      </c>
      <c r="B98" s="544" t="s">
        <v>669</v>
      </c>
      <c r="C98" s="483">
        <f>C99</f>
        <v>0</v>
      </c>
      <c r="D98" s="483">
        <f>D99</f>
        <v>12857</v>
      </c>
      <c r="E98" s="483">
        <f>E99</f>
        <v>280</v>
      </c>
      <c r="F98" s="505">
        <f>F99</f>
        <v>13137</v>
      </c>
    </row>
    <row r="99" spans="1:6" ht="12.75">
      <c r="A99" s="939" t="s">
        <v>1183</v>
      </c>
      <c r="B99" s="545" t="s">
        <v>671</v>
      </c>
      <c r="C99" s="486">
        <f>C100+C101</f>
        <v>0</v>
      </c>
      <c r="D99" s="461">
        <f>D100+D101</f>
        <v>12857</v>
      </c>
      <c r="E99" s="506">
        <f>E100+E101</f>
        <v>280</v>
      </c>
      <c r="F99" s="479">
        <f>F100+F101</f>
        <v>13137</v>
      </c>
    </row>
    <row r="100" spans="1:7" ht="12.75">
      <c r="A100" s="939" t="s">
        <v>1184</v>
      </c>
      <c r="B100" s="245" t="s">
        <v>667</v>
      </c>
      <c r="C100" s="480">
        <v>0</v>
      </c>
      <c r="D100" s="44">
        <f>C100+G43+F43+E43+D43+C43</f>
        <v>10575</v>
      </c>
      <c r="E100" s="367">
        <v>280</v>
      </c>
      <c r="F100" s="481">
        <f>SUM(D100:E100)</f>
        <v>10855</v>
      </c>
      <c r="G100" s="132"/>
    </row>
    <row r="101" spans="1:7" ht="12.75">
      <c r="A101" s="939" t="s">
        <v>1185</v>
      </c>
      <c r="B101" s="245" t="s">
        <v>668</v>
      </c>
      <c r="C101" s="480">
        <v>0</v>
      </c>
      <c r="D101" s="44">
        <f>C101+G44+F44+E44+D44+C44</f>
        <v>2282</v>
      </c>
      <c r="E101" s="367">
        <v>0</v>
      </c>
      <c r="F101" s="481">
        <f>SUM(D101:E101)</f>
        <v>2282</v>
      </c>
      <c r="G101" s="1"/>
    </row>
    <row r="102" spans="1:7" ht="4.5" customHeight="1" thickBot="1">
      <c r="A102" s="951"/>
      <c r="B102" s="256"/>
      <c r="C102" s="500"/>
      <c r="D102" s="462"/>
      <c r="E102" s="513"/>
      <c r="F102" s="501"/>
      <c r="G102" s="1"/>
    </row>
    <row r="103" spans="1:7" ht="35.25" customHeight="1" thickBot="1">
      <c r="A103" s="841" t="s">
        <v>1186</v>
      </c>
      <c r="B103" s="529" t="s">
        <v>670</v>
      </c>
      <c r="C103" s="270">
        <f>C104+C108</f>
        <v>0</v>
      </c>
      <c r="D103" s="270">
        <f>D104+D108</f>
        <v>0</v>
      </c>
      <c r="E103" s="270">
        <f>E104+E108</f>
        <v>0</v>
      </c>
      <c r="F103" s="530">
        <f>F104+F108</f>
        <v>0</v>
      </c>
      <c r="G103" s="1"/>
    </row>
    <row r="104" spans="1:7" ht="12.75">
      <c r="A104" s="950" t="s">
        <v>1187</v>
      </c>
      <c r="B104" s="546" t="s">
        <v>674</v>
      </c>
      <c r="C104" s="238">
        <f>C105+C106</f>
        <v>0</v>
      </c>
      <c r="D104" s="238">
        <f>D105+D106</f>
        <v>0</v>
      </c>
      <c r="E104" s="238">
        <f>E105+E106</f>
        <v>0</v>
      </c>
      <c r="F104" s="239">
        <f>F105+F106</f>
        <v>0</v>
      </c>
      <c r="G104" s="1"/>
    </row>
    <row r="105" spans="1:7" ht="12.75">
      <c r="A105" s="939" t="s">
        <v>1188</v>
      </c>
      <c r="B105" s="230" t="s">
        <v>672</v>
      </c>
      <c r="C105" s="224"/>
      <c r="D105" s="224">
        <f>C105+G48+F48+E48+D48+C48</f>
        <v>0</v>
      </c>
      <c r="E105" s="224"/>
      <c r="F105" s="231">
        <f>SUM(D105:E105)</f>
        <v>0</v>
      </c>
      <c r="G105" s="1"/>
    </row>
    <row r="106" spans="1:7" ht="12.75">
      <c r="A106" s="939" t="s">
        <v>1189</v>
      </c>
      <c r="B106" s="230" t="s">
        <v>673</v>
      </c>
      <c r="C106" s="224"/>
      <c r="D106" s="224">
        <f>C106+G49+F49+E49+D49+C49</f>
        <v>0</v>
      </c>
      <c r="E106" s="224"/>
      <c r="F106" s="231">
        <f>SUM(D106:E106)</f>
        <v>0</v>
      </c>
      <c r="G106" s="1"/>
    </row>
    <row r="107" spans="1:7" ht="2.25" customHeight="1">
      <c r="A107" s="939"/>
      <c r="B107" s="228"/>
      <c r="C107" s="224"/>
      <c r="D107" s="224"/>
      <c r="E107" s="224"/>
      <c r="F107" s="231"/>
      <c r="G107" s="1"/>
    </row>
    <row r="108" spans="1:7" ht="12.75">
      <c r="A108" s="939" t="s">
        <v>1190</v>
      </c>
      <c r="B108" s="547" t="s">
        <v>675</v>
      </c>
      <c r="C108" s="224">
        <f>C109+C110</f>
        <v>0</v>
      </c>
      <c r="D108" s="224">
        <f>D109+D110</f>
        <v>0</v>
      </c>
      <c r="E108" s="224">
        <f>E109+E110</f>
        <v>0</v>
      </c>
      <c r="F108" s="231">
        <f>F109+F110</f>
        <v>0</v>
      </c>
      <c r="G108" s="1"/>
    </row>
    <row r="109" spans="1:7" ht="12.75">
      <c r="A109" s="939" t="s">
        <v>1191</v>
      </c>
      <c r="B109" s="230" t="s">
        <v>676</v>
      </c>
      <c r="C109" s="224"/>
      <c r="D109" s="224">
        <f>C109+G52+F52+E52+D52+C52</f>
        <v>0</v>
      </c>
      <c r="E109" s="224"/>
      <c r="F109" s="231">
        <f>SUM(D109:E109)</f>
        <v>0</v>
      </c>
      <c r="G109" s="1"/>
    </row>
    <row r="110" spans="1:7" ht="12.75">
      <c r="A110" s="939" t="s">
        <v>1192</v>
      </c>
      <c r="B110" s="230" t="s">
        <v>677</v>
      </c>
      <c r="C110" s="224"/>
      <c r="D110" s="224">
        <f>C110+G53+F53+E53+D53+C53</f>
        <v>0</v>
      </c>
      <c r="E110" s="224"/>
      <c r="F110" s="231">
        <f>SUM(D110:E110)</f>
        <v>0</v>
      </c>
      <c r="G110" s="1"/>
    </row>
    <row r="111" spans="1:7" ht="4.5" customHeight="1" thickBot="1">
      <c r="A111" s="951"/>
      <c r="B111" s="548"/>
      <c r="C111" s="237"/>
      <c r="D111" s="237"/>
      <c r="E111" s="237"/>
      <c r="F111" s="549"/>
      <c r="G111" s="1"/>
    </row>
    <row r="112" spans="1:7" ht="13.5" thickBot="1">
      <c r="A112" s="841" t="s">
        <v>1193</v>
      </c>
      <c r="B112" s="533" t="s">
        <v>678</v>
      </c>
      <c r="C112" s="270">
        <f>161387+326+2527+506+1773+385+2921+63+367+118</f>
        <v>170373</v>
      </c>
      <c r="D112" s="270">
        <f>C112+G55+F55+E55+D55+C55</f>
        <v>1602229</v>
      </c>
      <c r="E112" s="270">
        <v>2284</v>
      </c>
      <c r="F112" s="530">
        <f>SUM(D112:E112)</f>
        <v>1604513</v>
      </c>
      <c r="G112" s="1"/>
    </row>
    <row r="113" spans="1:7" ht="6.75" customHeight="1" thickBot="1">
      <c r="A113" s="1066"/>
      <c r="B113" s="550"/>
      <c r="C113" s="531"/>
      <c r="D113" s="532"/>
      <c r="E113" s="532"/>
      <c r="F113" s="551"/>
      <c r="G113" s="1"/>
    </row>
    <row r="114" spans="1:7" ht="13.5" thickBot="1">
      <c r="A114" s="841" t="s">
        <v>1194</v>
      </c>
      <c r="B114" s="236" t="s">
        <v>679</v>
      </c>
      <c r="C114" s="270">
        <f>C96+C98+C103+C112</f>
        <v>300866</v>
      </c>
      <c r="D114" s="270">
        <f>D96+D98+D103+D112</f>
        <v>1877897</v>
      </c>
      <c r="E114" s="270">
        <f>E96+E98+E103+E112</f>
        <v>2579</v>
      </c>
      <c r="F114" s="530">
        <f>F96+F98+F103+F112</f>
        <v>1880476</v>
      </c>
      <c r="G114" s="1"/>
    </row>
    <row r="120" ht="60" customHeight="1"/>
  </sheetData>
  <sheetProtection/>
  <mergeCells count="7">
    <mergeCell ref="A1:G1"/>
    <mergeCell ref="B61:G61"/>
    <mergeCell ref="B3:G3"/>
    <mergeCell ref="B4:G4"/>
    <mergeCell ref="B59:G59"/>
    <mergeCell ref="B60:G60"/>
    <mergeCell ref="A58:E58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5">
      <selection activeCell="A46" sqref="A46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1547" t="s">
        <v>1322</v>
      </c>
      <c r="B1" s="1547"/>
      <c r="C1" s="1547"/>
      <c r="D1" s="1547"/>
      <c r="E1" s="1547"/>
    </row>
    <row r="2" spans="2:3" ht="12.75">
      <c r="B2" s="1"/>
      <c r="C2" s="52"/>
    </row>
    <row r="3" spans="2:3" ht="12.75">
      <c r="B3" s="1"/>
      <c r="C3" s="52"/>
    </row>
    <row r="4" spans="2:3" ht="15.75">
      <c r="B4" s="1588" t="s">
        <v>171</v>
      </c>
      <c r="C4" s="1588"/>
    </row>
    <row r="5" spans="2:3" ht="15.75">
      <c r="B5" s="1588" t="s">
        <v>172</v>
      </c>
      <c r="C5" s="1588"/>
    </row>
    <row r="6" spans="2:3" ht="15.75">
      <c r="B6" s="1588" t="s">
        <v>254</v>
      </c>
      <c r="C6" s="1588"/>
    </row>
    <row r="7" spans="2:3" ht="15.75">
      <c r="B7" s="377"/>
      <c r="C7" s="377"/>
    </row>
    <row r="8" spans="2:3" ht="12.75">
      <c r="B8" s="1"/>
      <c r="C8" s="54" t="s">
        <v>15</v>
      </c>
    </row>
    <row r="9" spans="2:3" ht="13.5" thickBot="1">
      <c r="B9" s="1"/>
      <c r="C9" s="54"/>
    </row>
    <row r="10" spans="1:3" ht="26.25" thickBot="1">
      <c r="A10" s="938" t="s">
        <v>1148</v>
      </c>
      <c r="B10" s="1073" t="s">
        <v>173</v>
      </c>
      <c r="C10" s="1074" t="s">
        <v>576</v>
      </c>
    </row>
    <row r="11" spans="1:3" ht="13.5" thickBot="1">
      <c r="A11" s="1064" t="s">
        <v>1149</v>
      </c>
      <c r="B11" s="1007" t="s">
        <v>1150</v>
      </c>
      <c r="C11" s="1023" t="s">
        <v>1151</v>
      </c>
    </row>
    <row r="12" spans="1:3" ht="16.5" thickBot="1">
      <c r="A12" s="841" t="s">
        <v>1153</v>
      </c>
      <c r="B12" s="61" t="s">
        <v>1370</v>
      </c>
      <c r="C12" s="1320"/>
    </row>
    <row r="13" spans="1:3" ht="15.75">
      <c r="A13" s="950" t="s">
        <v>1154</v>
      </c>
      <c r="B13" s="1317" t="s">
        <v>183</v>
      </c>
      <c r="C13" s="1321">
        <f>SUM(C14:C15)</f>
        <v>1924</v>
      </c>
    </row>
    <row r="14" spans="1:3" ht="15.75">
      <c r="A14" s="950" t="s">
        <v>1155</v>
      </c>
      <c r="B14" s="1318" t="s">
        <v>1368</v>
      </c>
      <c r="C14" s="1322">
        <v>603</v>
      </c>
    </row>
    <row r="15" spans="1:3" ht="15.75">
      <c r="A15" s="950" t="s">
        <v>1156</v>
      </c>
      <c r="B15" s="1318" t="s">
        <v>1547</v>
      </c>
      <c r="C15" s="1322">
        <f>1250+71</f>
        <v>1321</v>
      </c>
    </row>
    <row r="16" spans="1:3" ht="15.75">
      <c r="A16" s="950" t="s">
        <v>1157</v>
      </c>
      <c r="B16" s="1317" t="s">
        <v>36</v>
      </c>
      <c r="C16" s="1321">
        <f>SUM(C17)</f>
        <v>27012</v>
      </c>
    </row>
    <row r="17" spans="1:3" ht="15.75">
      <c r="A17" s="950" t="s">
        <v>1158</v>
      </c>
      <c r="B17" s="1364" t="s">
        <v>1412</v>
      </c>
      <c r="C17" s="1323">
        <f>23712+3300</f>
        <v>27012</v>
      </c>
    </row>
    <row r="18" spans="1:3" ht="15.75">
      <c r="A18" s="950" t="s">
        <v>1159</v>
      </c>
      <c r="B18" s="1361"/>
      <c r="C18" s="1362"/>
    </row>
    <row r="19" spans="1:3" ht="15.75">
      <c r="A19" s="950" t="s">
        <v>1160</v>
      </c>
      <c r="B19" s="61" t="s">
        <v>1369</v>
      </c>
      <c r="C19" s="1363"/>
    </row>
    <row r="20" spans="1:3" ht="15.75">
      <c r="A20" s="950" t="s">
        <v>1161</v>
      </c>
      <c r="B20" s="62" t="s">
        <v>174</v>
      </c>
      <c r="C20" s="1321">
        <f>C21</f>
        <v>944</v>
      </c>
    </row>
    <row r="21" spans="1:3" s="11" customFormat="1" ht="15.75">
      <c r="A21" s="950" t="s">
        <v>1162</v>
      </c>
      <c r="B21" s="63" t="s">
        <v>898</v>
      </c>
      <c r="C21" s="1324">
        <v>944</v>
      </c>
    </row>
    <row r="22" spans="1:3" s="11" customFormat="1" ht="16.5" thickBot="1">
      <c r="A22" s="1066" t="s">
        <v>1163</v>
      </c>
      <c r="B22" s="64"/>
      <c r="C22" s="1325"/>
    </row>
    <row r="23" spans="1:3" s="26" customFormat="1" ht="16.5" thickBot="1">
      <c r="A23" s="841" t="s">
        <v>1164</v>
      </c>
      <c r="B23" s="1087" t="s">
        <v>91</v>
      </c>
      <c r="C23" s="1319">
        <f>C13+C20+C16</f>
        <v>29880</v>
      </c>
    </row>
    <row r="24" spans="1:3" s="26" customFormat="1" ht="15.75">
      <c r="A24" s="950" t="s">
        <v>1165</v>
      </c>
      <c r="B24" s="1083"/>
      <c r="C24" s="1084"/>
    </row>
    <row r="25" spans="1:3" ht="15.75">
      <c r="A25" s="950" t="s">
        <v>1166</v>
      </c>
      <c r="B25" s="67" t="s">
        <v>69</v>
      </c>
      <c r="C25" s="1075"/>
    </row>
    <row r="26" spans="1:3" ht="15.75">
      <c r="A26" s="950" t="s">
        <v>1167</v>
      </c>
      <c r="B26" s="68"/>
      <c r="C26" s="1075"/>
    </row>
    <row r="27" spans="1:3" ht="15.75">
      <c r="A27" s="950" t="s">
        <v>1168</v>
      </c>
      <c r="B27" s="63" t="s">
        <v>1393</v>
      </c>
      <c r="C27" s="1076">
        <v>230</v>
      </c>
    </row>
    <row r="28" spans="1:3" ht="15.75">
      <c r="A28" s="950" t="s">
        <v>1169</v>
      </c>
      <c r="B28" s="63" t="s">
        <v>1446</v>
      </c>
      <c r="C28" s="1076">
        <f>2064+11775+557</f>
        <v>14396</v>
      </c>
    </row>
    <row r="29" spans="1:3" ht="15.75">
      <c r="A29" s="950" t="s">
        <v>1170</v>
      </c>
      <c r="B29" s="69" t="s">
        <v>1392</v>
      </c>
      <c r="C29" s="1077">
        <f>SUM(C27:C28)</f>
        <v>14626</v>
      </c>
    </row>
    <row r="30" spans="1:3" ht="15.75">
      <c r="A30" s="950" t="s">
        <v>1171</v>
      </c>
      <c r="B30" s="378"/>
      <c r="C30" s="1076"/>
    </row>
    <row r="31" spans="1:3" ht="15.75">
      <c r="A31" s="950" t="s">
        <v>1173</v>
      </c>
      <c r="B31" s="63" t="s">
        <v>1144</v>
      </c>
      <c r="C31" s="1076">
        <v>6500</v>
      </c>
    </row>
    <row r="32" spans="1:3" ht="15.75">
      <c r="A32" s="950" t="s">
        <v>1174</v>
      </c>
      <c r="B32" s="69" t="s">
        <v>175</v>
      </c>
      <c r="C32" s="1077">
        <f>SUM(C31:C31)</f>
        <v>6500</v>
      </c>
    </row>
    <row r="33" spans="1:3" ht="15.75">
      <c r="A33" s="950" t="s">
        <v>1175</v>
      </c>
      <c r="B33" s="69"/>
      <c r="C33" s="1077"/>
    </row>
    <row r="34" spans="1:3" ht="15.75">
      <c r="A34" s="950" t="s">
        <v>1176</v>
      </c>
      <c r="B34" s="63" t="s">
        <v>1386</v>
      </c>
      <c r="C34" s="1076">
        <f>5000</f>
        <v>5000</v>
      </c>
    </row>
    <row r="35" spans="1:3" s="26" customFormat="1" ht="15.75">
      <c r="A35" s="950" t="s">
        <v>1177</v>
      </c>
      <c r="B35" s="69" t="s">
        <v>176</v>
      </c>
      <c r="C35" s="1078">
        <f>SUM(C34:C34)</f>
        <v>5000</v>
      </c>
    </row>
    <row r="36" spans="1:3" s="26" customFormat="1" ht="15.75">
      <c r="A36" s="950" t="s">
        <v>1178</v>
      </c>
      <c r="B36" s="70"/>
      <c r="C36" s="1078"/>
    </row>
    <row r="37" spans="1:3" s="26" customFormat="1" ht="15.75">
      <c r="A37" s="950" t="s">
        <v>1179</v>
      </c>
      <c r="B37" s="63" t="s">
        <v>1478</v>
      </c>
      <c r="C37" s="1471">
        <v>30125</v>
      </c>
    </row>
    <row r="38" spans="1:3" s="26" customFormat="1" ht="15.75">
      <c r="A38" s="950" t="s">
        <v>1180</v>
      </c>
      <c r="B38" s="69" t="s">
        <v>1555</v>
      </c>
      <c r="C38" s="1078">
        <f>SUM(C37)</f>
        <v>30125</v>
      </c>
    </row>
    <row r="39" spans="1:3" s="26" customFormat="1" ht="15.75">
      <c r="A39" s="950" t="s">
        <v>1181</v>
      </c>
      <c r="B39" s="70"/>
      <c r="C39" s="1078"/>
    </row>
    <row r="40" spans="1:3" ht="15.75">
      <c r="A40" s="950" t="s">
        <v>1182</v>
      </c>
      <c r="B40" s="63" t="s">
        <v>1233</v>
      </c>
      <c r="C40" s="1076">
        <f>16000+4000+734</f>
        <v>20734</v>
      </c>
    </row>
    <row r="41" spans="1:3" s="26" customFormat="1" ht="15.75">
      <c r="A41" s="950" t="s">
        <v>1183</v>
      </c>
      <c r="B41" s="69" t="s">
        <v>177</v>
      </c>
      <c r="C41" s="1077">
        <f>SUM(C40)</f>
        <v>20734</v>
      </c>
    </row>
    <row r="42" spans="1:3" s="26" customFormat="1" ht="16.5" thickBot="1">
      <c r="A42" s="950" t="s">
        <v>1184</v>
      </c>
      <c r="B42" s="66"/>
      <c r="C42" s="1079"/>
    </row>
    <row r="43" spans="1:3" ht="16.5" thickBot="1">
      <c r="A43" s="841" t="s">
        <v>1185</v>
      </c>
      <c r="B43" s="1087" t="s">
        <v>178</v>
      </c>
      <c r="C43" s="1080">
        <f>C32+C35+C41+C29+C38</f>
        <v>76985</v>
      </c>
    </row>
    <row r="44" spans="1:3" ht="16.5" thickBot="1">
      <c r="A44" s="1066" t="s">
        <v>1186</v>
      </c>
      <c r="B44" s="71"/>
      <c r="C44" s="1081"/>
    </row>
    <row r="45" spans="1:3" ht="16.5" thickBot="1">
      <c r="A45" s="841" t="s">
        <v>1187</v>
      </c>
      <c r="B45" s="1216" t="s">
        <v>179</v>
      </c>
      <c r="C45" s="1082">
        <f>SUM(C23+C43)</f>
        <v>106865</v>
      </c>
    </row>
    <row r="46" spans="2:3" ht="15.75">
      <c r="B46" s="72"/>
      <c r="C46" s="73"/>
    </row>
    <row r="47" spans="2:3" ht="15.75">
      <c r="B47" s="72"/>
      <c r="C47" s="73"/>
    </row>
  </sheetData>
  <sheetProtection/>
  <mergeCells count="4">
    <mergeCell ref="B4:C4"/>
    <mergeCell ref="B5:C5"/>
    <mergeCell ref="B6:C6"/>
    <mergeCell ref="A1:E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25">
      <selection activeCell="D49" sqref="D49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5.00390625" style="0" customWidth="1"/>
    <col min="4" max="4" width="15.57421875" style="0" customWidth="1"/>
    <col min="5" max="5" width="15.7109375" style="0" customWidth="1"/>
  </cols>
  <sheetData>
    <row r="1" spans="1:5" ht="12.75">
      <c r="A1" s="1547" t="s">
        <v>1292</v>
      </c>
      <c r="B1" s="1547"/>
      <c r="C1" s="1547"/>
      <c r="D1" s="1547"/>
      <c r="E1" s="1547"/>
    </row>
    <row r="2" spans="2:5" ht="15.75">
      <c r="B2" s="1555" t="s">
        <v>491</v>
      </c>
      <c r="C2" s="1555"/>
      <c r="D2" s="1555"/>
      <c r="E2" s="1555"/>
    </row>
    <row r="3" spans="2:5" ht="6.75" customHeight="1">
      <c r="B3" s="53"/>
      <c r="C3" s="177"/>
      <c r="D3" s="177"/>
      <c r="E3" s="177"/>
    </row>
    <row r="4" spans="2:5" ht="16.5" thickBot="1">
      <c r="B4" s="178"/>
      <c r="C4" s="29"/>
      <c r="D4" s="1"/>
      <c r="E4" s="31" t="s">
        <v>15</v>
      </c>
    </row>
    <row r="5" spans="1:5" ht="15.75">
      <c r="A5" s="1553" t="s">
        <v>1148</v>
      </c>
      <c r="B5" s="198" t="s">
        <v>16</v>
      </c>
      <c r="C5" s="344" t="s">
        <v>17</v>
      </c>
      <c r="D5" s="344" t="s">
        <v>18</v>
      </c>
      <c r="E5" s="345" t="s">
        <v>19</v>
      </c>
    </row>
    <row r="6" spans="1:5" ht="16.5" thickBot="1">
      <c r="A6" s="1556"/>
      <c r="B6" s="199" t="s">
        <v>20</v>
      </c>
      <c r="C6" s="241" t="s">
        <v>21</v>
      </c>
      <c r="D6" s="241" t="s">
        <v>22</v>
      </c>
      <c r="E6" s="346" t="s">
        <v>23</v>
      </c>
    </row>
    <row r="7" spans="1:5" s="589" customFormat="1" ht="11.25">
      <c r="A7" s="825" t="s">
        <v>1149</v>
      </c>
      <c r="B7" s="800" t="s">
        <v>1150</v>
      </c>
      <c r="C7" s="797" t="s">
        <v>1151</v>
      </c>
      <c r="D7" s="798" t="s">
        <v>1152</v>
      </c>
      <c r="E7" s="799" t="s">
        <v>1172</v>
      </c>
    </row>
    <row r="8" spans="1:5" ht="12.75">
      <c r="A8" s="789" t="s">
        <v>1153</v>
      </c>
      <c r="B8" s="801" t="s">
        <v>503</v>
      </c>
      <c r="C8" s="38"/>
      <c r="D8" s="48"/>
      <c r="E8" s="796"/>
    </row>
    <row r="9" spans="1:5" ht="12.75">
      <c r="A9" s="786" t="s">
        <v>1154</v>
      </c>
      <c r="B9" s="398" t="s">
        <v>24</v>
      </c>
      <c r="C9" s="12">
        <f>3_sz_melléklet!E8</f>
        <v>389829</v>
      </c>
      <c r="D9" s="42">
        <f>5_sz_melléklet!G409</f>
        <v>1392694</v>
      </c>
      <c r="E9" s="200">
        <f>C9+D9</f>
        <v>1782523</v>
      </c>
    </row>
    <row r="10" spans="1:5" ht="12.75">
      <c r="A10" s="786" t="s">
        <v>1155</v>
      </c>
      <c r="B10" s="440" t="s">
        <v>25</v>
      </c>
      <c r="C10" s="12">
        <f>3_sz_melléklet!E9</f>
        <v>101548</v>
      </c>
      <c r="D10" s="42">
        <f>5_sz_melléklet!G410</f>
        <v>364418</v>
      </c>
      <c r="E10" s="200">
        <f aca="true" t="shared" si="0" ref="E10:E18">C10+D10</f>
        <v>465966</v>
      </c>
    </row>
    <row r="11" spans="1:5" ht="12.75">
      <c r="A11" s="786" t="s">
        <v>1156</v>
      </c>
      <c r="B11" s="440" t="s">
        <v>26</v>
      </c>
      <c r="C11" s="12">
        <f>3_sz_melléklet!E10</f>
        <v>183079</v>
      </c>
      <c r="D11" s="42">
        <f>5_sz_melléklet!G411</f>
        <v>1523089</v>
      </c>
      <c r="E11" s="200">
        <f t="shared" si="0"/>
        <v>1706168</v>
      </c>
    </row>
    <row r="12" spans="1:5" ht="12.75">
      <c r="A12" s="786" t="s">
        <v>1157</v>
      </c>
      <c r="B12" s="440" t="s">
        <v>27</v>
      </c>
      <c r="C12" s="12">
        <f>3_sz_melléklet!E11</f>
        <v>0</v>
      </c>
      <c r="D12" s="42">
        <f>5_sz_melléklet!G412</f>
        <v>-93981</v>
      </c>
      <c r="E12" s="200">
        <f t="shared" si="0"/>
        <v>-93981</v>
      </c>
    </row>
    <row r="13" spans="1:5" ht="12.75">
      <c r="A13" s="786" t="s">
        <v>1158</v>
      </c>
      <c r="B13" s="440" t="s">
        <v>498</v>
      </c>
      <c r="C13" s="12">
        <f>3_sz_melléklet!E12</f>
        <v>0</v>
      </c>
      <c r="D13" s="42">
        <f>5_sz_melléklet!G413</f>
        <v>703420</v>
      </c>
      <c r="E13" s="200">
        <f>E14+E15+E16+E17</f>
        <v>703420</v>
      </c>
    </row>
    <row r="14" spans="1:5" ht="12.75">
      <c r="A14" s="786" t="s">
        <v>1159</v>
      </c>
      <c r="B14" s="440" t="s">
        <v>492</v>
      </c>
      <c r="C14" s="12">
        <f>3_sz_melléklet!E13</f>
        <v>0</v>
      </c>
      <c r="D14" s="42">
        <f>5_sz_melléklet!G414</f>
        <v>38362</v>
      </c>
      <c r="E14" s="200">
        <f>C14+D14</f>
        <v>38362</v>
      </c>
    </row>
    <row r="15" spans="1:5" ht="12.75">
      <c r="A15" s="786" t="s">
        <v>1160</v>
      </c>
      <c r="B15" s="802" t="s">
        <v>493</v>
      </c>
      <c r="C15" s="12">
        <f>3_sz_melléklet!E14</f>
        <v>0</v>
      </c>
      <c r="D15" s="42">
        <f>5_sz_melléklet!G415</f>
        <v>267271</v>
      </c>
      <c r="E15" s="200">
        <f>C15+D15</f>
        <v>267271</v>
      </c>
    </row>
    <row r="16" spans="1:5" ht="12.75">
      <c r="A16" s="786" t="s">
        <v>1161</v>
      </c>
      <c r="B16" s="440" t="s">
        <v>494</v>
      </c>
      <c r="C16" s="12">
        <f>3_sz_melléklet!E15</f>
        <v>0</v>
      </c>
      <c r="D16" s="42">
        <f>5_sz_melléklet!G416</f>
        <v>385059</v>
      </c>
      <c r="E16" s="200">
        <f>C16+D16</f>
        <v>385059</v>
      </c>
    </row>
    <row r="17" spans="1:5" ht="12.75">
      <c r="A17" s="786" t="s">
        <v>1162</v>
      </c>
      <c r="B17" s="440" t="s">
        <v>495</v>
      </c>
      <c r="C17" s="12">
        <f>3_sz_melléklet!E16</f>
        <v>0</v>
      </c>
      <c r="D17" s="42">
        <f>5_sz_melléklet!G417</f>
        <v>12728</v>
      </c>
      <c r="E17" s="200">
        <f>C17+D17</f>
        <v>12728</v>
      </c>
    </row>
    <row r="18" spans="1:5" ht="13.5" thickBot="1">
      <c r="A18" s="786" t="s">
        <v>1163</v>
      </c>
      <c r="B18" s="442" t="s">
        <v>496</v>
      </c>
      <c r="C18" s="12">
        <f>3_sz_melléklet!E17</f>
        <v>0</v>
      </c>
      <c r="D18" s="179">
        <f>5_sz_melléklet!G418</f>
        <v>24345</v>
      </c>
      <c r="E18" s="201">
        <f t="shared" si="0"/>
        <v>24345</v>
      </c>
    </row>
    <row r="19" spans="1:5" ht="13.5" thickBot="1">
      <c r="A19" s="786" t="s">
        <v>1164</v>
      </c>
      <c r="B19" s="803" t="s">
        <v>28</v>
      </c>
      <c r="C19" s="183">
        <f>C9+C10+C11+C12+C13+C18</f>
        <v>674456</v>
      </c>
      <c r="D19" s="183">
        <f>D9+D10+D11+D12+D13+D18</f>
        <v>3913985</v>
      </c>
      <c r="E19" s="184">
        <f>E9+E10+E11+E12+E13+E18</f>
        <v>4588441</v>
      </c>
    </row>
    <row r="20" spans="1:5" ht="8.25" customHeight="1">
      <c r="A20" s="786"/>
      <c r="B20" s="804"/>
      <c r="C20" s="14"/>
      <c r="D20" s="181"/>
      <c r="E20" s="202"/>
    </row>
    <row r="21" spans="1:5" ht="12.75">
      <c r="A21" s="786" t="s">
        <v>1165</v>
      </c>
      <c r="B21" s="804" t="s">
        <v>504</v>
      </c>
      <c r="C21" s="35"/>
      <c r="D21" s="40"/>
      <c r="E21" s="203"/>
    </row>
    <row r="22" spans="1:5" ht="12.75">
      <c r="A22" s="786" t="s">
        <v>1166</v>
      </c>
      <c r="B22" s="440" t="s">
        <v>29</v>
      </c>
      <c r="C22" s="35">
        <f>3_sz_melléklet!E21</f>
        <v>20647</v>
      </c>
      <c r="D22" s="42">
        <f>5_sz_melléklet!G422</f>
        <v>5651224</v>
      </c>
      <c r="E22" s="200">
        <f>C22+D22</f>
        <v>5671871</v>
      </c>
    </row>
    <row r="23" spans="1:5" ht="12.75">
      <c r="A23" s="786" t="s">
        <v>1167</v>
      </c>
      <c r="B23" s="440" t="s">
        <v>38</v>
      </c>
      <c r="C23" s="35">
        <f>3_sz_melléklet!E22</f>
        <v>28936</v>
      </c>
      <c r="D23" s="42">
        <f>5_sz_melléklet!G423</f>
        <v>77929</v>
      </c>
      <c r="E23" s="200">
        <f>C23+D23</f>
        <v>106865</v>
      </c>
    </row>
    <row r="24" spans="1:5" ht="12.75">
      <c r="A24" s="786" t="s">
        <v>1168</v>
      </c>
      <c r="B24" s="440" t="s">
        <v>497</v>
      </c>
      <c r="C24" s="35">
        <f>3_sz_melléklet!E23</f>
        <v>0</v>
      </c>
      <c r="D24" s="42">
        <f>5_sz_melléklet!G424</f>
        <v>85627</v>
      </c>
      <c r="E24" s="204">
        <f>E25+E26+E27</f>
        <v>85627</v>
      </c>
    </row>
    <row r="25" spans="1:5" ht="12.75">
      <c r="A25" s="786" t="s">
        <v>1169</v>
      </c>
      <c r="B25" s="440" t="s">
        <v>499</v>
      </c>
      <c r="C25" s="35">
        <f>3_sz_melléklet!E24</f>
        <v>0</v>
      </c>
      <c r="D25" s="42">
        <f>5_sz_melléklet!G425</f>
        <v>1323</v>
      </c>
      <c r="E25" s="200">
        <f>C25+D25</f>
        <v>1323</v>
      </c>
    </row>
    <row r="26" spans="1:5" ht="12.75">
      <c r="A26" s="786" t="s">
        <v>1170</v>
      </c>
      <c r="B26" s="440" t="s">
        <v>562</v>
      </c>
      <c r="C26" s="35">
        <f>3_sz_melléklet!E25</f>
        <v>0</v>
      </c>
      <c r="D26" s="42">
        <f>5_sz_melléklet!G426</f>
        <v>57873</v>
      </c>
      <c r="E26" s="200">
        <f>C26+D26</f>
        <v>57873</v>
      </c>
    </row>
    <row r="27" spans="1:5" ht="12.75">
      <c r="A27" s="786" t="s">
        <v>1171</v>
      </c>
      <c r="B27" s="440" t="s">
        <v>500</v>
      </c>
      <c r="C27" s="35">
        <f>3_sz_melléklet!E26</f>
        <v>0</v>
      </c>
      <c r="D27" s="42">
        <f>5_sz_melléklet!G427</f>
        <v>26431</v>
      </c>
      <c r="E27" s="200">
        <f>C27+D27</f>
        <v>26431</v>
      </c>
    </row>
    <row r="28" spans="1:5" ht="12.75">
      <c r="A28" s="786" t="s">
        <v>1173</v>
      </c>
      <c r="B28" s="440" t="s">
        <v>501</v>
      </c>
      <c r="C28" s="35">
        <f>3_sz_melléklet!E27</f>
        <v>0</v>
      </c>
      <c r="D28" s="42">
        <f>5_sz_melléklet!G428</f>
        <v>1250</v>
      </c>
      <c r="E28" s="200">
        <f>C28+D28</f>
        <v>1250</v>
      </c>
    </row>
    <row r="29" spans="1:5" ht="13.5" thickBot="1">
      <c r="A29" s="786" t="s">
        <v>1174</v>
      </c>
      <c r="B29" s="442" t="s">
        <v>502</v>
      </c>
      <c r="C29" s="39">
        <f>3_sz_melléklet!E28</f>
        <v>0</v>
      </c>
      <c r="D29" s="179">
        <f>5_sz_melléklet!G429</f>
        <v>93981</v>
      </c>
      <c r="E29" s="214">
        <f>-E12</f>
        <v>93981</v>
      </c>
    </row>
    <row r="30" spans="1:5" ht="13.5" thickBot="1">
      <c r="A30" s="786" t="s">
        <v>1175</v>
      </c>
      <c r="B30" s="803" t="s">
        <v>30</v>
      </c>
      <c r="C30" s="183">
        <f>SUM(C22:C24)+C28+C29</f>
        <v>49583</v>
      </c>
      <c r="D30" s="183">
        <f>SUM(D22:D24)+D28+D29</f>
        <v>5910011</v>
      </c>
      <c r="E30" s="184">
        <f>SUM(E22:E24)+E28+E29</f>
        <v>5959594</v>
      </c>
    </row>
    <row r="31" spans="1:5" ht="6.75" customHeight="1">
      <c r="A31" s="786"/>
      <c r="B31" s="805"/>
      <c r="C31" s="588"/>
      <c r="D31" s="299"/>
      <c r="E31" s="584"/>
    </row>
    <row r="32" spans="1:5" ht="25.5">
      <c r="A32" s="786" t="s">
        <v>1176</v>
      </c>
      <c r="B32" s="806" t="s">
        <v>505</v>
      </c>
      <c r="C32" s="188"/>
      <c r="D32" s="189"/>
      <c r="E32" s="207"/>
    </row>
    <row r="33" spans="1:5" ht="12.75">
      <c r="A33" s="786" t="s">
        <v>1177</v>
      </c>
      <c r="B33" s="807" t="s">
        <v>506</v>
      </c>
      <c r="C33" s="35">
        <f>3_sz_melléklet!E32</f>
        <v>0</v>
      </c>
      <c r="D33" s="40">
        <f>5_sz_melléklet!G433</f>
        <v>0</v>
      </c>
      <c r="E33" s="204">
        <f>SUM(C33:D33)</f>
        <v>0</v>
      </c>
    </row>
    <row r="34" spans="1:5" ht="12.75">
      <c r="A34" s="786" t="s">
        <v>1178</v>
      </c>
      <c r="B34" s="808" t="s">
        <v>507</v>
      </c>
      <c r="C34" s="35">
        <f>3_sz_melléklet!E33</f>
        <v>0</v>
      </c>
      <c r="D34" s="40">
        <f>5_sz_melléklet!G434</f>
        <v>9200</v>
      </c>
      <c r="E34" s="208">
        <f>SUM(C34:D34)</f>
        <v>9200</v>
      </c>
    </row>
    <row r="35" spans="1:5" ht="13.5" thickBot="1">
      <c r="A35" s="786" t="s">
        <v>1179</v>
      </c>
      <c r="B35" s="809" t="s">
        <v>508</v>
      </c>
      <c r="C35" s="35">
        <f>3_sz_melléklet!E34</f>
        <v>0</v>
      </c>
      <c r="D35" s="40">
        <f>5_sz_melléklet!G435</f>
        <v>0</v>
      </c>
      <c r="E35" s="208">
        <f>SUM(C35:D35)</f>
        <v>0</v>
      </c>
    </row>
    <row r="36" spans="1:5" ht="26.25" thickBot="1">
      <c r="A36" s="786" t="s">
        <v>1180</v>
      </c>
      <c r="B36" s="596" t="s">
        <v>509</v>
      </c>
      <c r="C36" s="20">
        <f>SUM(C33:C35)</f>
        <v>0</v>
      </c>
      <c r="D36" s="20">
        <f>SUM(D33:D35)</f>
        <v>9200</v>
      </c>
      <c r="E36" s="205">
        <f>C36+D36</f>
        <v>9200</v>
      </c>
    </row>
    <row r="37" spans="1:5" ht="6.75" customHeight="1" thickBot="1">
      <c r="A37" s="786"/>
      <c r="B37" s="10"/>
      <c r="C37" s="33"/>
      <c r="D37" s="46"/>
      <c r="E37" s="210"/>
    </row>
    <row r="38" spans="1:5" ht="12.75">
      <c r="A38" s="786" t="s">
        <v>1181</v>
      </c>
      <c r="B38" s="810" t="s">
        <v>510</v>
      </c>
      <c r="C38" s="32"/>
      <c r="D38" s="40"/>
      <c r="E38" s="212"/>
    </row>
    <row r="39" spans="1:5" s="25" customFormat="1" ht="12.75">
      <c r="A39" s="786" t="s">
        <v>1182</v>
      </c>
      <c r="B39" s="441" t="s">
        <v>511</v>
      </c>
      <c r="C39" s="35">
        <f>3_sz_melléklet!E38</f>
        <v>0</v>
      </c>
      <c r="D39" s="40">
        <f>5_sz_melléklet!G439</f>
        <v>0</v>
      </c>
      <c r="E39" s="204">
        <f>SUM(C39:D39)</f>
        <v>0</v>
      </c>
    </row>
    <row r="40" spans="1:5" s="25" customFormat="1" ht="12.75">
      <c r="A40" s="786" t="s">
        <v>1183</v>
      </c>
      <c r="B40" s="441" t="s">
        <v>52</v>
      </c>
      <c r="C40" s="35">
        <f>3_sz_melléklet!E39</f>
        <v>0</v>
      </c>
      <c r="D40" s="40">
        <f>5_sz_melléklet!G440</f>
        <v>38702</v>
      </c>
      <c r="E40" s="204">
        <f>SUM(C40:D40)</f>
        <v>38702</v>
      </c>
    </row>
    <row r="41" spans="1:5" s="25" customFormat="1" ht="12.75">
      <c r="A41" s="786" t="s">
        <v>1184</v>
      </c>
      <c r="B41" s="213" t="s">
        <v>1288</v>
      </c>
      <c r="C41" s="35">
        <f>3_sz_melléklet!E40</f>
        <v>0</v>
      </c>
      <c r="D41" s="40">
        <f>5_sz_melléklet!G441</f>
        <v>11272</v>
      </c>
      <c r="E41" s="204">
        <f>SUM(C41:D41)</f>
        <v>11272</v>
      </c>
    </row>
    <row r="42" spans="1:5" s="25" customFormat="1" ht="13.5" thickBot="1">
      <c r="A42" s="786" t="s">
        <v>1185</v>
      </c>
      <c r="B42" s="441" t="s">
        <v>513</v>
      </c>
      <c r="C42" s="35">
        <f>3_sz_melléklet!E41</f>
        <v>0</v>
      </c>
      <c r="D42" s="42"/>
      <c r="E42" s="204">
        <f>SUM(C42:D42)</f>
        <v>0</v>
      </c>
    </row>
    <row r="43" spans="1:6" ht="13.5" thickBot="1">
      <c r="A43" s="786" t="s">
        <v>1186</v>
      </c>
      <c r="B43" s="811" t="s">
        <v>516</v>
      </c>
      <c r="C43" s="20">
        <f>SUM(C39:C42)</f>
        <v>0</v>
      </c>
      <c r="D43" s="20">
        <f>SUM(D39:D42)</f>
        <v>49974</v>
      </c>
      <c r="E43" s="205">
        <f>SUM(E39:E42)</f>
        <v>49974</v>
      </c>
      <c r="F43" s="25"/>
    </row>
    <row r="44" spans="1:5" ht="7.5" customHeight="1" thickBot="1">
      <c r="A44" s="786"/>
      <c r="B44" s="801"/>
      <c r="C44" s="39"/>
      <c r="D44" s="41"/>
      <c r="E44" s="214"/>
    </row>
    <row r="45" spans="1:5" ht="25.5" customHeight="1" thickBot="1">
      <c r="A45" s="786" t="s">
        <v>1187</v>
      </c>
      <c r="B45" s="812" t="s">
        <v>512</v>
      </c>
      <c r="C45" s="104">
        <f>C19+C30+C36+C43</f>
        <v>724039</v>
      </c>
      <c r="D45" s="104">
        <f>D19+D30+D36+D43</f>
        <v>9883170</v>
      </c>
      <c r="E45" s="215">
        <f>E19+E30+E36+E43</f>
        <v>10607209</v>
      </c>
    </row>
    <row r="46" spans="1:5" ht="7.5" customHeight="1">
      <c r="A46" s="786"/>
      <c r="B46" s="813"/>
      <c r="C46" s="180"/>
      <c r="D46" s="40"/>
      <c r="E46" s="216"/>
    </row>
    <row r="47" spans="1:5" ht="12.75">
      <c r="A47" s="786" t="s">
        <v>1188</v>
      </c>
      <c r="B47" s="814" t="s">
        <v>519</v>
      </c>
      <c r="C47" s="191"/>
      <c r="D47" s="187"/>
      <c r="E47" s="217"/>
    </row>
    <row r="48" spans="1:5" ht="12.75">
      <c r="A48" s="786" t="s">
        <v>1189</v>
      </c>
      <c r="B48" s="815" t="s">
        <v>514</v>
      </c>
      <c r="C48" s="192">
        <f>3_sz_melléklet!E47</f>
        <v>0</v>
      </c>
      <c r="D48" s="189">
        <f>5_sz_melléklet!G448</f>
        <v>0</v>
      </c>
      <c r="E48" s="218">
        <f>SUM(C48:D48)</f>
        <v>0</v>
      </c>
    </row>
    <row r="49" spans="1:5" ht="13.5" thickBot="1">
      <c r="A49" s="786" t="s">
        <v>1190</v>
      </c>
      <c r="B49" s="816" t="s">
        <v>515</v>
      </c>
      <c r="C49" s="192">
        <f>3_sz_melléklet!E48</f>
        <v>0</v>
      </c>
      <c r="D49" s="189">
        <f>5_sz_melléklet!G449</f>
        <v>100572</v>
      </c>
      <c r="E49" s="218">
        <f>SUM(C49:D49)</f>
        <v>100572</v>
      </c>
    </row>
    <row r="50" spans="1:5" ht="13.5" thickBot="1">
      <c r="A50" s="786" t="s">
        <v>1191</v>
      </c>
      <c r="B50" s="817" t="s">
        <v>517</v>
      </c>
      <c r="C50" s="194">
        <f>C48+C49</f>
        <v>0</v>
      </c>
      <c r="D50" s="194">
        <f>D48+D49</f>
        <v>100572</v>
      </c>
      <c r="E50" s="195">
        <f>E48+E49</f>
        <v>100572</v>
      </c>
    </row>
    <row r="51" spans="1:5" ht="6" customHeight="1">
      <c r="A51" s="786"/>
      <c r="B51" s="818"/>
      <c r="C51" s="190"/>
      <c r="D51" s="41"/>
      <c r="E51" s="219"/>
    </row>
    <row r="52" spans="1:5" ht="22.5" thickBot="1">
      <c r="A52" s="786" t="s">
        <v>1192</v>
      </c>
      <c r="B52" s="819" t="s">
        <v>518</v>
      </c>
      <c r="C52" s="196"/>
      <c r="D52" s="197"/>
      <c r="E52" s="220"/>
    </row>
    <row r="53" spans="1:6" s="25" customFormat="1" ht="12.75">
      <c r="A53" s="786" t="s">
        <v>1193</v>
      </c>
      <c r="B53" s="820" t="s">
        <v>520</v>
      </c>
      <c r="C53" s="185">
        <f>3_sz_melléklet!E52</f>
        <v>0</v>
      </c>
      <c r="D53" s="185">
        <f>5_sz_melléklet!G453</f>
        <v>0</v>
      </c>
      <c r="E53" s="206">
        <f>SUM(C53:D53)</f>
        <v>0</v>
      </c>
      <c r="F53"/>
    </row>
    <row r="54" spans="1:5" s="25" customFormat="1" ht="13.5" thickBot="1">
      <c r="A54" s="786" t="s">
        <v>1194</v>
      </c>
      <c r="B54" s="821" t="s">
        <v>521</v>
      </c>
      <c r="C54" s="588">
        <f>3_sz_melléklet!E53</f>
        <v>0</v>
      </c>
      <c r="D54" s="588">
        <f>5_sz_melléklet!G454</f>
        <v>14520</v>
      </c>
      <c r="E54" s="214">
        <f>SUM(C54:D54)</f>
        <v>14520</v>
      </c>
    </row>
    <row r="55" spans="1:6" ht="13.5" thickBot="1">
      <c r="A55" s="786" t="s">
        <v>1195</v>
      </c>
      <c r="B55" s="811" t="s">
        <v>522</v>
      </c>
      <c r="C55" s="20">
        <f>C53+C54</f>
        <v>0</v>
      </c>
      <c r="D55" s="20">
        <f>D53+D54</f>
        <v>14520</v>
      </c>
      <c r="E55" s="205">
        <f>E53+E54</f>
        <v>14520</v>
      </c>
      <c r="F55" s="25"/>
    </row>
    <row r="56" spans="1:5" ht="7.5" customHeight="1" thickBot="1">
      <c r="A56" s="786"/>
      <c r="B56" s="442"/>
      <c r="C56" s="39"/>
      <c r="D56" s="41"/>
      <c r="E56" s="204"/>
    </row>
    <row r="57" spans="1:5" ht="17.25" customHeight="1" thickBot="1">
      <c r="A57" s="823" t="s">
        <v>1196</v>
      </c>
      <c r="B57" s="822" t="s">
        <v>31</v>
      </c>
      <c r="C57" s="221">
        <f>C45+C50+C55</f>
        <v>724039</v>
      </c>
      <c r="D57" s="221">
        <f>D45+D50+D55</f>
        <v>9998262</v>
      </c>
      <c r="E57" s="221">
        <f>E45+E50+E55</f>
        <v>10722301</v>
      </c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</sheetData>
  <sheetProtection/>
  <mergeCells count="3">
    <mergeCell ref="B2:E2"/>
    <mergeCell ref="A5:A6"/>
    <mergeCell ref="A1:E1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21"/>
  <sheetViews>
    <sheetView zoomScalePageLayoutView="0" workbookViewId="0" topLeftCell="A69">
      <selection activeCell="F93" sqref="F92:F93"/>
    </sheetView>
  </sheetViews>
  <sheetFormatPr defaultColWidth="9.140625" defaultRowHeight="12.75"/>
  <cols>
    <col min="1" max="1" width="5.57421875" style="0" customWidth="1"/>
    <col min="2" max="2" width="58.421875" style="0" customWidth="1"/>
    <col min="3" max="3" width="18.28125" style="0" customWidth="1"/>
  </cols>
  <sheetData>
    <row r="1" spans="1:5" ht="12.75">
      <c r="A1" s="1547" t="s">
        <v>1323</v>
      </c>
      <c r="B1" s="1547"/>
      <c r="C1" s="1547"/>
      <c r="D1" s="1547"/>
      <c r="E1" s="1547"/>
    </row>
    <row r="2" spans="2:3" ht="15.75">
      <c r="B2" s="1588" t="s">
        <v>180</v>
      </c>
      <c r="C2" s="1588"/>
    </row>
    <row r="3" spans="2:3" ht="15.75">
      <c r="B3" s="1588" t="s">
        <v>181</v>
      </c>
      <c r="C3" s="1588"/>
    </row>
    <row r="4" spans="2:3" ht="15.75">
      <c r="B4" s="1588" t="s">
        <v>254</v>
      </c>
      <c r="C4" s="1588"/>
    </row>
    <row r="5" spans="2:3" ht="13.5" thickBot="1">
      <c r="B5" s="52"/>
      <c r="C5" s="54" t="s">
        <v>15</v>
      </c>
    </row>
    <row r="6" spans="1:3" ht="26.25" thickBot="1">
      <c r="A6" s="938" t="s">
        <v>1148</v>
      </c>
      <c r="B6" s="1090" t="s">
        <v>182</v>
      </c>
      <c r="C6" s="1091" t="s">
        <v>576</v>
      </c>
    </row>
    <row r="7" spans="1:3" ht="13.5" thickBot="1">
      <c r="A7" s="1064" t="s">
        <v>1149</v>
      </c>
      <c r="B7" s="1007" t="s">
        <v>1150</v>
      </c>
      <c r="C7" s="1023" t="s">
        <v>1151</v>
      </c>
    </row>
    <row r="8" spans="1:3" ht="12.75" customHeight="1" thickBot="1">
      <c r="A8" s="841" t="s">
        <v>1153</v>
      </c>
      <c r="B8" s="379" t="s">
        <v>183</v>
      </c>
      <c r="C8" s="1095"/>
    </row>
    <row r="9" spans="1:3" ht="12.75" customHeight="1" thickBot="1">
      <c r="A9" s="1066" t="s">
        <v>1154</v>
      </c>
      <c r="B9" s="380" t="s">
        <v>1290</v>
      </c>
      <c r="C9" s="1096">
        <f>19000-1250</f>
        <v>17750</v>
      </c>
    </row>
    <row r="10" spans="1:3" ht="12.75" customHeight="1" thickBot="1">
      <c r="A10" s="841" t="s">
        <v>1155</v>
      </c>
      <c r="B10" s="881" t="s">
        <v>133</v>
      </c>
      <c r="C10" s="1097">
        <f>SUM(C9)</f>
        <v>17750</v>
      </c>
    </row>
    <row r="11" spans="1:3" ht="12.75" customHeight="1">
      <c r="A11" s="950" t="s">
        <v>1156</v>
      </c>
      <c r="B11" s="381"/>
      <c r="C11" s="1098"/>
    </row>
    <row r="12" spans="1:3" ht="12.75" customHeight="1">
      <c r="A12" s="950" t="s">
        <v>1157</v>
      </c>
      <c r="B12" s="1297" t="s">
        <v>36</v>
      </c>
      <c r="C12" s="1098"/>
    </row>
    <row r="13" spans="1:3" ht="12.75" customHeight="1">
      <c r="A13" s="950" t="s">
        <v>1158</v>
      </c>
      <c r="B13" s="1298" t="s">
        <v>1365</v>
      </c>
      <c r="C13" s="1005">
        <v>2719</v>
      </c>
    </row>
    <row r="14" spans="1:3" ht="12.75" customHeight="1" thickBot="1">
      <c r="A14" s="950" t="s">
        <v>1159</v>
      </c>
      <c r="B14" s="1360" t="s">
        <v>1411</v>
      </c>
      <c r="C14" s="1005">
        <v>178</v>
      </c>
    </row>
    <row r="15" spans="1:3" ht="12.75" customHeight="1" thickBot="1">
      <c r="A15" s="841" t="s">
        <v>1160</v>
      </c>
      <c r="B15" s="362" t="s">
        <v>133</v>
      </c>
      <c r="C15" s="1359">
        <f>SUM(C13:C14)</f>
        <v>2897</v>
      </c>
    </row>
    <row r="16" spans="1:3" ht="12.75" customHeight="1">
      <c r="A16" s="789" t="s">
        <v>1161</v>
      </c>
      <c r="B16" s="56"/>
      <c r="C16" s="1348"/>
    </row>
    <row r="17" spans="1:3" ht="12.75" customHeight="1">
      <c r="A17" s="789" t="s">
        <v>1162</v>
      </c>
      <c r="B17" s="1352" t="s">
        <v>1395</v>
      </c>
      <c r="C17" s="655"/>
    </row>
    <row r="18" spans="1:3" ht="12.75" customHeight="1">
      <c r="A18" s="789" t="s">
        <v>1163</v>
      </c>
      <c r="B18" s="332" t="s">
        <v>1396</v>
      </c>
      <c r="C18" s="655">
        <v>750</v>
      </c>
    </row>
    <row r="19" spans="1:3" ht="12.75" customHeight="1" thickBot="1">
      <c r="A19" s="1381" t="s">
        <v>1164</v>
      </c>
      <c r="B19" s="781"/>
      <c r="C19" s="657"/>
    </row>
    <row r="20" spans="1:3" ht="12.75" customHeight="1" thickBot="1">
      <c r="A20" s="841" t="s">
        <v>1165</v>
      </c>
      <c r="B20" s="248" t="s">
        <v>133</v>
      </c>
      <c r="C20" s="658">
        <f>SUM(C18:C19)</f>
        <v>750</v>
      </c>
    </row>
    <row r="21" spans="1:3" ht="12.75" customHeight="1">
      <c r="A21" s="1381" t="s">
        <v>1166</v>
      </c>
      <c r="B21" s="1480"/>
      <c r="C21" s="1481"/>
    </row>
    <row r="22" spans="1:3" ht="12.75" customHeight="1">
      <c r="A22" s="907" t="s">
        <v>1167</v>
      </c>
      <c r="B22" s="1482" t="s">
        <v>42</v>
      </c>
      <c r="C22" s="655"/>
    </row>
    <row r="23" spans="1:3" ht="12.75" customHeight="1">
      <c r="A23" s="907" t="s">
        <v>1168</v>
      </c>
      <c r="B23" s="305" t="s">
        <v>1490</v>
      </c>
      <c r="C23" s="656">
        <v>400</v>
      </c>
    </row>
    <row r="24" spans="1:3" ht="12.75" customHeight="1">
      <c r="A24" s="907" t="s">
        <v>1169</v>
      </c>
      <c r="B24" s="305" t="s">
        <v>1489</v>
      </c>
      <c r="C24" s="656">
        <v>1210</v>
      </c>
    </row>
    <row r="25" spans="1:3" ht="12.75" customHeight="1" thickBot="1">
      <c r="A25" s="907" t="s">
        <v>1170</v>
      </c>
      <c r="B25" s="1483" t="s">
        <v>1491</v>
      </c>
      <c r="C25" s="665">
        <v>128</v>
      </c>
    </row>
    <row r="26" spans="1:3" ht="12.75" customHeight="1" thickBot="1">
      <c r="A26" s="841" t="s">
        <v>1171</v>
      </c>
      <c r="B26" s="362" t="s">
        <v>133</v>
      </c>
      <c r="C26" s="658">
        <f>SUM(C23:C25)</f>
        <v>1738</v>
      </c>
    </row>
    <row r="27" spans="1:3" ht="12.75" customHeight="1">
      <c r="A27" s="1085" t="s">
        <v>1173</v>
      </c>
      <c r="B27" s="256"/>
      <c r="C27" s="1486"/>
    </row>
    <row r="28" spans="1:3" ht="12.75" customHeight="1">
      <c r="A28" s="786" t="s">
        <v>1174</v>
      </c>
      <c r="B28" s="1482" t="s">
        <v>216</v>
      </c>
      <c r="C28" s="656"/>
    </row>
    <row r="29" spans="1:3" ht="12.75" customHeight="1" thickBot="1">
      <c r="A29" s="1381" t="s">
        <v>1175</v>
      </c>
      <c r="B29" s="305" t="s">
        <v>1492</v>
      </c>
      <c r="C29" s="1485">
        <v>935</v>
      </c>
    </row>
    <row r="30" spans="1:3" ht="12.75" customHeight="1" thickBot="1">
      <c r="A30" s="841" t="s">
        <v>1176</v>
      </c>
      <c r="B30" s="362" t="s">
        <v>133</v>
      </c>
      <c r="C30" s="658">
        <f>SUM(C29)</f>
        <v>935</v>
      </c>
    </row>
    <row r="31" spans="1:3" ht="12.75" customHeight="1">
      <c r="A31" s="1085" t="s">
        <v>1177</v>
      </c>
      <c r="B31" s="305"/>
      <c r="C31" s="1484"/>
    </row>
    <row r="32" spans="1:3" ht="12.75">
      <c r="A32" s="786" t="s">
        <v>1178</v>
      </c>
      <c r="B32" s="1305" t="s">
        <v>184</v>
      </c>
      <c r="C32" s="1349"/>
    </row>
    <row r="33" spans="1:3" ht="12.75">
      <c r="A33" s="786" t="s">
        <v>1179</v>
      </c>
      <c r="B33" s="8" t="s">
        <v>1497</v>
      </c>
      <c r="C33" s="1489">
        <v>200</v>
      </c>
    </row>
    <row r="34" spans="1:3" ht="12.75">
      <c r="A34" s="786" t="s">
        <v>1180</v>
      </c>
      <c r="B34" s="6" t="s">
        <v>1499</v>
      </c>
      <c r="C34" s="1350">
        <v>325</v>
      </c>
    </row>
    <row r="35" spans="1:3" ht="12.75" customHeight="1">
      <c r="A35" s="786" t="s">
        <v>1181</v>
      </c>
      <c r="B35" s="6" t="s">
        <v>1500</v>
      </c>
      <c r="C35" s="1350">
        <v>147</v>
      </c>
    </row>
    <row r="36" spans="1:3" ht="13.5" thickBot="1">
      <c r="A36" s="786" t="s">
        <v>1182</v>
      </c>
      <c r="B36" s="785"/>
      <c r="C36" s="1351"/>
    </row>
    <row r="37" spans="1:3" ht="13.5" thickBot="1">
      <c r="A37" s="841" t="s">
        <v>1183</v>
      </c>
      <c r="B37" s="881" t="s">
        <v>133</v>
      </c>
      <c r="C37" s="1347">
        <f>SUM(C33:C36)</f>
        <v>672</v>
      </c>
    </row>
    <row r="38" spans="1:3" ht="12.75">
      <c r="A38" s="1086" t="s">
        <v>1184</v>
      </c>
      <c r="B38" s="13"/>
      <c r="C38" s="1101"/>
    </row>
    <row r="39" spans="1:3" ht="12.75">
      <c r="A39" s="883" t="s">
        <v>1185</v>
      </c>
      <c r="B39" s="382" t="s">
        <v>185</v>
      </c>
      <c r="C39" s="1099"/>
    </row>
    <row r="40" spans="1:3" ht="12.75">
      <c r="A40" s="883" t="s">
        <v>1186</v>
      </c>
      <c r="B40" s="8" t="s">
        <v>1497</v>
      </c>
      <c r="C40" s="1099">
        <v>200</v>
      </c>
    </row>
    <row r="41" spans="1:3" ht="12.75">
      <c r="A41" s="883" t="s">
        <v>1187</v>
      </c>
      <c r="B41" s="8" t="s">
        <v>1494</v>
      </c>
      <c r="C41" s="1099">
        <v>484</v>
      </c>
    </row>
    <row r="42" spans="1:3" ht="12.75">
      <c r="A42" s="883" t="s">
        <v>1188</v>
      </c>
      <c r="B42" s="8" t="s">
        <v>1495</v>
      </c>
      <c r="C42" s="1099">
        <v>4837</v>
      </c>
    </row>
    <row r="43" spans="1:3" ht="13.5" thickBot="1">
      <c r="A43" s="883" t="s">
        <v>1189</v>
      </c>
      <c r="B43" s="673" t="s">
        <v>1496</v>
      </c>
      <c r="C43" s="1296">
        <v>11585</v>
      </c>
    </row>
    <row r="44" spans="1:3" ht="13.5" thickBot="1">
      <c r="A44" s="841" t="s">
        <v>1190</v>
      </c>
      <c r="B44" s="881" t="s">
        <v>186</v>
      </c>
      <c r="C44" s="1100">
        <f>SUM(C40:C43)</f>
        <v>17106</v>
      </c>
    </row>
    <row r="45" spans="1:3" ht="12.75">
      <c r="A45" s="1488" t="s">
        <v>1191</v>
      </c>
      <c r="B45" s="13"/>
      <c r="C45" s="1102"/>
    </row>
    <row r="46" spans="1:3" ht="13.5" thickBot="1">
      <c r="A46" s="908" t="s">
        <v>1192</v>
      </c>
      <c r="B46" s="223"/>
      <c r="C46" s="1103"/>
    </row>
    <row r="47" spans="1:3" ht="13.5" thickBot="1">
      <c r="A47" s="841" t="s">
        <v>1193</v>
      </c>
      <c r="B47" s="881" t="s">
        <v>91</v>
      </c>
      <c r="C47" s="1104">
        <f>C10+C15+C20+C26+C30+C37+C44</f>
        <v>41848</v>
      </c>
    </row>
    <row r="48" spans="1:3" ht="12.75">
      <c r="A48" s="1085" t="s">
        <v>1194</v>
      </c>
      <c r="B48" s="1050"/>
      <c r="C48" s="1092"/>
    </row>
    <row r="49" spans="1:3" ht="12.75">
      <c r="A49" s="786" t="s">
        <v>1195</v>
      </c>
      <c r="B49" s="1305" t="s">
        <v>187</v>
      </c>
      <c r="C49" s="1105"/>
    </row>
    <row r="50" spans="1:3" ht="12.75">
      <c r="A50" s="786" t="s">
        <v>1196</v>
      </c>
      <c r="B50" s="441"/>
      <c r="C50" s="1106"/>
    </row>
    <row r="51" spans="1:3" ht="12.75">
      <c r="A51" s="786" t="s">
        <v>1236</v>
      </c>
      <c r="B51" s="1401" t="s">
        <v>1445</v>
      </c>
      <c r="C51" s="1106">
        <v>2200</v>
      </c>
    </row>
    <row r="52" spans="1:3" ht="12.75">
      <c r="A52" s="786" t="s">
        <v>1237</v>
      </c>
      <c r="B52" s="1306" t="s">
        <v>1138</v>
      </c>
      <c r="C52" s="1106">
        <f>44649+64961+2585</f>
        <v>112195</v>
      </c>
    </row>
    <row r="53" spans="1:3" ht="12.75">
      <c r="A53" s="786" t="s">
        <v>1238</v>
      </c>
      <c r="B53" s="1306" t="s">
        <v>1139</v>
      </c>
      <c r="C53" s="1106">
        <f>60825+70</f>
        <v>60895</v>
      </c>
    </row>
    <row r="54" spans="1:3" ht="13.5" thickBot="1">
      <c r="A54" s="823" t="s">
        <v>1239</v>
      </c>
      <c r="B54" s="1514" t="s">
        <v>192</v>
      </c>
      <c r="C54" s="1422">
        <f>SUM(C51:C53)</f>
        <v>175290</v>
      </c>
    </row>
    <row r="55" spans="1:4" ht="12.75">
      <c r="A55" s="839"/>
      <c r="B55" s="1513"/>
      <c r="C55" s="1515"/>
      <c r="D55" s="24"/>
    </row>
    <row r="56" spans="1:4" ht="12.75">
      <c r="A56" s="1547" t="s">
        <v>1323</v>
      </c>
      <c r="B56" s="1547"/>
      <c r="C56" s="1547"/>
      <c r="D56" s="24"/>
    </row>
    <row r="57" spans="1:3" ht="12.75">
      <c r="A57" s="1575">
        <v>2</v>
      </c>
      <c r="B57" s="1575"/>
      <c r="C57" s="1575"/>
    </row>
    <row r="58" spans="2:3" ht="15.75">
      <c r="B58" s="1588" t="s">
        <v>180</v>
      </c>
      <c r="C58" s="1588"/>
    </row>
    <row r="59" spans="2:3" ht="15.75">
      <c r="B59" s="1588" t="s">
        <v>181</v>
      </c>
      <c r="C59" s="1588"/>
    </row>
    <row r="60" spans="2:3" ht="15.75">
      <c r="B60" s="1588" t="s">
        <v>254</v>
      </c>
      <c r="C60" s="1588"/>
    </row>
    <row r="61" spans="2:3" ht="13.5" thickBot="1">
      <c r="B61" s="52"/>
      <c r="C61" s="54" t="s">
        <v>15</v>
      </c>
    </row>
    <row r="62" spans="1:3" ht="26.25" thickBot="1">
      <c r="A62" s="938" t="s">
        <v>1148</v>
      </c>
      <c r="B62" s="1090" t="s">
        <v>182</v>
      </c>
      <c r="C62" s="1091" t="s">
        <v>576</v>
      </c>
    </row>
    <row r="63" spans="1:3" ht="13.5" thickBot="1">
      <c r="A63" s="943" t="s">
        <v>1149</v>
      </c>
      <c r="B63" s="1007" t="s">
        <v>1150</v>
      </c>
      <c r="C63" s="1023" t="s">
        <v>1151</v>
      </c>
    </row>
    <row r="64" spans="1:3" ht="12.75">
      <c r="A64" s="1085" t="s">
        <v>1240</v>
      </c>
      <c r="B64" s="773"/>
      <c r="C64" s="1108"/>
    </row>
    <row r="65" spans="1:3" ht="12.75">
      <c r="A65" s="786" t="s">
        <v>1241</v>
      </c>
      <c r="B65" s="1307" t="s">
        <v>1140</v>
      </c>
      <c r="C65" s="1106">
        <v>122323</v>
      </c>
    </row>
    <row r="66" spans="1:3" ht="12.75">
      <c r="A66" s="786" t="s">
        <v>1242</v>
      </c>
      <c r="B66" s="1308" t="s">
        <v>1141</v>
      </c>
      <c r="C66" s="1107">
        <f>SUM(C65)</f>
        <v>122323</v>
      </c>
    </row>
    <row r="67" spans="1:3" ht="12.75">
      <c r="A67" s="786" t="s">
        <v>1243</v>
      </c>
      <c r="B67" s="1308"/>
      <c r="C67" s="1107"/>
    </row>
    <row r="68" spans="1:3" ht="12.75">
      <c r="A68" s="786" t="s">
        <v>1244</v>
      </c>
      <c r="B68" s="1490" t="s">
        <v>1503</v>
      </c>
      <c r="C68" s="1106">
        <v>2700</v>
      </c>
    </row>
    <row r="69" spans="1:3" ht="12.75">
      <c r="A69" s="786" t="s">
        <v>1245</v>
      </c>
      <c r="B69" s="774" t="s">
        <v>1504</v>
      </c>
      <c r="C69" s="1107">
        <f>SUM(C68)</f>
        <v>2700</v>
      </c>
    </row>
    <row r="70" spans="1:3" ht="12.75">
      <c r="A70" s="786" t="s">
        <v>1246</v>
      </c>
      <c r="B70" s="774"/>
      <c r="C70" s="1107"/>
    </row>
    <row r="71" spans="1:3" ht="12.75">
      <c r="A71" s="786" t="s">
        <v>1247</v>
      </c>
      <c r="B71" s="775" t="s">
        <v>1143</v>
      </c>
      <c r="C71" s="1106">
        <v>1800</v>
      </c>
    </row>
    <row r="72" spans="1:3" ht="12.75">
      <c r="A72" s="786" t="s">
        <v>1248</v>
      </c>
      <c r="B72" s="6" t="s">
        <v>1134</v>
      </c>
      <c r="C72" s="1106">
        <v>523244</v>
      </c>
    </row>
    <row r="73" spans="1:3" ht="12.75">
      <c r="A73" s="786" t="s">
        <v>1249</v>
      </c>
      <c r="B73" s="6" t="s">
        <v>1135</v>
      </c>
      <c r="C73" s="1108">
        <f>776008+477414-2064-11775-557</f>
        <v>1239026</v>
      </c>
    </row>
    <row r="74" spans="1:3" ht="12.75">
      <c r="A74" s="786" t="s">
        <v>1250</v>
      </c>
      <c r="B74" s="6" t="s">
        <v>1377</v>
      </c>
      <c r="C74" s="1108">
        <v>79241</v>
      </c>
    </row>
    <row r="75" spans="1:3" ht="12.75">
      <c r="A75" s="786" t="s">
        <v>1251</v>
      </c>
      <c r="B75" s="6" t="s">
        <v>1482</v>
      </c>
      <c r="C75" s="1108">
        <v>465</v>
      </c>
    </row>
    <row r="76" spans="1:3" ht="12.75">
      <c r="A76" s="786" t="s">
        <v>1252</v>
      </c>
      <c r="B76" s="6" t="s">
        <v>1502</v>
      </c>
      <c r="C76" s="1108">
        <v>560</v>
      </c>
    </row>
    <row r="77" spans="1:11" s="26" customFormat="1" ht="12.75">
      <c r="A77" s="786" t="s">
        <v>1253</v>
      </c>
      <c r="B77" s="5" t="s">
        <v>188</v>
      </c>
      <c r="C77" s="1107">
        <f>SUM(C71:C76)</f>
        <v>1844336</v>
      </c>
      <c r="K77"/>
    </row>
    <row r="78" spans="1:11" ht="12.75">
      <c r="A78" s="786" t="s">
        <v>1254</v>
      </c>
      <c r="B78" s="6"/>
      <c r="C78" s="1106"/>
      <c r="K78" s="26"/>
    </row>
    <row r="79" spans="1:3" ht="12.75">
      <c r="A79" s="786" t="s">
        <v>1255</v>
      </c>
      <c r="B79" s="6" t="s">
        <v>1145</v>
      </c>
      <c r="C79" s="1106">
        <f>400+1200</f>
        <v>1600</v>
      </c>
    </row>
    <row r="80" spans="1:11" s="26" customFormat="1" ht="12.75">
      <c r="A80" s="786" t="s">
        <v>1256</v>
      </c>
      <c r="B80" s="1516" t="s">
        <v>189</v>
      </c>
      <c r="C80" s="1314">
        <f>SUM(C79)</f>
        <v>1600</v>
      </c>
      <c r="K80"/>
    </row>
    <row r="81" spans="1:11" ht="12.75">
      <c r="A81" s="789" t="s">
        <v>1257</v>
      </c>
      <c r="B81" s="1306"/>
      <c r="C81" s="1108"/>
      <c r="K81" s="26"/>
    </row>
    <row r="82" spans="1:3" ht="12.75">
      <c r="A82" s="786" t="s">
        <v>1258</v>
      </c>
      <c r="B82" s="1309" t="s">
        <v>1136</v>
      </c>
      <c r="C82" s="1106">
        <f>966651+38000-224985+3094+224985+2363</f>
        <v>1010108</v>
      </c>
    </row>
    <row r="83" spans="1:3" ht="12.75">
      <c r="A83" s="786" t="s">
        <v>1259</v>
      </c>
      <c r="B83" s="1309" t="s">
        <v>1137</v>
      </c>
      <c r="C83" s="1106">
        <f>226513-45302+6606+45302+37487</f>
        <v>270606</v>
      </c>
    </row>
    <row r="84" spans="1:11" s="26" customFormat="1" ht="12.75">
      <c r="A84" s="786" t="s">
        <v>1260</v>
      </c>
      <c r="B84" s="1310" t="s">
        <v>190</v>
      </c>
      <c r="C84" s="1107">
        <f>SUM(C82:C83)</f>
        <v>1280714</v>
      </c>
      <c r="K84"/>
    </row>
    <row r="85" spans="1:11" ht="12.75">
      <c r="A85" s="786" t="s">
        <v>1261</v>
      </c>
      <c r="B85" s="1537"/>
      <c r="C85" s="1423"/>
      <c r="K85" s="26"/>
    </row>
    <row r="86" spans="1:3" ht="12.75">
      <c r="A86" s="786" t="s">
        <v>1262</v>
      </c>
      <c r="B86" s="1306" t="s">
        <v>1147</v>
      </c>
      <c r="C86" s="1108">
        <f>2540+146+202+1</f>
        <v>2889</v>
      </c>
    </row>
    <row r="87" spans="1:3" ht="12.75">
      <c r="A87" s="786" t="s">
        <v>1263</v>
      </c>
      <c r="B87" s="1306" t="s">
        <v>1389</v>
      </c>
      <c r="C87" s="1108">
        <v>826</v>
      </c>
    </row>
    <row r="88" spans="1:11" s="26" customFormat="1" ht="12.75">
      <c r="A88" s="786" t="s">
        <v>1264</v>
      </c>
      <c r="B88" s="773" t="s">
        <v>1146</v>
      </c>
      <c r="C88" s="1092">
        <f>SUM(C86:C87)</f>
        <v>3715</v>
      </c>
      <c r="K88"/>
    </row>
    <row r="89" spans="1:11" ht="12.75">
      <c r="A89" s="786" t="s">
        <v>1265</v>
      </c>
      <c r="B89" s="1306"/>
      <c r="C89" s="1108"/>
      <c r="K89" s="26"/>
    </row>
    <row r="90" spans="1:3" ht="12.75">
      <c r="A90" s="786" t="s">
        <v>1266</v>
      </c>
      <c r="B90" s="1306" t="s">
        <v>1142</v>
      </c>
      <c r="C90" s="1108">
        <f>196875-39375</f>
        <v>157500</v>
      </c>
    </row>
    <row r="91" spans="1:3" ht="12.75">
      <c r="A91" s="786" t="s">
        <v>1267</v>
      </c>
      <c r="B91" s="1306" t="s">
        <v>1132</v>
      </c>
      <c r="C91" s="1108">
        <f>1188-237+237+827+126</f>
        <v>2141</v>
      </c>
    </row>
    <row r="92" spans="1:3" ht="12.75">
      <c r="A92" s="786" t="s">
        <v>1268</v>
      </c>
      <c r="B92" s="1306" t="s">
        <v>1133</v>
      </c>
      <c r="C92" s="1108">
        <f>2457123-411425-25081-63</f>
        <v>2020554</v>
      </c>
    </row>
    <row r="93" spans="1:11" s="26" customFormat="1" ht="12.75">
      <c r="A93" s="786" t="s">
        <v>1269</v>
      </c>
      <c r="B93" s="1403" t="s">
        <v>191</v>
      </c>
      <c r="C93" s="1314">
        <f>SUM(C90:C92)</f>
        <v>2180195</v>
      </c>
      <c r="K93"/>
    </row>
    <row r="94" spans="1:3" s="750" customFormat="1" ht="12.75">
      <c r="A94" s="786" t="s">
        <v>1270</v>
      </c>
      <c r="B94" s="798"/>
      <c r="C94" s="799"/>
    </row>
    <row r="95" spans="1:11" ht="12.75">
      <c r="A95" s="786" t="s">
        <v>1271</v>
      </c>
      <c r="B95" s="1306" t="s">
        <v>1420</v>
      </c>
      <c r="C95" s="1108">
        <v>17807</v>
      </c>
      <c r="K95" s="750"/>
    </row>
    <row r="96" spans="1:11" ht="12.75">
      <c r="A96" s="786" t="s">
        <v>1272</v>
      </c>
      <c r="B96" s="775" t="s">
        <v>1562</v>
      </c>
      <c r="C96" s="1544">
        <v>338</v>
      </c>
      <c r="K96" s="750"/>
    </row>
    <row r="97" spans="1:3" ht="12.75">
      <c r="A97" s="786" t="s">
        <v>1273</v>
      </c>
      <c r="B97" s="1516" t="s">
        <v>1519</v>
      </c>
      <c r="C97" s="1314">
        <f>SUM(C95:C96)</f>
        <v>18145</v>
      </c>
    </row>
    <row r="98" spans="1:3" ht="12.75">
      <c r="A98" s="786" t="s">
        <v>1274</v>
      </c>
      <c r="B98" s="332"/>
      <c r="C98" s="1402"/>
    </row>
    <row r="99" spans="1:3" ht="12.75">
      <c r="A99" s="786" t="s">
        <v>1275</v>
      </c>
      <c r="B99" s="332" t="s">
        <v>1521</v>
      </c>
      <c r="C99" s="1499">
        <v>630</v>
      </c>
    </row>
    <row r="100" spans="1:3" ht="12.75">
      <c r="A100" s="786" t="s">
        <v>1276</v>
      </c>
      <c r="B100" s="651" t="s">
        <v>1520</v>
      </c>
      <c r="C100" s="1402">
        <f>SUM(C99)</f>
        <v>630</v>
      </c>
    </row>
    <row r="101" spans="1:3" ht="12.75">
      <c r="A101" s="786" t="s">
        <v>1277</v>
      </c>
      <c r="B101" s="650"/>
      <c r="C101" s="1500"/>
    </row>
    <row r="102" spans="1:3" ht="12.75">
      <c r="A102" s="786" t="s">
        <v>1371</v>
      </c>
      <c r="B102" s="332" t="s">
        <v>1527</v>
      </c>
      <c r="C102" s="1499">
        <v>125</v>
      </c>
    </row>
    <row r="103" spans="1:3" ht="12.75">
      <c r="A103" s="786" t="s">
        <v>1372</v>
      </c>
      <c r="B103" s="56" t="s">
        <v>1523</v>
      </c>
      <c r="C103" s="1498">
        <f>SUM(C102)</f>
        <v>125</v>
      </c>
    </row>
    <row r="104" spans="1:3" ht="12.75">
      <c r="A104" s="786" t="s">
        <v>1373</v>
      </c>
      <c r="B104" s="332"/>
      <c r="C104" s="1402"/>
    </row>
    <row r="105" spans="1:3" ht="12.75">
      <c r="A105" s="786" t="s">
        <v>1518</v>
      </c>
      <c r="B105" s="1306" t="s">
        <v>1522</v>
      </c>
      <c r="C105" s="1108">
        <v>250</v>
      </c>
    </row>
    <row r="106" spans="1:3" ht="13.5" thickBot="1">
      <c r="A106" s="786" t="s">
        <v>1524</v>
      </c>
      <c r="B106" s="16" t="s">
        <v>1447</v>
      </c>
      <c r="C106" s="1375">
        <f>SUM(C105)</f>
        <v>250</v>
      </c>
    </row>
    <row r="107" spans="1:3" ht="13.5" thickBot="1">
      <c r="A107" s="841" t="s">
        <v>1525</v>
      </c>
      <c r="B107" s="1315" t="s">
        <v>158</v>
      </c>
      <c r="C107" s="1093">
        <f>C77+C80+C84+C88+C93+C54+C66+C97+C106+C69+C100+C103</f>
        <v>5630023</v>
      </c>
    </row>
    <row r="108" spans="1:3" ht="13.5" thickBot="1">
      <c r="A108" s="1381" t="s">
        <v>1526</v>
      </c>
      <c r="B108" s="1514"/>
      <c r="C108" s="1094"/>
    </row>
    <row r="109" spans="1:3" ht="13.5" thickBot="1">
      <c r="A109" s="841" t="s">
        <v>1554</v>
      </c>
      <c r="B109" s="1047" t="s">
        <v>193</v>
      </c>
      <c r="C109" s="1089">
        <f>C47+C107</f>
        <v>5671871</v>
      </c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</sheetData>
  <sheetProtection/>
  <mergeCells count="9">
    <mergeCell ref="A56:C56"/>
    <mergeCell ref="B58:C58"/>
    <mergeCell ref="B59:C59"/>
    <mergeCell ref="B60:C60"/>
    <mergeCell ref="A1:E1"/>
    <mergeCell ref="B2:C2"/>
    <mergeCell ref="B3:C3"/>
    <mergeCell ref="B4:C4"/>
    <mergeCell ref="A57:C57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0">
      <selection activeCell="C25" sqref="C25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547" t="s">
        <v>1324</v>
      </c>
      <c r="B1" s="1547"/>
      <c r="C1" s="1547"/>
      <c r="D1" s="1547"/>
      <c r="E1" s="1547"/>
    </row>
    <row r="2" spans="1:5" ht="12.75">
      <c r="A2" s="824"/>
      <c r="B2" s="824"/>
      <c r="C2" s="824"/>
      <c r="D2" s="824"/>
      <c r="E2" s="824"/>
    </row>
    <row r="3" spans="2:3" ht="15.75">
      <c r="B3" s="1588" t="s">
        <v>194</v>
      </c>
      <c r="C3" s="1588"/>
    </row>
    <row r="4" spans="2:3" ht="15.75">
      <c r="B4" s="1588" t="s">
        <v>254</v>
      </c>
      <c r="C4" s="1588"/>
    </row>
    <row r="5" spans="2:3" ht="15.75">
      <c r="B5" s="377"/>
      <c r="C5" s="377"/>
    </row>
    <row r="6" spans="2:3" ht="13.5" thickBot="1">
      <c r="B6" s="1"/>
      <c r="C6" s="54" t="s">
        <v>15</v>
      </c>
    </row>
    <row r="7" spans="1:3" ht="32.25" thickBot="1">
      <c r="A7" s="938" t="s">
        <v>1148</v>
      </c>
      <c r="B7" s="1073" t="s">
        <v>195</v>
      </c>
      <c r="C7" s="1110" t="s">
        <v>577</v>
      </c>
    </row>
    <row r="8" spans="1:3" ht="13.5" thickBot="1">
      <c r="A8" s="943" t="s">
        <v>1149</v>
      </c>
      <c r="B8" s="1007" t="s">
        <v>1150</v>
      </c>
      <c r="C8" s="1023" t="s">
        <v>1151</v>
      </c>
    </row>
    <row r="9" spans="1:3" ht="16.5" thickBot="1">
      <c r="A9" s="841" t="s">
        <v>1153</v>
      </c>
      <c r="B9" s="384" t="s">
        <v>196</v>
      </c>
      <c r="C9" s="1111"/>
    </row>
    <row r="10" spans="1:3" ht="15.75">
      <c r="A10" s="950" t="s">
        <v>1154</v>
      </c>
      <c r="B10" s="385" t="s">
        <v>197</v>
      </c>
      <c r="C10" s="1112">
        <f>18000-16829</f>
        <v>1171</v>
      </c>
    </row>
    <row r="11" spans="1:3" ht="15.75">
      <c r="A11" s="939" t="s">
        <v>1155</v>
      </c>
      <c r="B11" s="386" t="s">
        <v>198</v>
      </c>
      <c r="C11" s="1113">
        <v>600</v>
      </c>
    </row>
    <row r="12" spans="1:3" ht="15" customHeight="1">
      <c r="A12" s="939" t="s">
        <v>1156</v>
      </c>
      <c r="B12" s="386" t="s">
        <v>199</v>
      </c>
      <c r="C12" s="1114">
        <f>25000-5285-10800</f>
        <v>8915</v>
      </c>
    </row>
    <row r="13" spans="1:3" ht="15.75">
      <c r="A13" s="939" t="s">
        <v>1157</v>
      </c>
      <c r="B13" s="387" t="s">
        <v>200</v>
      </c>
      <c r="C13" s="1114">
        <f>9000-5000-2475</f>
        <v>1525</v>
      </c>
    </row>
    <row r="14" spans="1:3" ht="15.75">
      <c r="A14" s="883" t="s">
        <v>1158</v>
      </c>
      <c r="B14" s="386" t="s">
        <v>201</v>
      </c>
      <c r="C14" s="1113">
        <v>3000</v>
      </c>
    </row>
    <row r="15" spans="1:3" ht="15.75">
      <c r="A15" s="883" t="s">
        <v>1159</v>
      </c>
      <c r="B15" s="388" t="s">
        <v>1107</v>
      </c>
      <c r="C15" s="1114">
        <v>2000</v>
      </c>
    </row>
    <row r="16" spans="1:3" ht="15.75">
      <c r="A16" s="883" t="s">
        <v>1160</v>
      </c>
      <c r="B16" s="386" t="s">
        <v>1108</v>
      </c>
      <c r="C16" s="1113">
        <v>5941</v>
      </c>
    </row>
    <row r="17" spans="1:3" ht="16.5" thickBot="1">
      <c r="A17" s="889" t="s">
        <v>1161</v>
      </c>
      <c r="B17" s="389" t="s">
        <v>1109</v>
      </c>
      <c r="C17" s="1115">
        <f>10000-10000</f>
        <v>0</v>
      </c>
    </row>
    <row r="18" spans="1:3" ht="26.25" customHeight="1" thickBot="1">
      <c r="A18" s="841" t="s">
        <v>1162</v>
      </c>
      <c r="B18" s="1109" t="s">
        <v>202</v>
      </c>
      <c r="C18" s="1116">
        <f>SUM(C10:C17)</f>
        <v>23152</v>
      </c>
    </row>
    <row r="19" spans="1:3" ht="15.75">
      <c r="A19" s="921"/>
      <c r="B19" s="389"/>
      <c r="C19" s="1117"/>
    </row>
    <row r="20" spans="1:3" ht="15.75">
      <c r="A20" s="883" t="s">
        <v>1163</v>
      </c>
      <c r="B20" s="390" t="s">
        <v>203</v>
      </c>
      <c r="C20" s="1118"/>
    </row>
    <row r="21" spans="1:3" ht="15.75">
      <c r="A21" s="883" t="s">
        <v>1164</v>
      </c>
      <c r="B21" s="386" t="s">
        <v>1234</v>
      </c>
      <c r="C21" s="1113">
        <v>8000</v>
      </c>
    </row>
    <row r="22" spans="1:3" ht="15.75">
      <c r="A22" s="883" t="s">
        <v>1165</v>
      </c>
      <c r="B22" s="386" t="s">
        <v>204</v>
      </c>
      <c r="C22" s="1113">
        <f>15300-15300</f>
        <v>0</v>
      </c>
    </row>
    <row r="23" spans="1:3" ht="15.75">
      <c r="A23" s="883" t="s">
        <v>1166</v>
      </c>
      <c r="B23" s="386" t="s">
        <v>1110</v>
      </c>
      <c r="C23" s="1113">
        <v>1440</v>
      </c>
    </row>
    <row r="24" spans="1:3" ht="15.75">
      <c r="A24" s="883" t="s">
        <v>1167</v>
      </c>
      <c r="B24" s="386" t="s">
        <v>205</v>
      </c>
      <c r="C24" s="1113">
        <f>2000+1037-827-600</f>
        <v>1610</v>
      </c>
    </row>
    <row r="25" spans="1:3" ht="15.75">
      <c r="A25" s="883" t="s">
        <v>1168</v>
      </c>
      <c r="B25" s="386" t="s">
        <v>206</v>
      </c>
      <c r="C25" s="1113">
        <v>4500</v>
      </c>
    </row>
    <row r="26" spans="1:3" ht="16.5" customHeight="1">
      <c r="A26" s="883" t="s">
        <v>1169</v>
      </c>
      <c r="B26" s="386"/>
      <c r="C26" s="1113"/>
    </row>
    <row r="27" spans="1:3" ht="16.5" thickBot="1">
      <c r="A27" s="961" t="s">
        <v>1170</v>
      </c>
      <c r="B27" s="387"/>
      <c r="C27" s="1115"/>
    </row>
    <row r="28" spans="1:3" ht="16.5" thickBot="1">
      <c r="A28" s="841" t="s">
        <v>1171</v>
      </c>
      <c r="B28" s="222" t="s">
        <v>207</v>
      </c>
      <c r="C28" s="1119">
        <f>SUM(C21:C27)</f>
        <v>15550</v>
      </c>
    </row>
    <row r="29" spans="1:3" ht="16.5" thickBot="1">
      <c r="A29" s="841"/>
      <c r="B29" s="222"/>
      <c r="C29" s="1119"/>
    </row>
    <row r="30" spans="1:3" ht="16.5" thickBot="1">
      <c r="A30" s="841" t="s">
        <v>1173</v>
      </c>
      <c r="B30" s="1120" t="s">
        <v>208</v>
      </c>
      <c r="C30" s="1121">
        <f>C18+C28</f>
        <v>38702</v>
      </c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ht="15.75">
      <c r="B37" s="865"/>
    </row>
  </sheetData>
  <sheetProtection/>
  <mergeCells count="3">
    <mergeCell ref="B3:C3"/>
    <mergeCell ref="B4:C4"/>
    <mergeCell ref="A1:E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C11" sqref="C11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1547" t="s">
        <v>1325</v>
      </c>
      <c r="B1" s="1547"/>
      <c r="C1" s="1547"/>
      <c r="D1" s="1547"/>
      <c r="E1" s="1547"/>
    </row>
    <row r="2" spans="2:3" ht="12.75">
      <c r="B2" s="1"/>
      <c r="C2" s="1"/>
    </row>
    <row r="3" spans="2:3" ht="15.75">
      <c r="B3" s="1588" t="s">
        <v>209</v>
      </c>
      <c r="C3" s="1588"/>
    </row>
    <row r="4" spans="2:3" ht="15.75">
      <c r="B4" s="377"/>
      <c r="C4" s="377"/>
    </row>
    <row r="5" spans="2:3" ht="15.75">
      <c r="B5" s="377"/>
      <c r="C5" s="377"/>
    </row>
    <row r="6" spans="2:3" ht="13.5" thickBot="1">
      <c r="B6" s="1"/>
      <c r="C6" s="1"/>
    </row>
    <row r="7" spans="1:3" ht="26.25" thickBot="1">
      <c r="A7" s="938" t="s">
        <v>1148</v>
      </c>
      <c r="B7" s="1090" t="s">
        <v>210</v>
      </c>
      <c r="C7" s="1122" t="s">
        <v>211</v>
      </c>
    </row>
    <row r="8" spans="1:3" ht="13.5" thickBot="1">
      <c r="A8" s="943" t="s">
        <v>1149</v>
      </c>
      <c r="B8" s="1007" t="s">
        <v>1150</v>
      </c>
      <c r="C8" s="1023" t="s">
        <v>1151</v>
      </c>
    </row>
    <row r="9" spans="1:3" ht="15.75">
      <c r="A9" s="1086" t="s">
        <v>1153</v>
      </c>
      <c r="B9" s="391" t="s">
        <v>212</v>
      </c>
      <c r="C9" s="1123">
        <v>68</v>
      </c>
    </row>
    <row r="10" spans="1:3" ht="15.75">
      <c r="A10" s="950" t="s">
        <v>1154</v>
      </c>
      <c r="B10" s="391" t="s">
        <v>213</v>
      </c>
      <c r="C10" s="1123">
        <v>51</v>
      </c>
    </row>
    <row r="11" spans="1:3" ht="15.75">
      <c r="A11" s="939" t="s">
        <v>1155</v>
      </c>
      <c r="B11" s="391" t="s">
        <v>185</v>
      </c>
      <c r="C11" s="1123">
        <v>77</v>
      </c>
    </row>
    <row r="12" spans="1:3" ht="15.75">
      <c r="A12" s="939" t="s">
        <v>1156</v>
      </c>
      <c r="B12" s="391" t="s">
        <v>184</v>
      </c>
      <c r="C12" s="1123">
        <v>52</v>
      </c>
    </row>
    <row r="13" spans="1:3" ht="15.75">
      <c r="A13" s="939" t="s">
        <v>1157</v>
      </c>
      <c r="B13" s="391" t="s">
        <v>69</v>
      </c>
      <c r="C13" s="1123">
        <v>80</v>
      </c>
    </row>
    <row r="14" spans="1:3" ht="15.75">
      <c r="A14" s="883" t="s">
        <v>1158</v>
      </c>
      <c r="B14" s="391" t="s">
        <v>1230</v>
      </c>
      <c r="C14" s="1123">
        <v>3.3</v>
      </c>
    </row>
    <row r="15" spans="1:3" ht="15.75">
      <c r="A15" s="883" t="s">
        <v>1159</v>
      </c>
      <c r="B15" s="391" t="s">
        <v>214</v>
      </c>
      <c r="C15" s="1123">
        <v>76.8</v>
      </c>
    </row>
    <row r="16" spans="1:3" ht="15.75">
      <c r="A16" s="883" t="s">
        <v>1160</v>
      </c>
      <c r="B16" s="391" t="s">
        <v>215</v>
      </c>
      <c r="C16" s="1123">
        <v>1</v>
      </c>
    </row>
    <row r="17" spans="1:3" ht="15.75">
      <c r="A17" s="883" t="s">
        <v>1161</v>
      </c>
      <c r="B17" s="391" t="s">
        <v>216</v>
      </c>
      <c r="C17" s="1123">
        <v>61.5</v>
      </c>
    </row>
    <row r="18" spans="1:3" ht="15.75">
      <c r="A18" s="883" t="s">
        <v>1162</v>
      </c>
      <c r="B18" s="391" t="s">
        <v>41</v>
      </c>
      <c r="C18" s="1123">
        <v>80.5</v>
      </c>
    </row>
    <row r="19" spans="1:3" ht="15.75">
      <c r="A19" s="883" t="s">
        <v>1163</v>
      </c>
      <c r="B19" s="391" t="s">
        <v>42</v>
      </c>
      <c r="C19" s="1123">
        <v>133</v>
      </c>
    </row>
    <row r="20" spans="1:3" ht="16.5" thickBot="1">
      <c r="A20" s="889" t="s">
        <v>1164</v>
      </c>
      <c r="B20" s="392"/>
      <c r="C20" s="1124"/>
    </row>
    <row r="21" spans="1:3" ht="16.5" thickBot="1">
      <c r="A21" s="841" t="s">
        <v>1165</v>
      </c>
      <c r="B21" s="1125" t="s">
        <v>217</v>
      </c>
      <c r="C21" s="1126">
        <f>SUM(C9:C20)</f>
        <v>684.1</v>
      </c>
    </row>
    <row r="22" spans="2:3" ht="15.75">
      <c r="B22" s="393"/>
      <c r="C22" s="394"/>
    </row>
    <row r="23" spans="2:3" ht="15.75">
      <c r="B23" s="393"/>
      <c r="C23" s="394"/>
    </row>
    <row r="24" spans="2:3" ht="12.75">
      <c r="B24" s="1"/>
      <c r="C24" s="1"/>
    </row>
    <row r="25" spans="2:3" ht="12.75">
      <c r="B25" s="1"/>
      <c r="C25" s="1"/>
    </row>
    <row r="26" spans="1:5" ht="12.75">
      <c r="A26" s="1547" t="s">
        <v>1326</v>
      </c>
      <c r="B26" s="1547"/>
      <c r="C26" s="1547"/>
      <c r="D26" s="1547"/>
      <c r="E26" s="1547"/>
    </row>
    <row r="27" spans="2:3" ht="12.75">
      <c r="B27" s="1"/>
      <c r="C27" s="1"/>
    </row>
    <row r="28" spans="2:3" ht="15.75">
      <c r="B28" s="1588" t="s">
        <v>578</v>
      </c>
      <c r="C28" s="1588"/>
    </row>
    <row r="29" spans="2:3" ht="15.75">
      <c r="B29" s="377"/>
      <c r="C29" s="377"/>
    </row>
    <row r="30" spans="2:3" ht="15.75">
      <c r="B30" s="377"/>
      <c r="C30" s="377"/>
    </row>
    <row r="31" spans="2:3" ht="13.5" thickBot="1">
      <c r="B31" s="1"/>
      <c r="C31" s="1"/>
    </row>
    <row r="32" spans="1:3" ht="26.25" thickBot="1">
      <c r="A32" s="938" t="s">
        <v>1148</v>
      </c>
      <c r="B32" s="1090" t="s">
        <v>210</v>
      </c>
      <c r="C32" s="1122" t="s">
        <v>211</v>
      </c>
    </row>
    <row r="33" spans="1:3" ht="13.5" thickBot="1">
      <c r="A33" s="943" t="s">
        <v>1149</v>
      </c>
      <c r="B33" s="1007" t="s">
        <v>1150</v>
      </c>
      <c r="C33" s="1023" t="s">
        <v>1151</v>
      </c>
    </row>
    <row r="34" spans="1:3" ht="15.75">
      <c r="A34" s="1086" t="s">
        <v>1153</v>
      </c>
      <c r="B34" s="391" t="s">
        <v>1229</v>
      </c>
      <c r="C34" s="1123">
        <v>200</v>
      </c>
    </row>
    <row r="35" spans="1:3" ht="16.5" thickBot="1">
      <c r="A35" s="1066" t="s">
        <v>1154</v>
      </c>
      <c r="B35" s="392"/>
      <c r="C35" s="1124"/>
    </row>
    <row r="36" spans="1:3" ht="16.5" thickBot="1">
      <c r="A36" s="841" t="s">
        <v>1155</v>
      </c>
      <c r="B36" s="1125" t="s">
        <v>217</v>
      </c>
      <c r="C36" s="1126">
        <f>SUM(C34:C35)</f>
        <v>200</v>
      </c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</sheetData>
  <sheetProtection/>
  <mergeCells count="4">
    <mergeCell ref="B3:C3"/>
    <mergeCell ref="B28:C28"/>
    <mergeCell ref="A1:E1"/>
    <mergeCell ref="A26:E2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8">
      <selection activeCell="G44" sqref="G44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547" t="s">
        <v>1327</v>
      </c>
      <c r="B1" s="1547"/>
      <c r="C1" s="1547"/>
      <c r="D1" s="1547"/>
      <c r="E1" s="1547"/>
    </row>
    <row r="2" spans="1:5" ht="12.75">
      <c r="A2" s="824"/>
      <c r="B2" s="824"/>
      <c r="C2" s="824"/>
      <c r="D2" s="824"/>
      <c r="E2" s="824"/>
    </row>
    <row r="3" spans="1:5" ht="15.75">
      <c r="A3" s="1591" t="s">
        <v>218</v>
      </c>
      <c r="B3" s="1562"/>
      <c r="C3" s="1562"/>
      <c r="D3" s="1562"/>
      <c r="E3" s="1562"/>
    </row>
    <row r="4" spans="2:5" ht="9" customHeight="1">
      <c r="B4" s="75"/>
      <c r="C4" s="75"/>
      <c r="D4" s="75"/>
      <c r="E4" s="75"/>
    </row>
    <row r="5" spans="2:5" ht="13.5" thickBot="1">
      <c r="B5" s="75"/>
      <c r="C5" s="75"/>
      <c r="D5" s="1594" t="s">
        <v>15</v>
      </c>
      <c r="E5" s="1594"/>
    </row>
    <row r="6" spans="1:5" ht="13.5" thickBot="1">
      <c r="A6" s="1592" t="s">
        <v>1148</v>
      </c>
      <c r="B6" s="1589" t="s">
        <v>144</v>
      </c>
      <c r="C6" s="1589"/>
      <c r="D6" s="1589" t="s">
        <v>219</v>
      </c>
      <c r="E6" s="1590"/>
    </row>
    <row r="7" spans="1:5" ht="18" customHeight="1" thickBot="1">
      <c r="A7" s="1593"/>
      <c r="B7" s="76" t="s">
        <v>195</v>
      </c>
      <c r="C7" s="77" t="s">
        <v>579</v>
      </c>
      <c r="D7" s="76" t="s">
        <v>195</v>
      </c>
      <c r="E7" s="1135" t="s">
        <v>580</v>
      </c>
    </row>
    <row r="8" spans="1:5" ht="12.75" customHeight="1" thickBot="1">
      <c r="A8" s="1064" t="s">
        <v>1149</v>
      </c>
      <c r="B8" s="1028" t="s">
        <v>1150</v>
      </c>
      <c r="C8" s="1034" t="s">
        <v>1151</v>
      </c>
      <c r="D8" s="1034" t="s">
        <v>1152</v>
      </c>
      <c r="E8" s="1016" t="s">
        <v>1172</v>
      </c>
    </row>
    <row r="9" spans="1:5" ht="12.75">
      <c r="A9" s="1086" t="s">
        <v>1153</v>
      </c>
      <c r="B9" s="78" t="s">
        <v>220</v>
      </c>
      <c r="C9" s="79">
        <f>'13_sz_ melléklet'!E9</f>
        <v>827041</v>
      </c>
      <c r="D9" s="78" t="s">
        <v>221</v>
      </c>
      <c r="E9" s="1136">
        <f>'2_sz_ melléklet'!E9</f>
        <v>1782523</v>
      </c>
    </row>
    <row r="10" spans="1:5" ht="12.75">
      <c r="A10" s="950" t="s">
        <v>1154</v>
      </c>
      <c r="B10" s="1379"/>
      <c r="C10" s="1377"/>
      <c r="D10" s="78" t="s">
        <v>222</v>
      </c>
      <c r="E10" s="1136">
        <f>'2_sz_ melléklet'!E10</f>
        <v>465966</v>
      </c>
    </row>
    <row r="11" spans="1:5" ht="12.75">
      <c r="A11" s="939" t="s">
        <v>1155</v>
      </c>
      <c r="B11" s="78" t="s">
        <v>756</v>
      </c>
      <c r="C11" s="80">
        <f>'13_sz_ melléklet'!E10</f>
        <v>1234487</v>
      </c>
      <c r="D11" s="78" t="s">
        <v>135</v>
      </c>
      <c r="E11" s="1136">
        <f>'2_sz_ melléklet'!E11</f>
        <v>1706168</v>
      </c>
    </row>
    <row r="12" spans="1:5" ht="12.75">
      <c r="A12" s="939" t="s">
        <v>1156</v>
      </c>
      <c r="B12" s="78" t="s">
        <v>223</v>
      </c>
      <c r="C12" s="80">
        <v>0</v>
      </c>
      <c r="D12" s="78" t="s">
        <v>224</v>
      </c>
      <c r="E12" s="1136">
        <v>20125</v>
      </c>
    </row>
    <row r="13" spans="1:5" ht="12.75">
      <c r="A13" s="939" t="s">
        <v>1157</v>
      </c>
      <c r="B13" s="78" t="s">
        <v>757</v>
      </c>
      <c r="C13" s="79">
        <f>'13_sz_ melléklet'!E15</f>
        <v>1834726.2326666662</v>
      </c>
      <c r="D13" s="78" t="s">
        <v>225</v>
      </c>
      <c r="E13" s="1136">
        <f>-'2_sz_ melléklet'!E29</f>
        <v>-93981</v>
      </c>
    </row>
    <row r="14" spans="1:5" ht="12.75">
      <c r="A14" s="883" t="s">
        <v>1158</v>
      </c>
      <c r="B14" s="81" t="s">
        <v>226</v>
      </c>
      <c r="C14" s="80">
        <v>0</v>
      </c>
      <c r="D14" s="78" t="s">
        <v>227</v>
      </c>
      <c r="E14" s="1136">
        <f>-221-11430</f>
        <v>-11651</v>
      </c>
    </row>
    <row r="15" spans="1:5" ht="12.75">
      <c r="A15" s="883" t="s">
        <v>1159</v>
      </c>
      <c r="B15" s="678" t="s">
        <v>768</v>
      </c>
      <c r="C15" s="79">
        <f>'13_sz_ melléklet'!E21</f>
        <v>631970</v>
      </c>
      <c r="D15" s="78" t="s">
        <v>581</v>
      </c>
      <c r="E15" s="1136">
        <f>'2_sz_ melléklet'!E13</f>
        <v>703420</v>
      </c>
    </row>
    <row r="16" spans="1:5" ht="12.75">
      <c r="A16" s="950" t="s">
        <v>1160</v>
      </c>
      <c r="B16" s="678" t="s">
        <v>758</v>
      </c>
      <c r="C16" s="79">
        <f>'29 sz. mell'!C11+'29 sz. mell'!C16+'29 sz. mell'!C27</f>
        <v>520</v>
      </c>
      <c r="D16" s="82" t="s">
        <v>582</v>
      </c>
      <c r="E16" s="1136">
        <f>'2_sz_ melléklet'!E18</f>
        <v>24345</v>
      </c>
    </row>
    <row r="17" spans="1:5" ht="24">
      <c r="A17" s="939" t="s">
        <v>1161</v>
      </c>
      <c r="B17" s="82" t="s">
        <v>759</v>
      </c>
      <c r="C17" s="79">
        <f>'13_sz_ melléklet'!E37</f>
        <v>0</v>
      </c>
      <c r="D17" s="686" t="s">
        <v>583</v>
      </c>
      <c r="E17" s="1136">
        <f>'11 12 sz_melléklet'!C28+'11 12 sz_melléklet'!C33+'11 12 sz_melléklet'!C41</f>
        <v>4200</v>
      </c>
    </row>
    <row r="18" spans="1:5" ht="12.75">
      <c r="A18" s="939" t="s">
        <v>1162</v>
      </c>
      <c r="B18" s="82" t="s">
        <v>1493</v>
      </c>
      <c r="C18" s="79">
        <f>-221-11430-13949</f>
        <v>-25600</v>
      </c>
      <c r="D18" s="82" t="s">
        <v>584</v>
      </c>
      <c r="E18" s="1136">
        <f>'2_sz_ melléklet'!E41+'34 sz melléklet'!C18</f>
        <v>34424</v>
      </c>
    </row>
    <row r="19" spans="1:5" ht="12" customHeight="1">
      <c r="A19" s="939" t="s">
        <v>1163</v>
      </c>
      <c r="B19" s="1507" t="s">
        <v>1545</v>
      </c>
      <c r="C19" s="79">
        <v>-59171</v>
      </c>
      <c r="D19" s="82"/>
      <c r="E19" s="1137"/>
    </row>
    <row r="20" spans="1:5" ht="13.5" thickBot="1">
      <c r="A20" s="951" t="s">
        <v>1164</v>
      </c>
      <c r="B20" s="83" t="s">
        <v>228</v>
      </c>
      <c r="C20" s="84">
        <f>SUM(C9:C19)</f>
        <v>4443973.232666666</v>
      </c>
      <c r="D20" s="83" t="s">
        <v>229</v>
      </c>
      <c r="E20" s="1138">
        <f>E9+E10+E11+E13+E14+E15+E16+E17+E18</f>
        <v>4615414</v>
      </c>
    </row>
    <row r="21" spans="1:5" ht="6.75" customHeight="1" thickBot="1">
      <c r="A21" s="841"/>
      <c r="B21" s="86"/>
      <c r="C21" s="85"/>
      <c r="D21" s="86"/>
      <c r="E21" s="1139"/>
    </row>
    <row r="22" spans="1:5" ht="14.25" customHeight="1" thickBot="1">
      <c r="A22" s="946" t="s">
        <v>1165</v>
      </c>
      <c r="B22" s="1130" t="s">
        <v>760</v>
      </c>
      <c r="C22" s="679"/>
      <c r="D22" s="680"/>
      <c r="E22" s="1140"/>
    </row>
    <row r="23" spans="1:5" ht="12.75" customHeight="1">
      <c r="A23" s="941" t="s">
        <v>1166</v>
      </c>
      <c r="B23" s="1131" t="s">
        <v>230</v>
      </c>
      <c r="C23" s="88">
        <f>'13_sz_ melléklet'!E45</f>
        <v>93739</v>
      </c>
      <c r="D23" s="87" t="s">
        <v>585</v>
      </c>
      <c r="E23" s="1141">
        <f>'2_sz_ melléklet'!E48</f>
        <v>0</v>
      </c>
    </row>
    <row r="24" spans="1:5" ht="12.75" customHeight="1">
      <c r="A24" s="941" t="s">
        <v>1167</v>
      </c>
      <c r="B24" s="1132" t="s">
        <v>761</v>
      </c>
      <c r="C24" s="80"/>
      <c r="D24" s="78"/>
      <c r="E24" s="1142"/>
    </row>
    <row r="25" spans="1:5" ht="12.75" customHeight="1">
      <c r="A25" s="941" t="s">
        <v>1168</v>
      </c>
      <c r="B25" s="1133" t="s">
        <v>762</v>
      </c>
      <c r="C25" s="80">
        <f>'13_sz_ melléklet'!E51</f>
        <v>0</v>
      </c>
      <c r="D25" s="78"/>
      <c r="E25" s="1142"/>
    </row>
    <row r="26" spans="1:5" ht="12.75">
      <c r="A26" s="941" t="s">
        <v>1169</v>
      </c>
      <c r="B26" s="1150" t="s">
        <v>763</v>
      </c>
      <c r="C26" s="1151">
        <f>E27-C20-C23-C25</f>
        <v>77701.76733333431</v>
      </c>
      <c r="D26" s="1152" t="s">
        <v>231</v>
      </c>
      <c r="E26" s="1153">
        <f>'2_sz_ melléklet'!E53</f>
        <v>0</v>
      </c>
    </row>
    <row r="27" spans="1:5" ht="13.5" thickBot="1">
      <c r="A27" s="1145" t="s">
        <v>1170</v>
      </c>
      <c r="B27" s="1146" t="s">
        <v>232</v>
      </c>
      <c r="C27" s="1147">
        <f>C20+C26+C23</f>
        <v>4615414</v>
      </c>
      <c r="D27" s="1148" t="s">
        <v>233</v>
      </c>
      <c r="E27" s="1149">
        <f>E20+E23+E26</f>
        <v>4615414</v>
      </c>
    </row>
    <row r="28" spans="2:5" ht="8.25" customHeight="1">
      <c r="B28" s="75"/>
      <c r="C28" s="75"/>
      <c r="D28" s="75"/>
      <c r="E28" s="75"/>
    </row>
    <row r="29" spans="2:5" ht="15.75">
      <c r="B29" s="1591" t="s">
        <v>234</v>
      </c>
      <c r="C29" s="1591"/>
      <c r="D29" s="1591"/>
      <c r="E29" s="1591"/>
    </row>
    <row r="30" spans="2:5" ht="9.75" customHeight="1">
      <c r="B30" s="75"/>
      <c r="C30" s="75"/>
      <c r="D30" s="75"/>
      <c r="E30" s="75"/>
    </row>
    <row r="31" spans="2:5" ht="13.5" thickBot="1">
      <c r="B31" s="75"/>
      <c r="C31" s="75"/>
      <c r="D31" s="1594" t="s">
        <v>15</v>
      </c>
      <c r="E31" s="1594"/>
    </row>
    <row r="32" spans="1:5" ht="13.5" thickBot="1">
      <c r="A32" s="1592" t="s">
        <v>1148</v>
      </c>
      <c r="B32" s="1589" t="s">
        <v>144</v>
      </c>
      <c r="C32" s="1589"/>
      <c r="D32" s="1589" t="s">
        <v>219</v>
      </c>
      <c r="E32" s="1590"/>
    </row>
    <row r="33" spans="1:5" ht="19.5" customHeight="1" thickBot="1">
      <c r="A33" s="1593"/>
      <c r="B33" s="89" t="s">
        <v>195</v>
      </c>
      <c r="C33" s="90" t="s">
        <v>579</v>
      </c>
      <c r="D33" s="89" t="s">
        <v>195</v>
      </c>
      <c r="E33" s="1165" t="s">
        <v>580</v>
      </c>
    </row>
    <row r="34" spans="1:5" ht="13.5" thickBot="1">
      <c r="A34" s="943" t="s">
        <v>1149</v>
      </c>
      <c r="B34" s="1028" t="s">
        <v>1150</v>
      </c>
      <c r="C34" s="1034" t="s">
        <v>1151</v>
      </c>
      <c r="D34" s="1034" t="s">
        <v>1152</v>
      </c>
      <c r="E34" s="1016" t="s">
        <v>1172</v>
      </c>
    </row>
    <row r="35" spans="1:5" ht="12.75">
      <c r="A35" s="950" t="s">
        <v>1170</v>
      </c>
      <c r="B35" s="91" t="s">
        <v>235</v>
      </c>
      <c r="C35" s="1378">
        <f>'13_sz_ melléklet'!E24</f>
        <v>781429</v>
      </c>
      <c r="D35" s="91" t="s">
        <v>236</v>
      </c>
      <c r="E35" s="1136">
        <f>'2_sz_ melléklet'!E22</f>
        <v>5671871</v>
      </c>
    </row>
    <row r="36" spans="1:5" ht="12.75">
      <c r="A36" s="950" t="s">
        <v>1171</v>
      </c>
      <c r="B36" s="91" t="s">
        <v>764</v>
      </c>
      <c r="C36" s="79">
        <f>'13_sz_ melléklet'!E28</f>
        <v>44388</v>
      </c>
      <c r="D36" s="91" t="s">
        <v>237</v>
      </c>
      <c r="E36" s="1137">
        <f>'2_sz_ melléklet'!E23</f>
        <v>106865</v>
      </c>
    </row>
    <row r="37" spans="1:5" ht="12.75">
      <c r="A37" s="950" t="s">
        <v>1173</v>
      </c>
      <c r="B37" s="1154" t="s">
        <v>765</v>
      </c>
      <c r="C37" s="79">
        <f>'13_sz_ melléklet'!E31</f>
        <v>4222223</v>
      </c>
      <c r="D37" s="92" t="s">
        <v>586</v>
      </c>
      <c r="E37" s="1137">
        <f>'2_sz_ melléklet'!E24</f>
        <v>85627</v>
      </c>
    </row>
    <row r="38" spans="1:5" ht="12.75">
      <c r="A38" s="950" t="s">
        <v>1174</v>
      </c>
      <c r="B38" s="92" t="s">
        <v>766</v>
      </c>
      <c r="C38" s="79">
        <f>'29 sz. mell'!C13+'29 sz. mell'!C19+'29 sz. mell'!C29</f>
        <v>4315</v>
      </c>
      <c r="D38" s="92" t="s">
        <v>587</v>
      </c>
      <c r="E38" s="1137">
        <f>'2_sz_ melléklet'!E28</f>
        <v>1250</v>
      </c>
    </row>
    <row r="39" spans="1:5" ht="12.75">
      <c r="A39" s="950" t="s">
        <v>1175</v>
      </c>
      <c r="B39" s="92" t="s">
        <v>759</v>
      </c>
      <c r="C39" s="79"/>
      <c r="D39" s="92" t="s">
        <v>238</v>
      </c>
      <c r="E39" s="1137">
        <f>-E13</f>
        <v>93981</v>
      </c>
    </row>
    <row r="40" spans="1:5" ht="12.75">
      <c r="A40" s="950" t="s">
        <v>1176</v>
      </c>
      <c r="B40" s="92" t="s">
        <v>239</v>
      </c>
      <c r="C40" s="79">
        <f>C41</f>
        <v>0</v>
      </c>
      <c r="D40" s="92" t="s">
        <v>242</v>
      </c>
      <c r="E40" s="1137">
        <f>-E14</f>
        <v>11651</v>
      </c>
    </row>
    <row r="41" spans="1:5" ht="25.5">
      <c r="A41" s="950" t="s">
        <v>1177</v>
      </c>
      <c r="B41" s="1155" t="s">
        <v>240</v>
      </c>
      <c r="C41" s="79">
        <f>-C14</f>
        <v>0</v>
      </c>
      <c r="D41" s="93" t="s">
        <v>583</v>
      </c>
      <c r="E41" s="1137">
        <f>'11 12 sz_melléklet'!C30+'11 12 sz_melléklet'!C36+'11 12 sz_melléklet'!C43</f>
        <v>5000</v>
      </c>
    </row>
    <row r="42" spans="1:5" ht="12.75">
      <c r="A42" s="950" t="s">
        <v>1178</v>
      </c>
      <c r="B42" s="92" t="s">
        <v>241</v>
      </c>
      <c r="C42" s="12">
        <f>-C12</f>
        <v>0</v>
      </c>
      <c r="D42" s="82" t="s">
        <v>584</v>
      </c>
      <c r="E42" s="1137">
        <f>'34 sz melléklet'!C28</f>
        <v>15550</v>
      </c>
    </row>
    <row r="43" spans="1:5" ht="15.75" customHeight="1">
      <c r="A43" s="950" t="s">
        <v>1179</v>
      </c>
      <c r="B43" s="1506" t="s">
        <v>1423</v>
      </c>
      <c r="C43" s="1377">
        <f>-C18</f>
        <v>25600</v>
      </c>
      <c r="D43" s="92"/>
      <c r="E43" s="1137"/>
    </row>
    <row r="44" spans="1:5" ht="15.75" customHeight="1" thickBot="1">
      <c r="A44" s="950" t="s">
        <v>1180</v>
      </c>
      <c r="B44" s="1507" t="s">
        <v>1545</v>
      </c>
      <c r="C44" s="1504">
        <f>-C19</f>
        <v>59171</v>
      </c>
      <c r="D44" s="1505"/>
      <c r="E44" s="1169"/>
    </row>
    <row r="45" spans="1:5" ht="13.5" thickBot="1">
      <c r="A45" s="950" t="s">
        <v>1181</v>
      </c>
      <c r="B45" s="1156" t="s">
        <v>243</v>
      </c>
      <c r="C45" s="94">
        <f>C35+C36+C37+C38+C39+C40+C42+C43+C44</f>
        <v>5137126</v>
      </c>
      <c r="D45" s="95" t="s">
        <v>244</v>
      </c>
      <c r="E45" s="1139">
        <f>E35+E36+E37+E38+E39+E40+E41+E42</f>
        <v>5991795</v>
      </c>
    </row>
    <row r="46" spans="1:5" ht="12.75">
      <c r="A46" s="950" t="s">
        <v>1182</v>
      </c>
      <c r="B46" s="1157" t="s">
        <v>760</v>
      </c>
      <c r="C46" s="682"/>
      <c r="D46" s="683"/>
      <c r="E46" s="1166"/>
    </row>
    <row r="47" spans="1:5" ht="15" customHeight="1">
      <c r="A47" s="950" t="s">
        <v>1183</v>
      </c>
      <c r="B47" s="1158" t="s">
        <v>230</v>
      </c>
      <c r="C47" s="684">
        <f>'13_sz_ melléklet'!E46</f>
        <v>865163</v>
      </c>
      <c r="D47" s="685" t="s">
        <v>588</v>
      </c>
      <c r="E47" s="1167">
        <f>'2_sz_ melléklet'!E49</f>
        <v>100572</v>
      </c>
    </row>
    <row r="48" spans="1:5" ht="15" customHeight="1">
      <c r="A48" s="950" t="s">
        <v>1184</v>
      </c>
      <c r="B48" s="1159" t="s">
        <v>761</v>
      </c>
      <c r="C48" s="687"/>
      <c r="D48" s="688"/>
      <c r="E48" s="1168"/>
    </row>
    <row r="49" spans="1:5" ht="15" customHeight="1">
      <c r="A49" s="950" t="s">
        <v>1185</v>
      </c>
      <c r="B49" s="1160" t="s">
        <v>762</v>
      </c>
      <c r="C49" s="684">
        <f>'13_sz_ melléklet'!E52</f>
        <v>104598</v>
      </c>
      <c r="D49" s="685"/>
      <c r="E49" s="1167"/>
    </row>
    <row r="50" spans="1:5" ht="12" customHeight="1" thickBot="1">
      <c r="A50" s="950" t="s">
        <v>1186</v>
      </c>
      <c r="B50" s="1161" t="s">
        <v>767</v>
      </c>
      <c r="C50" s="96">
        <f>E51-C45-C47-C49</f>
        <v>0</v>
      </c>
      <c r="D50" s="681" t="s">
        <v>231</v>
      </c>
      <c r="E50" s="1169">
        <f>'2_sz_ melléklet'!E54</f>
        <v>14520</v>
      </c>
    </row>
    <row r="51" spans="1:5" ht="13.5" thickBot="1">
      <c r="A51" s="950" t="s">
        <v>1187</v>
      </c>
      <c r="B51" s="1156" t="s">
        <v>246</v>
      </c>
      <c r="C51" s="94">
        <f>SUM(C45:C50)</f>
        <v>6106887</v>
      </c>
      <c r="D51" s="95" t="s">
        <v>247</v>
      </c>
      <c r="E51" s="1139">
        <f>SUM(E45:E50)</f>
        <v>6106887</v>
      </c>
    </row>
    <row r="52" spans="1:5" ht="7.5" customHeight="1" thickBot="1">
      <c r="A52" s="950"/>
      <c r="B52" s="1162"/>
      <c r="C52" s="97"/>
      <c r="D52" s="98"/>
      <c r="E52" s="1170"/>
    </row>
    <row r="53" spans="1:5" ht="15.75" customHeight="1">
      <c r="A53" s="939" t="s">
        <v>1188</v>
      </c>
      <c r="B53" s="1163" t="s">
        <v>248</v>
      </c>
      <c r="C53" s="99">
        <f>C20+C45</f>
        <v>9581099.232666666</v>
      </c>
      <c r="D53" s="689" t="s">
        <v>249</v>
      </c>
      <c r="E53" s="1171">
        <f>E20+E45</f>
        <v>10607209</v>
      </c>
    </row>
    <row r="54" spans="1:5" ht="12.75">
      <c r="A54" s="939" t="s">
        <v>1189</v>
      </c>
      <c r="B54" s="1164" t="s">
        <v>250</v>
      </c>
      <c r="C54" s="99">
        <f>C23+C47</f>
        <v>958902</v>
      </c>
      <c r="D54" s="100" t="s">
        <v>589</v>
      </c>
      <c r="E54" s="1171">
        <f>E47+E23</f>
        <v>100572</v>
      </c>
    </row>
    <row r="55" spans="1:5" ht="12.75">
      <c r="A55" s="939" t="s">
        <v>1190</v>
      </c>
      <c r="B55" s="1160" t="s">
        <v>762</v>
      </c>
      <c r="C55" s="99">
        <f>C25+C49</f>
        <v>104598</v>
      </c>
      <c r="D55" s="100"/>
      <c r="E55" s="1171"/>
    </row>
    <row r="56" spans="1:5" ht="12.75">
      <c r="A56" s="939" t="s">
        <v>1191</v>
      </c>
      <c r="B56" s="1161" t="s">
        <v>767</v>
      </c>
      <c r="C56" s="101">
        <f>C26+C50</f>
        <v>77701.76733333431</v>
      </c>
      <c r="D56" s="102" t="s">
        <v>251</v>
      </c>
      <c r="E56" s="1172">
        <f>E26+E50</f>
        <v>14520</v>
      </c>
    </row>
    <row r="57" spans="1:5" ht="13.5" thickBot="1">
      <c r="A57" s="939" t="s">
        <v>1192</v>
      </c>
      <c r="B57" s="1173" t="s">
        <v>252</v>
      </c>
      <c r="C57" s="1143">
        <f>SUM(C53:C56)</f>
        <v>10722301</v>
      </c>
      <c r="D57" s="1144" t="s">
        <v>253</v>
      </c>
      <c r="E57" s="1174">
        <f>SUM(E53:E56)</f>
        <v>10722301</v>
      </c>
    </row>
    <row r="58" spans="2:5" ht="12.75">
      <c r="B58" s="1"/>
      <c r="C58" s="1"/>
      <c r="D58" s="1"/>
      <c r="E58" s="1"/>
    </row>
  </sheetData>
  <sheetProtection/>
  <mergeCells count="11">
    <mergeCell ref="B6:C6"/>
    <mergeCell ref="D6:E6"/>
    <mergeCell ref="B29:E29"/>
    <mergeCell ref="A6:A7"/>
    <mergeCell ref="A32:A33"/>
    <mergeCell ref="A1:E1"/>
    <mergeCell ref="A3:E3"/>
    <mergeCell ref="D31:E31"/>
    <mergeCell ref="B32:C32"/>
    <mergeCell ref="D32:E32"/>
    <mergeCell ref="D5:E5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81"/>
  <sheetViews>
    <sheetView zoomScalePageLayoutView="0" workbookViewId="0" topLeftCell="A178">
      <selection activeCell="D201" sqref="D201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547" t="s">
        <v>1328</v>
      </c>
      <c r="B1" s="1547"/>
      <c r="C1" s="1547"/>
      <c r="D1" s="1547"/>
      <c r="E1" s="1547"/>
      <c r="H1" s="31"/>
      <c r="I1" s="331"/>
      <c r="J1" s="331"/>
    </row>
    <row r="2" spans="2:10" s="25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607" t="s">
        <v>603</v>
      </c>
      <c r="B3" s="1562"/>
      <c r="C3" s="1562"/>
      <c r="D3" s="1562"/>
      <c r="E3" s="1562"/>
      <c r="F3" s="622"/>
      <c r="G3" s="622"/>
      <c r="H3" s="53"/>
    </row>
    <row r="4" spans="1:8" s="1" customFormat="1" ht="15.75">
      <c r="A4" s="1607" t="s">
        <v>604</v>
      </c>
      <c r="B4" s="1602"/>
      <c r="C4" s="1602"/>
      <c r="D4" s="1602"/>
      <c r="E4" s="1602"/>
      <c r="F4"/>
      <c r="G4"/>
      <c r="H4" s="53"/>
    </row>
    <row r="5" spans="1:8" s="1" customFormat="1" ht="15.75">
      <c r="A5" s="1607" t="s">
        <v>605</v>
      </c>
      <c r="B5" s="1562"/>
      <c r="C5" s="1562"/>
      <c r="D5" s="1562"/>
      <c r="E5" s="1562"/>
      <c r="F5"/>
      <c r="G5"/>
      <c r="H5" s="53"/>
    </row>
    <row r="7" spans="1:8" ht="14.25" customHeight="1">
      <c r="A7" s="1604" t="s">
        <v>606</v>
      </c>
      <c r="B7" s="1600"/>
      <c r="C7" s="1600"/>
      <c r="D7" s="1600"/>
      <c r="E7" s="1600"/>
      <c r="H7" s="623"/>
    </row>
    <row r="8" spans="1:5" ht="31.5" customHeight="1">
      <c r="A8" s="1599" t="s">
        <v>1401</v>
      </c>
      <c r="B8" s="1600"/>
      <c r="C8" s="1600"/>
      <c r="D8" s="1600"/>
      <c r="E8" s="1600"/>
    </row>
    <row r="9" spans="1:5" ht="15.75">
      <c r="A9" s="1603" t="s">
        <v>1127</v>
      </c>
      <c r="B9" s="1602"/>
      <c r="C9" s="1602"/>
      <c r="D9" s="1602"/>
      <c r="E9" s="1602"/>
    </row>
    <row r="10" spans="2:5" ht="15.75" thickBot="1">
      <c r="B10" s="399"/>
      <c r="C10" s="399"/>
      <c r="D10" s="399"/>
      <c r="E10" s="399" t="s">
        <v>459</v>
      </c>
    </row>
    <row r="11" spans="1:5" ht="27" thickBot="1">
      <c r="A11" s="1134" t="s">
        <v>1148</v>
      </c>
      <c r="B11" s="410" t="s">
        <v>607</v>
      </c>
      <c r="C11" s="1177">
        <v>2011</v>
      </c>
      <c r="D11" s="1177">
        <v>2012</v>
      </c>
      <c r="E11" s="1175" t="s">
        <v>21</v>
      </c>
    </row>
    <row r="12" spans="1:5" ht="13.5" thickBot="1">
      <c r="A12" s="1064" t="s">
        <v>1149</v>
      </c>
      <c r="B12" s="1028" t="s">
        <v>1150</v>
      </c>
      <c r="C12" s="1034" t="s">
        <v>1151</v>
      </c>
      <c r="D12" s="1034" t="s">
        <v>1152</v>
      </c>
      <c r="E12" s="1016" t="s">
        <v>1172</v>
      </c>
    </row>
    <row r="13" spans="1:5" ht="15">
      <c r="A13" s="1086" t="s">
        <v>1153</v>
      </c>
      <c r="B13" s="411" t="s">
        <v>608</v>
      </c>
      <c r="C13" s="1357">
        <f>143+827</f>
        <v>970</v>
      </c>
      <c r="D13" s="1357"/>
      <c r="E13" s="1179">
        <f aca="true" t="shared" si="0" ref="E13:E18">SUM(C13:D13)</f>
        <v>970</v>
      </c>
    </row>
    <row r="14" spans="1:5" ht="15">
      <c r="A14" s="950" t="s">
        <v>1154</v>
      </c>
      <c r="B14" s="412" t="s">
        <v>1404</v>
      </c>
      <c r="C14" s="1181">
        <v>71</v>
      </c>
      <c r="D14" s="1181"/>
      <c r="E14" s="1176">
        <f t="shared" si="0"/>
        <v>71</v>
      </c>
    </row>
    <row r="15" spans="1:5" ht="15">
      <c r="A15" s="939" t="s">
        <v>1155</v>
      </c>
      <c r="B15" s="411" t="s">
        <v>609</v>
      </c>
      <c r="C15" s="1181">
        <v>808</v>
      </c>
      <c r="D15" s="1178"/>
      <c r="E15" s="1176">
        <f t="shared" si="0"/>
        <v>808</v>
      </c>
    </row>
    <row r="16" spans="1:5" s="25" customFormat="1" ht="15">
      <c r="A16" s="939" t="s">
        <v>1156</v>
      </c>
      <c r="B16" s="413" t="s">
        <v>610</v>
      </c>
      <c r="C16" s="1181">
        <v>0</v>
      </c>
      <c r="D16" s="1181"/>
      <c r="E16" s="1176">
        <f t="shared" si="0"/>
        <v>0</v>
      </c>
    </row>
    <row r="17" spans="1:5" ht="15">
      <c r="A17" s="939" t="s">
        <v>1157</v>
      </c>
      <c r="B17" s="414" t="s">
        <v>594</v>
      </c>
      <c r="C17" s="1178">
        <v>0</v>
      </c>
      <c r="D17" s="1178"/>
      <c r="E17" s="1176">
        <f t="shared" si="0"/>
        <v>0</v>
      </c>
    </row>
    <row r="18" spans="1:5" ht="15.75" thickBot="1">
      <c r="A18" s="889" t="s">
        <v>1158</v>
      </c>
      <c r="B18" s="413" t="s">
        <v>611</v>
      </c>
      <c r="C18" s="1181">
        <f>237+126</f>
        <v>363</v>
      </c>
      <c r="D18" s="1181"/>
      <c r="E18" s="1176">
        <f t="shared" si="0"/>
        <v>363</v>
      </c>
    </row>
    <row r="19" spans="1:5" ht="15" thickBot="1">
      <c r="A19" s="841" t="s">
        <v>1159</v>
      </c>
      <c r="B19" s="408" t="s">
        <v>612</v>
      </c>
      <c r="C19" s="1356">
        <f>SUM(C13:C18)-C14</f>
        <v>2141</v>
      </c>
      <c r="D19" s="1356">
        <f>SUM(D13:D18)</f>
        <v>0</v>
      </c>
      <c r="E19" s="1180">
        <f>SUM(E13:E18)-E14</f>
        <v>2141</v>
      </c>
    </row>
    <row r="20" spans="1:5" ht="15" thickBot="1">
      <c r="A20" s="944" t="s">
        <v>1160</v>
      </c>
      <c r="B20" s="152"/>
      <c r="C20" s="152"/>
      <c r="D20" s="152"/>
      <c r="E20" s="1262"/>
    </row>
    <row r="21" spans="1:5" ht="15.75" thickBot="1">
      <c r="A21" s="841" t="s">
        <v>1161</v>
      </c>
      <c r="B21" s="410" t="s">
        <v>613</v>
      </c>
      <c r="C21" s="1177">
        <v>2011</v>
      </c>
      <c r="D21" s="1177">
        <v>2012</v>
      </c>
      <c r="E21" s="1175" t="s">
        <v>71</v>
      </c>
    </row>
    <row r="22" spans="1:5" ht="15.75">
      <c r="A22" s="904" t="s">
        <v>1162</v>
      </c>
      <c r="B22" s="759" t="s">
        <v>745</v>
      </c>
      <c r="C22" s="1357">
        <v>0</v>
      </c>
      <c r="D22" s="1178"/>
      <c r="E22" s="1179">
        <f>SUM(C22:D22)</f>
        <v>0</v>
      </c>
    </row>
    <row r="23" spans="1:5" ht="15.75">
      <c r="A23" s="883" t="s">
        <v>1163</v>
      </c>
      <c r="B23" s="760" t="s">
        <v>746</v>
      </c>
      <c r="C23" s="1181">
        <v>0</v>
      </c>
      <c r="D23" s="1181"/>
      <c r="E23" s="1176">
        <f>SUM(C23:D23)</f>
        <v>0</v>
      </c>
    </row>
    <row r="24" spans="1:5" ht="15.75">
      <c r="A24" s="883" t="s">
        <v>1164</v>
      </c>
      <c r="B24" s="760" t="s">
        <v>747</v>
      </c>
      <c r="C24" s="1181">
        <v>0</v>
      </c>
      <c r="D24" s="1181"/>
      <c r="E24" s="1176">
        <f>SUM(C24:D24)</f>
        <v>0</v>
      </c>
    </row>
    <row r="25" spans="1:5" ht="15.75">
      <c r="A25" s="883" t="s">
        <v>1165</v>
      </c>
      <c r="B25" s="760" t="s">
        <v>748</v>
      </c>
      <c r="C25" s="1178">
        <f>'33_sz_ melléklet'!C91</f>
        <v>2141</v>
      </c>
      <c r="D25" s="1181"/>
      <c r="E25" s="1176">
        <f>SUM(C25:D25)</f>
        <v>2141</v>
      </c>
    </row>
    <row r="26" spans="1:5" ht="16.5" thickBot="1">
      <c r="A26" s="908" t="s">
        <v>1166</v>
      </c>
      <c r="B26" s="760" t="s">
        <v>749</v>
      </c>
      <c r="C26" s="1358">
        <v>0</v>
      </c>
      <c r="D26" s="1181"/>
      <c r="E26" s="1176">
        <f>SUM(C26:D26)</f>
        <v>0</v>
      </c>
    </row>
    <row r="27" spans="1:10" ht="15" thickBot="1">
      <c r="A27" s="841" t="s">
        <v>1167</v>
      </c>
      <c r="B27" s="415" t="s">
        <v>617</v>
      </c>
      <c r="C27" s="1356">
        <f>SUM(C22:C26)</f>
        <v>2141</v>
      </c>
      <c r="D27" s="1356">
        <f>SUM(D22:D26)</f>
        <v>0</v>
      </c>
      <c r="E27" s="1180">
        <f>SUM(E22:E26)</f>
        <v>2141</v>
      </c>
      <c r="F27" s="25"/>
      <c r="G27" s="25"/>
      <c r="H27" s="25"/>
      <c r="I27" s="25"/>
      <c r="J27" s="25"/>
    </row>
    <row r="28" spans="2:10" ht="14.25">
      <c r="B28" s="642"/>
      <c r="C28" s="152"/>
      <c r="D28" s="152"/>
      <c r="E28" s="152"/>
      <c r="F28" s="25"/>
      <c r="G28" s="25"/>
      <c r="H28" s="25"/>
      <c r="I28" s="25"/>
      <c r="J28" s="25"/>
    </row>
    <row r="29" spans="1:8" ht="18.75" customHeight="1">
      <c r="A29" s="1604" t="s">
        <v>606</v>
      </c>
      <c r="B29" s="1600"/>
      <c r="C29" s="1600"/>
      <c r="D29" s="1600"/>
      <c r="E29" s="1600"/>
      <c r="H29" s="623"/>
    </row>
    <row r="30" spans="1:5" ht="32.25" customHeight="1">
      <c r="A30" s="1599" t="s">
        <v>1402</v>
      </c>
      <c r="B30" s="1600"/>
      <c r="C30" s="1600"/>
      <c r="D30" s="1600"/>
      <c r="E30" s="1600"/>
    </row>
    <row r="31" spans="1:5" ht="15.75">
      <c r="A31" s="1603" t="s">
        <v>1422</v>
      </c>
      <c r="B31" s="1602"/>
      <c r="C31" s="1602"/>
      <c r="D31" s="1602"/>
      <c r="E31" s="1602"/>
    </row>
    <row r="32" spans="2:5" ht="10.5" customHeight="1" thickBot="1">
      <c r="B32" s="399"/>
      <c r="C32" s="399"/>
      <c r="D32" s="399"/>
      <c r="E32" s="399" t="s">
        <v>459</v>
      </c>
    </row>
    <row r="33" spans="1:5" ht="27" thickBot="1">
      <c r="A33" s="1134" t="s">
        <v>1148</v>
      </c>
      <c r="B33" s="410" t="s">
        <v>607</v>
      </c>
      <c r="C33" s="1177">
        <v>2011</v>
      </c>
      <c r="D33" s="1177">
        <v>2012</v>
      </c>
      <c r="E33" s="1175" t="s">
        <v>21</v>
      </c>
    </row>
    <row r="34" spans="1:5" ht="13.5" thickBot="1">
      <c r="A34" s="1064" t="s">
        <v>1149</v>
      </c>
      <c r="B34" s="1028" t="s">
        <v>1150</v>
      </c>
      <c r="C34" s="1034" t="s">
        <v>1151</v>
      </c>
      <c r="D34" s="1034" t="s">
        <v>1152</v>
      </c>
      <c r="E34" s="1016" t="s">
        <v>1172</v>
      </c>
    </row>
    <row r="35" spans="1:5" ht="15">
      <c r="A35" s="1086" t="s">
        <v>1153</v>
      </c>
      <c r="B35" s="411" t="s">
        <v>608</v>
      </c>
      <c r="C35" s="1357">
        <v>0</v>
      </c>
      <c r="D35" s="1357"/>
      <c r="E35" s="1179">
        <f aca="true" t="shared" si="1" ref="E35:E40">SUM(C35:D35)</f>
        <v>0</v>
      </c>
    </row>
    <row r="36" spans="1:5" ht="15">
      <c r="A36" s="950" t="s">
        <v>1154</v>
      </c>
      <c r="B36" s="412" t="s">
        <v>1404</v>
      </c>
      <c r="C36" s="1181">
        <v>0</v>
      </c>
      <c r="D36" s="1181"/>
      <c r="E36" s="1176">
        <f t="shared" si="1"/>
        <v>0</v>
      </c>
    </row>
    <row r="37" spans="1:5" ht="15">
      <c r="A37" s="939" t="s">
        <v>1155</v>
      </c>
      <c r="B37" s="411" t="s">
        <v>609</v>
      </c>
      <c r="C37" s="1181">
        <f>1611872</f>
        <v>1611872</v>
      </c>
      <c r="D37" s="1178"/>
      <c r="E37" s="1176">
        <f t="shared" si="1"/>
        <v>1611872</v>
      </c>
    </row>
    <row r="38" spans="1:5" s="25" customFormat="1" ht="15">
      <c r="A38" s="939" t="s">
        <v>1156</v>
      </c>
      <c r="B38" s="413" t="s">
        <v>610</v>
      </c>
      <c r="C38" s="1181">
        <v>0</v>
      </c>
      <c r="D38" s="1181"/>
      <c r="E38" s="1176">
        <f t="shared" si="1"/>
        <v>0</v>
      </c>
    </row>
    <row r="39" spans="1:5" ht="15">
      <c r="A39" s="939" t="s">
        <v>1157</v>
      </c>
      <c r="B39" s="414" t="s">
        <v>594</v>
      </c>
      <c r="C39" s="1178"/>
      <c r="D39" s="1178"/>
      <c r="E39" s="1176">
        <f t="shared" si="1"/>
        <v>0</v>
      </c>
    </row>
    <row r="40" spans="1:5" ht="15.75" thickBot="1">
      <c r="A40" s="889" t="s">
        <v>1158</v>
      </c>
      <c r="B40" s="413" t="s">
        <v>611</v>
      </c>
      <c r="C40" s="1181">
        <f>353826+54856</f>
        <v>408682</v>
      </c>
      <c r="D40" s="1181"/>
      <c r="E40" s="1176">
        <f t="shared" si="1"/>
        <v>408682</v>
      </c>
    </row>
    <row r="41" spans="1:5" ht="15" thickBot="1">
      <c r="A41" s="841" t="s">
        <v>1159</v>
      </c>
      <c r="B41" s="408" t="s">
        <v>612</v>
      </c>
      <c r="C41" s="1356">
        <f>SUM(C35:C40)</f>
        <v>2020554</v>
      </c>
      <c r="D41" s="1356">
        <f>SUM(D35:D40)</f>
        <v>0</v>
      </c>
      <c r="E41" s="1180">
        <f>SUM(E35:E40)</f>
        <v>2020554</v>
      </c>
    </row>
    <row r="42" spans="1:5" ht="15" thickBot="1">
      <c r="A42" s="944" t="s">
        <v>1160</v>
      </c>
      <c r="B42" s="152"/>
      <c r="C42" s="152"/>
      <c r="D42" s="152"/>
      <c r="E42" s="1262"/>
    </row>
    <row r="43" spans="1:5" ht="15.75" thickBot="1">
      <c r="A43" s="841" t="s">
        <v>1161</v>
      </c>
      <c r="B43" s="410" t="s">
        <v>613</v>
      </c>
      <c r="C43" s="1177">
        <v>2011</v>
      </c>
      <c r="D43" s="1177">
        <v>2012</v>
      </c>
      <c r="E43" s="1175" t="s">
        <v>71</v>
      </c>
    </row>
    <row r="44" spans="1:5" ht="15.75">
      <c r="A44" s="904" t="s">
        <v>1162</v>
      </c>
      <c r="B44" s="759" t="s">
        <v>745</v>
      </c>
      <c r="C44" s="1357">
        <v>0</v>
      </c>
      <c r="D44" s="1178"/>
      <c r="E44" s="1179">
        <f>SUM(C44:D44)</f>
        <v>0</v>
      </c>
    </row>
    <row r="45" spans="1:5" ht="15.75">
      <c r="A45" s="883" t="s">
        <v>1163</v>
      </c>
      <c r="B45" s="760" t="s">
        <v>746</v>
      </c>
      <c r="C45" s="1181">
        <v>0</v>
      </c>
      <c r="D45" s="1181"/>
      <c r="E45" s="1176">
        <f>SUM(C45:D45)</f>
        <v>0</v>
      </c>
    </row>
    <row r="46" spans="1:5" ht="15.75">
      <c r="A46" s="883" t="s">
        <v>1164</v>
      </c>
      <c r="B46" s="760" t="s">
        <v>747</v>
      </c>
      <c r="C46" s="1181">
        <v>0</v>
      </c>
      <c r="D46" s="1181"/>
      <c r="E46" s="1176">
        <f>SUM(C46:D46)</f>
        <v>0</v>
      </c>
    </row>
    <row r="47" spans="1:5" ht="15.75">
      <c r="A47" s="883" t="s">
        <v>1165</v>
      </c>
      <c r="B47" s="760" t="s">
        <v>748</v>
      </c>
      <c r="C47" s="1178">
        <f>'33_sz_ melléklet'!C92</f>
        <v>2020554</v>
      </c>
      <c r="D47" s="1181"/>
      <c r="E47" s="1176">
        <f>SUM(C47:D47)</f>
        <v>2020554</v>
      </c>
    </row>
    <row r="48" spans="1:5" ht="16.5" thickBot="1">
      <c r="A48" s="908" t="s">
        <v>1166</v>
      </c>
      <c r="B48" s="760" t="s">
        <v>749</v>
      </c>
      <c r="C48" s="1358">
        <v>0</v>
      </c>
      <c r="D48" s="1181"/>
      <c r="E48" s="1176">
        <f>SUM(C48:D48)</f>
        <v>0</v>
      </c>
    </row>
    <row r="49" spans="1:10" ht="15" thickBot="1">
      <c r="A49" s="841" t="s">
        <v>1167</v>
      </c>
      <c r="B49" s="415" t="s">
        <v>617</v>
      </c>
      <c r="C49" s="1356">
        <f>SUM(C44:C48)</f>
        <v>2020554</v>
      </c>
      <c r="D49" s="1356">
        <f>SUM(D44:D48)</f>
        <v>0</v>
      </c>
      <c r="E49" s="1180">
        <f>SUM(E44:E48)</f>
        <v>2020554</v>
      </c>
      <c r="F49" s="25"/>
      <c r="G49" s="25"/>
      <c r="H49" s="25"/>
      <c r="I49" s="25"/>
      <c r="J49" s="25"/>
    </row>
    <row r="50" spans="2:10" ht="14.25">
      <c r="B50" s="642"/>
      <c r="C50" s="152"/>
      <c r="D50" s="152"/>
      <c r="E50" s="152"/>
      <c r="F50" s="25"/>
      <c r="G50" s="25"/>
      <c r="H50" s="25"/>
      <c r="I50" s="25"/>
      <c r="J50" s="25"/>
    </row>
    <row r="51" spans="1:10" ht="12.75">
      <c r="A51" s="1547" t="s">
        <v>1328</v>
      </c>
      <c r="B51" s="1547"/>
      <c r="C51" s="1547"/>
      <c r="D51" s="1547"/>
      <c r="E51" s="1547"/>
      <c r="F51" s="25"/>
      <c r="G51" s="25"/>
      <c r="H51" s="25"/>
      <c r="I51" s="25"/>
      <c r="J51" s="25"/>
    </row>
    <row r="52" spans="1:10" ht="12.75">
      <c r="A52" s="1562">
        <v>2</v>
      </c>
      <c r="B52" s="1562"/>
      <c r="C52" s="1562"/>
      <c r="D52" s="1562"/>
      <c r="E52" s="1562"/>
      <c r="F52" s="25"/>
      <c r="G52" s="25"/>
      <c r="H52" s="25"/>
      <c r="I52" s="25"/>
      <c r="J52" s="25"/>
    </row>
    <row r="53" spans="1:8" ht="17.25" customHeight="1">
      <c r="A53" s="1604" t="s">
        <v>606</v>
      </c>
      <c r="B53" s="1600"/>
      <c r="C53" s="1600"/>
      <c r="D53" s="1600"/>
      <c r="E53" s="1600"/>
      <c r="H53" s="623"/>
    </row>
    <row r="54" spans="1:5" ht="13.5">
      <c r="A54" s="1605" t="s">
        <v>1117</v>
      </c>
      <c r="B54" s="1606"/>
      <c r="C54" s="1606"/>
      <c r="D54" s="1606"/>
      <c r="E54" s="1606"/>
    </row>
    <row r="55" spans="1:5" ht="15.75">
      <c r="A55" s="1601" t="s">
        <v>1403</v>
      </c>
      <c r="B55" s="1602"/>
      <c r="C55" s="1602"/>
      <c r="D55" s="622"/>
      <c r="E55" s="622"/>
    </row>
    <row r="56" spans="2:5" ht="15.75" thickBot="1">
      <c r="B56" s="399"/>
      <c r="C56" s="399"/>
      <c r="D56" s="399"/>
      <c r="E56" s="399" t="s">
        <v>459</v>
      </c>
    </row>
    <row r="57" spans="1:5" ht="27" thickBot="1">
      <c r="A57" s="1134" t="s">
        <v>1148</v>
      </c>
      <c r="B57" s="410" t="s">
        <v>607</v>
      </c>
      <c r="C57" s="1177">
        <v>2011</v>
      </c>
      <c r="D57" s="1177">
        <v>2012</v>
      </c>
      <c r="E57" s="1175" t="s">
        <v>21</v>
      </c>
    </row>
    <row r="58" spans="1:5" ht="13.5" thickBot="1">
      <c r="A58" s="1064" t="s">
        <v>1149</v>
      </c>
      <c r="B58" s="1028" t="s">
        <v>1150</v>
      </c>
      <c r="C58" s="1034" t="s">
        <v>1151</v>
      </c>
      <c r="D58" s="1034" t="s">
        <v>1152</v>
      </c>
      <c r="E58" s="1016" t="s">
        <v>1172</v>
      </c>
    </row>
    <row r="59" spans="1:5" ht="15">
      <c r="A59" s="1086" t="s">
        <v>1153</v>
      </c>
      <c r="B59" s="411" t="s">
        <v>608</v>
      </c>
      <c r="C59" s="1357">
        <f>247312+204424+122413-36574+35</f>
        <v>537610</v>
      </c>
      <c r="D59" s="1357"/>
      <c r="E59" s="1179">
        <f aca="true" t="shared" si="2" ref="E59:E64">SUM(C59:D59)</f>
        <v>537610</v>
      </c>
    </row>
    <row r="60" spans="1:5" ht="15">
      <c r="A60" s="950" t="s">
        <v>1154</v>
      </c>
      <c r="B60" s="412" t="s">
        <v>1404</v>
      </c>
      <c r="C60" s="1181">
        <v>0</v>
      </c>
      <c r="D60" s="1181"/>
      <c r="E60" s="1176">
        <f t="shared" si="2"/>
        <v>0</v>
      </c>
    </row>
    <row r="61" spans="1:5" ht="15">
      <c r="A61" s="939" t="s">
        <v>1155</v>
      </c>
      <c r="B61" s="411" t="s">
        <v>609</v>
      </c>
      <c r="C61" s="1181">
        <f>528696+272990</f>
        <v>801686</v>
      </c>
      <c r="D61" s="1178"/>
      <c r="E61" s="1176">
        <f t="shared" si="2"/>
        <v>801686</v>
      </c>
    </row>
    <row r="62" spans="1:5" s="25" customFormat="1" ht="15">
      <c r="A62" s="939" t="s">
        <v>1156</v>
      </c>
      <c r="B62" s="413" t="s">
        <v>610</v>
      </c>
      <c r="C62" s="1181">
        <v>0</v>
      </c>
      <c r="D62" s="1181"/>
      <c r="E62" s="1176">
        <f t="shared" si="2"/>
        <v>0</v>
      </c>
    </row>
    <row r="63" spans="1:5" ht="15">
      <c r="A63" s="939" t="s">
        <v>1157</v>
      </c>
      <c r="B63" s="414" t="s">
        <v>594</v>
      </c>
      <c r="C63" s="1178">
        <v>0</v>
      </c>
      <c r="D63" s="1178"/>
      <c r="E63" s="1176">
        <f t="shared" si="2"/>
        <v>0</v>
      </c>
    </row>
    <row r="64" spans="1:5" ht="15.75" thickBot="1">
      <c r="A64" s="889" t="s">
        <v>1158</v>
      </c>
      <c r="B64" s="413" t="s">
        <v>611</v>
      </c>
      <c r="C64" s="1181">
        <v>36574</v>
      </c>
      <c r="D64" s="1181"/>
      <c r="E64" s="1176">
        <f t="shared" si="2"/>
        <v>36574</v>
      </c>
    </row>
    <row r="65" spans="1:5" ht="15" thickBot="1">
      <c r="A65" s="841" t="s">
        <v>1159</v>
      </c>
      <c r="B65" s="408" t="s">
        <v>612</v>
      </c>
      <c r="C65" s="1356">
        <f>SUM(C59:C64)</f>
        <v>1375870</v>
      </c>
      <c r="D65" s="1356">
        <f>SUM(D59:D64)</f>
        <v>0</v>
      </c>
      <c r="E65" s="1180">
        <f>SUM(E59:E64)</f>
        <v>1375870</v>
      </c>
    </row>
    <row r="66" spans="1:5" ht="15" thickBot="1">
      <c r="A66" s="944" t="s">
        <v>1160</v>
      </c>
      <c r="B66" s="152"/>
      <c r="C66" s="152"/>
      <c r="D66" s="152"/>
      <c r="E66" s="1262"/>
    </row>
    <row r="67" spans="1:5" ht="15.75" thickBot="1">
      <c r="A67" s="841" t="s">
        <v>1161</v>
      </c>
      <c r="B67" s="410" t="s">
        <v>613</v>
      </c>
      <c r="C67" s="1177">
        <v>2011</v>
      </c>
      <c r="D67" s="1177">
        <v>2012</v>
      </c>
      <c r="E67" s="1175" t="s">
        <v>71</v>
      </c>
    </row>
    <row r="68" spans="1:5" ht="15.75">
      <c r="A68" s="904" t="s">
        <v>1162</v>
      </c>
      <c r="B68" s="759" t="s">
        <v>745</v>
      </c>
      <c r="C68" s="1357">
        <v>0</v>
      </c>
      <c r="D68" s="1178"/>
      <c r="E68" s="1179">
        <f>SUM(C68:D68)</f>
        <v>0</v>
      </c>
    </row>
    <row r="69" spans="1:5" ht="15.75">
      <c r="A69" s="883" t="s">
        <v>1163</v>
      </c>
      <c r="B69" s="760" t="s">
        <v>746</v>
      </c>
      <c r="C69" s="1181">
        <v>0</v>
      </c>
      <c r="D69" s="1181"/>
      <c r="E69" s="1176">
        <f>SUM(C69:D69)</f>
        <v>0</v>
      </c>
    </row>
    <row r="70" spans="1:5" ht="15.75">
      <c r="A70" s="883" t="s">
        <v>1164</v>
      </c>
      <c r="B70" s="760" t="s">
        <v>747</v>
      </c>
      <c r="C70" s="1181">
        <v>122448</v>
      </c>
      <c r="D70" s="1181"/>
      <c r="E70" s="1176">
        <f>SUM(C70:D70)</f>
        <v>122448</v>
      </c>
    </row>
    <row r="71" spans="1:5" ht="15.75">
      <c r="A71" s="883" t="s">
        <v>1165</v>
      </c>
      <c r="B71" s="760" t="s">
        <v>748</v>
      </c>
      <c r="C71" s="1178">
        <f>'33_sz_ melléklet'!C73</f>
        <v>1239026</v>
      </c>
      <c r="D71" s="1181"/>
      <c r="E71" s="1176">
        <f>SUM(C71:D71)</f>
        <v>1239026</v>
      </c>
    </row>
    <row r="72" spans="1:5" ht="16.5" thickBot="1">
      <c r="A72" s="908" t="s">
        <v>1166</v>
      </c>
      <c r="B72" s="760" t="s">
        <v>749</v>
      </c>
      <c r="C72" s="1358">
        <f>'32_sz_ melléklet'!C28</f>
        <v>14396</v>
      </c>
      <c r="D72" s="1181"/>
      <c r="E72" s="1176">
        <f>SUM(C72:D72)</f>
        <v>14396</v>
      </c>
    </row>
    <row r="73" spans="1:10" ht="15" thickBot="1">
      <c r="A73" s="841" t="s">
        <v>1167</v>
      </c>
      <c r="B73" s="415" t="s">
        <v>617</v>
      </c>
      <c r="C73" s="1356">
        <f>SUM(C68:C72)</f>
        <v>1375870</v>
      </c>
      <c r="D73" s="1356">
        <f>SUM(D68:D72)</f>
        <v>0</v>
      </c>
      <c r="E73" s="1180">
        <f>SUM(E68:E72)</f>
        <v>1375870</v>
      </c>
      <c r="F73" s="25"/>
      <c r="G73" s="25"/>
      <c r="H73" s="25"/>
      <c r="I73" s="25"/>
      <c r="J73" s="25"/>
    </row>
    <row r="74" spans="2:10" ht="14.25">
      <c r="B74" s="642"/>
      <c r="C74" s="753"/>
      <c r="D74" s="753"/>
      <c r="E74" s="753"/>
      <c r="F74" s="25"/>
      <c r="G74" s="25"/>
      <c r="H74" s="25"/>
      <c r="I74" s="25"/>
      <c r="J74" s="25"/>
    </row>
    <row r="75" spans="2:10" ht="14.25">
      <c r="B75" s="642"/>
      <c r="C75" s="753"/>
      <c r="D75" s="753"/>
      <c r="E75" s="753"/>
      <c r="F75" s="25"/>
      <c r="G75" s="25"/>
      <c r="H75" s="25"/>
      <c r="I75" s="25"/>
      <c r="J75" s="25"/>
    </row>
    <row r="76" spans="2:10" ht="14.25">
      <c r="B76" s="642"/>
      <c r="C76" s="753"/>
      <c r="D76" s="753"/>
      <c r="E76" s="753"/>
      <c r="F76" s="25"/>
      <c r="G76" s="25"/>
      <c r="H76" s="25"/>
      <c r="I76" s="25"/>
      <c r="J76" s="25"/>
    </row>
    <row r="77" spans="2:5" ht="15.75">
      <c r="B77" s="1601" t="s">
        <v>1118</v>
      </c>
      <c r="C77" s="1602"/>
      <c r="D77" s="1602"/>
      <c r="E77" s="1602"/>
    </row>
    <row r="78" spans="2:5" ht="15.75">
      <c r="B78" s="622" t="s">
        <v>1111</v>
      </c>
      <c r="C78" s="622"/>
      <c r="D78" s="622"/>
      <c r="E78" s="622"/>
    </row>
    <row r="79" spans="2:5" ht="15.75" thickBot="1">
      <c r="B79" s="399"/>
      <c r="C79" s="399"/>
      <c r="D79" s="399"/>
      <c r="E79" s="399" t="s">
        <v>459</v>
      </c>
    </row>
    <row r="80" spans="1:5" ht="27" thickBot="1">
      <c r="A80" s="1134" t="s">
        <v>1148</v>
      </c>
      <c r="B80" s="410" t="s">
        <v>607</v>
      </c>
      <c r="C80" s="1177">
        <v>2011</v>
      </c>
      <c r="D80" s="1177">
        <v>2012</v>
      </c>
      <c r="E80" s="1175" t="s">
        <v>21</v>
      </c>
    </row>
    <row r="81" spans="1:5" ht="13.5" thickBot="1">
      <c r="A81" s="1064" t="s">
        <v>1149</v>
      </c>
      <c r="B81" s="1028" t="s">
        <v>1150</v>
      </c>
      <c r="C81" s="1034" t="s">
        <v>1151</v>
      </c>
      <c r="D81" s="1034" t="s">
        <v>1152</v>
      </c>
      <c r="E81" s="1016" t="s">
        <v>1172</v>
      </c>
    </row>
    <row r="82" spans="1:5" ht="15">
      <c r="A82" s="1086" t="s">
        <v>1153</v>
      </c>
      <c r="B82" s="411" t="s">
        <v>608</v>
      </c>
      <c r="C82" s="1357">
        <f>388351+2475+207642+2363-9616</f>
        <v>591215</v>
      </c>
      <c r="D82" s="1357"/>
      <c r="E82" s="1179">
        <f aca="true" t="shared" si="3" ref="E82:E87">SUM(C82:D82)</f>
        <v>591215</v>
      </c>
    </row>
    <row r="83" spans="1:5" ht="15">
      <c r="A83" s="950" t="s">
        <v>1154</v>
      </c>
      <c r="B83" s="412" t="s">
        <v>1404</v>
      </c>
      <c r="C83" s="1181">
        <v>0</v>
      </c>
      <c r="D83" s="1181"/>
      <c r="E83" s="1176">
        <f t="shared" si="3"/>
        <v>0</v>
      </c>
    </row>
    <row r="84" spans="1:5" ht="15">
      <c r="A84" s="939" t="s">
        <v>1155</v>
      </c>
      <c r="B84" s="411" t="s">
        <v>609</v>
      </c>
      <c r="C84" s="1181">
        <v>391315</v>
      </c>
      <c r="D84" s="1178"/>
      <c r="E84" s="1176">
        <f t="shared" si="3"/>
        <v>391315</v>
      </c>
    </row>
    <row r="85" spans="1:5" s="25" customFormat="1" ht="15">
      <c r="A85" s="939" t="s">
        <v>1156</v>
      </c>
      <c r="B85" s="413" t="s">
        <v>610</v>
      </c>
      <c r="C85" s="1181">
        <v>0</v>
      </c>
      <c r="D85" s="1181"/>
      <c r="E85" s="1176">
        <f t="shared" si="3"/>
        <v>0</v>
      </c>
    </row>
    <row r="86" spans="1:5" ht="15">
      <c r="A86" s="939" t="s">
        <v>1157</v>
      </c>
      <c r="B86" s="414" t="s">
        <v>594</v>
      </c>
      <c r="C86" s="1178">
        <v>0</v>
      </c>
      <c r="D86" s="1178"/>
      <c r="E86" s="1176">
        <f t="shared" si="3"/>
        <v>0</v>
      </c>
    </row>
    <row r="87" spans="1:5" ht="15.75" thickBot="1">
      <c r="A87" s="889" t="s">
        <v>1158</v>
      </c>
      <c r="B87" s="413" t="s">
        <v>611</v>
      </c>
      <c r="C87" s="1181">
        <v>235220</v>
      </c>
      <c r="D87" s="1181"/>
      <c r="E87" s="1176">
        <f t="shared" si="3"/>
        <v>235220</v>
      </c>
    </row>
    <row r="88" spans="1:5" ht="15" thickBot="1">
      <c r="A88" s="841" t="s">
        <v>1159</v>
      </c>
      <c r="B88" s="408" t="s">
        <v>612</v>
      </c>
      <c r="C88" s="1356">
        <f>SUM(C82:C87)</f>
        <v>1217750</v>
      </c>
      <c r="D88" s="1356">
        <f>SUM(D82:D87)</f>
        <v>0</v>
      </c>
      <c r="E88" s="1180">
        <f>SUM(E82:E87)</f>
        <v>1217750</v>
      </c>
    </row>
    <row r="89" spans="1:5" ht="15" thickBot="1">
      <c r="A89" s="944" t="s">
        <v>1160</v>
      </c>
      <c r="B89" s="152"/>
      <c r="C89" s="152"/>
      <c r="D89" s="152"/>
      <c r="E89" s="1262"/>
    </row>
    <row r="90" spans="1:5" ht="15.75" thickBot="1">
      <c r="A90" s="841" t="s">
        <v>1161</v>
      </c>
      <c r="B90" s="410" t="s">
        <v>613</v>
      </c>
      <c r="C90" s="1177">
        <v>2011</v>
      </c>
      <c r="D90" s="1177">
        <v>2012</v>
      </c>
      <c r="E90" s="1175" t="s">
        <v>71</v>
      </c>
    </row>
    <row r="91" spans="1:5" ht="15.75">
      <c r="A91" s="904" t="s">
        <v>1162</v>
      </c>
      <c r="B91" s="759" t="s">
        <v>745</v>
      </c>
      <c r="C91" s="1357">
        <v>0</v>
      </c>
      <c r="D91" s="1178"/>
      <c r="E91" s="1179">
        <f>SUM(C91:D91)</f>
        <v>0</v>
      </c>
    </row>
    <row r="92" spans="1:5" ht="15.75">
      <c r="A92" s="883" t="s">
        <v>1163</v>
      </c>
      <c r="B92" s="760" t="s">
        <v>746</v>
      </c>
      <c r="C92" s="1181">
        <v>0</v>
      </c>
      <c r="D92" s="1181"/>
      <c r="E92" s="1176">
        <f>SUM(C92:D92)</f>
        <v>0</v>
      </c>
    </row>
    <row r="93" spans="1:5" ht="15.75">
      <c r="A93" s="883" t="s">
        <v>1164</v>
      </c>
      <c r="B93" s="760" t="s">
        <v>747</v>
      </c>
      <c r="C93" s="1181">
        <v>207642</v>
      </c>
      <c r="D93" s="1181"/>
      <c r="E93" s="1176">
        <f>SUM(C93:D93)</f>
        <v>207642</v>
      </c>
    </row>
    <row r="94" spans="1:5" ht="15.75">
      <c r="A94" s="883" t="s">
        <v>1165</v>
      </c>
      <c r="B94" s="760" t="s">
        <v>748</v>
      </c>
      <c r="C94" s="1178">
        <f>'33_sz_ melléklet'!C82</f>
        <v>1010108</v>
      </c>
      <c r="D94" s="1181"/>
      <c r="E94" s="1176">
        <f>SUM(C94:D94)</f>
        <v>1010108</v>
      </c>
    </row>
    <row r="95" spans="1:5" ht="16.5" thickBot="1">
      <c r="A95" s="908" t="s">
        <v>1166</v>
      </c>
      <c r="B95" s="760" t="s">
        <v>749</v>
      </c>
      <c r="C95" s="1358">
        <v>0</v>
      </c>
      <c r="D95" s="1181"/>
      <c r="E95" s="1176">
        <f>SUM(C95:D95)</f>
        <v>0</v>
      </c>
    </row>
    <row r="96" spans="1:10" ht="15" thickBot="1">
      <c r="A96" s="841" t="s">
        <v>1167</v>
      </c>
      <c r="B96" s="415" t="s">
        <v>617</v>
      </c>
      <c r="C96" s="1356">
        <f>SUM(C91:C95)</f>
        <v>1217750</v>
      </c>
      <c r="D96" s="1356">
        <f>SUM(D91:D95)</f>
        <v>0</v>
      </c>
      <c r="E96" s="1180">
        <f>SUM(E91:E95)</f>
        <v>1217750</v>
      </c>
      <c r="F96" s="25"/>
      <c r="G96" s="25"/>
      <c r="H96" s="25"/>
      <c r="I96" s="25"/>
      <c r="J96" s="25"/>
    </row>
    <row r="97" spans="2:10" ht="35.25" customHeight="1">
      <c r="B97" s="642"/>
      <c r="C97" s="753"/>
      <c r="D97" s="753"/>
      <c r="E97" s="753"/>
      <c r="F97" s="25"/>
      <c r="G97" s="25"/>
      <c r="H97" s="25"/>
      <c r="I97" s="25"/>
      <c r="J97" s="25"/>
    </row>
    <row r="98" spans="2:10" ht="14.25">
      <c r="B98" s="642"/>
      <c r="C98" s="152"/>
      <c r="D98" s="152"/>
      <c r="E98" s="152"/>
      <c r="F98" s="25"/>
      <c r="G98" s="25"/>
      <c r="H98" s="25"/>
      <c r="I98" s="25"/>
      <c r="J98" s="25"/>
    </row>
    <row r="99" spans="2:10" ht="14.25">
      <c r="B99" s="642"/>
      <c r="C99" s="152"/>
      <c r="D99" s="152"/>
      <c r="E99" s="152"/>
      <c r="F99" s="25"/>
      <c r="G99" s="25"/>
      <c r="H99" s="25"/>
      <c r="I99" s="25"/>
      <c r="J99" s="25"/>
    </row>
    <row r="100" spans="2:10" ht="14.25">
      <c r="B100" s="642"/>
      <c r="C100" s="152"/>
      <c r="D100" s="152"/>
      <c r="E100" s="152"/>
      <c r="F100" s="25"/>
      <c r="G100" s="25"/>
      <c r="H100" s="25"/>
      <c r="I100" s="25"/>
      <c r="J100" s="25"/>
    </row>
    <row r="101" spans="1:10" ht="12.75">
      <c r="A101" s="1547" t="s">
        <v>1328</v>
      </c>
      <c r="B101" s="1547"/>
      <c r="C101" s="1547"/>
      <c r="D101" s="1547"/>
      <c r="E101" s="1547"/>
      <c r="F101" s="25"/>
      <c r="G101" s="25"/>
      <c r="H101" s="25"/>
      <c r="I101" s="25"/>
      <c r="J101" s="25"/>
    </row>
    <row r="102" spans="1:10" ht="12.75">
      <c r="A102" s="1562">
        <v>3</v>
      </c>
      <c r="B102" s="1562"/>
      <c r="C102" s="1562"/>
      <c r="D102" s="1562"/>
      <c r="E102" s="1562"/>
      <c r="F102" s="25"/>
      <c r="G102" s="25"/>
      <c r="H102" s="25"/>
      <c r="I102" s="25"/>
      <c r="J102" s="25"/>
    </row>
    <row r="103" spans="1:5" ht="15.75">
      <c r="A103" s="1601" t="s">
        <v>1119</v>
      </c>
      <c r="B103" s="1602"/>
      <c r="C103" s="1602"/>
      <c r="D103" s="1602"/>
      <c r="E103" s="1602"/>
    </row>
    <row r="104" spans="1:5" ht="15.75">
      <c r="A104" s="1601" t="s">
        <v>1112</v>
      </c>
      <c r="B104" s="1602"/>
      <c r="C104" s="1602"/>
      <c r="D104" s="1602"/>
      <c r="E104" s="1602"/>
    </row>
    <row r="105" spans="2:5" ht="15.75" thickBot="1">
      <c r="B105" s="399"/>
      <c r="C105" s="399"/>
      <c r="D105" s="399"/>
      <c r="E105" s="399" t="s">
        <v>459</v>
      </c>
    </row>
    <row r="106" spans="1:5" ht="27" thickBot="1">
      <c r="A106" s="1134" t="s">
        <v>1148</v>
      </c>
      <c r="B106" s="410" t="s">
        <v>607</v>
      </c>
      <c r="C106" s="1177">
        <v>2011</v>
      </c>
      <c r="D106" s="1177">
        <v>2012</v>
      </c>
      <c r="E106" s="1175" t="s">
        <v>21</v>
      </c>
    </row>
    <row r="107" spans="1:5" ht="13.5" thickBot="1">
      <c r="A107" s="1064" t="s">
        <v>1149</v>
      </c>
      <c r="B107" s="1028" t="s">
        <v>1150</v>
      </c>
      <c r="C107" s="1034" t="s">
        <v>1151</v>
      </c>
      <c r="D107" s="1034" t="s">
        <v>1152</v>
      </c>
      <c r="E107" s="1016" t="s">
        <v>1172</v>
      </c>
    </row>
    <row r="108" spans="1:5" ht="15">
      <c r="A108" s="1086" t="s">
        <v>1153</v>
      </c>
      <c r="B108" s="411" t="s">
        <v>608</v>
      </c>
      <c r="C108" s="1357">
        <f>90606+5285+37487+7</f>
        <v>133385</v>
      </c>
      <c r="D108" s="1357"/>
      <c r="E108" s="1179">
        <f aca="true" t="shared" si="4" ref="E108:E113">SUM(C108:D108)</f>
        <v>133385</v>
      </c>
    </row>
    <row r="109" spans="1:5" ht="15">
      <c r="A109" s="950" t="s">
        <v>1154</v>
      </c>
      <c r="B109" s="412" t="s">
        <v>1404</v>
      </c>
      <c r="C109" s="1181">
        <v>0</v>
      </c>
      <c r="D109" s="1181"/>
      <c r="E109" s="1176">
        <f t="shared" si="4"/>
        <v>0</v>
      </c>
    </row>
    <row r="110" spans="1:5" ht="15">
      <c r="A110" s="939" t="s">
        <v>1155</v>
      </c>
      <c r="B110" s="411" t="s">
        <v>609</v>
      </c>
      <c r="C110" s="1181">
        <v>90605</v>
      </c>
      <c r="D110" s="1178"/>
      <c r="E110" s="1176">
        <f t="shared" si="4"/>
        <v>90605</v>
      </c>
    </row>
    <row r="111" spans="1:5" s="25" customFormat="1" ht="15">
      <c r="A111" s="939" t="s">
        <v>1156</v>
      </c>
      <c r="B111" s="413" t="s">
        <v>610</v>
      </c>
      <c r="C111" s="1181">
        <v>0</v>
      </c>
      <c r="D111" s="1181"/>
      <c r="E111" s="1176">
        <f t="shared" si="4"/>
        <v>0</v>
      </c>
    </row>
    <row r="112" spans="1:5" ht="15">
      <c r="A112" s="939" t="s">
        <v>1157</v>
      </c>
      <c r="B112" s="414" t="s">
        <v>594</v>
      </c>
      <c r="C112" s="1178">
        <v>0</v>
      </c>
      <c r="D112" s="1178"/>
      <c r="E112" s="1176">
        <f t="shared" si="4"/>
        <v>0</v>
      </c>
    </row>
    <row r="113" spans="1:5" ht="15.75" thickBot="1">
      <c r="A113" s="889" t="s">
        <v>1158</v>
      </c>
      <c r="B113" s="413" t="s">
        <v>611</v>
      </c>
      <c r="C113" s="1181">
        <v>46623</v>
      </c>
      <c r="D113" s="1181"/>
      <c r="E113" s="1176">
        <f t="shared" si="4"/>
        <v>46623</v>
      </c>
    </row>
    <row r="114" spans="1:5" ht="15" thickBot="1">
      <c r="A114" s="841" t="s">
        <v>1159</v>
      </c>
      <c r="B114" s="408" t="s">
        <v>612</v>
      </c>
      <c r="C114" s="1356">
        <f>SUM(C108:C113)</f>
        <v>270613</v>
      </c>
      <c r="D114" s="1356">
        <f>SUM(D108:D113)</f>
        <v>0</v>
      </c>
      <c r="E114" s="1180">
        <f>SUM(E108:E113)</f>
        <v>270613</v>
      </c>
    </row>
    <row r="115" spans="1:5" ht="15" thickBot="1">
      <c r="A115" s="944" t="s">
        <v>1160</v>
      </c>
      <c r="B115" s="152"/>
      <c r="C115" s="152"/>
      <c r="D115" s="152"/>
      <c r="E115" s="1262"/>
    </row>
    <row r="116" spans="1:5" ht="15.75" thickBot="1">
      <c r="A116" s="841" t="s">
        <v>1161</v>
      </c>
      <c r="B116" s="410" t="s">
        <v>613</v>
      </c>
      <c r="C116" s="1177">
        <v>2011</v>
      </c>
      <c r="D116" s="1177">
        <v>2012</v>
      </c>
      <c r="E116" s="1175" t="s">
        <v>71</v>
      </c>
    </row>
    <row r="117" spans="1:5" ht="15.75">
      <c r="A117" s="904" t="s">
        <v>1162</v>
      </c>
      <c r="B117" s="759" t="s">
        <v>745</v>
      </c>
      <c r="C117" s="1357">
        <v>0</v>
      </c>
      <c r="D117" s="1178"/>
      <c r="E117" s="1179">
        <f>SUM(C117:D117)</f>
        <v>0</v>
      </c>
    </row>
    <row r="118" spans="1:5" ht="15.75">
      <c r="A118" s="883" t="s">
        <v>1163</v>
      </c>
      <c r="B118" s="760" t="s">
        <v>746</v>
      </c>
      <c r="C118" s="1181">
        <v>0</v>
      </c>
      <c r="D118" s="1181"/>
      <c r="E118" s="1176">
        <f>SUM(C118:D118)</f>
        <v>0</v>
      </c>
    </row>
    <row r="119" spans="1:5" ht="15.75">
      <c r="A119" s="883" t="s">
        <v>1164</v>
      </c>
      <c r="B119" s="760" t="s">
        <v>747</v>
      </c>
      <c r="C119" s="1181">
        <v>7</v>
      </c>
      <c r="D119" s="1181"/>
      <c r="E119" s="1176">
        <f>SUM(C119:D119)</f>
        <v>7</v>
      </c>
    </row>
    <row r="120" spans="1:5" ht="15.75">
      <c r="A120" s="883" t="s">
        <v>1165</v>
      </c>
      <c r="B120" s="760" t="s">
        <v>748</v>
      </c>
      <c r="C120" s="1178">
        <f>'33_sz_ melléklet'!C83</f>
        <v>270606</v>
      </c>
      <c r="D120" s="1181"/>
      <c r="E120" s="1176">
        <f>SUM(C120:D120)</f>
        <v>270606</v>
      </c>
    </row>
    <row r="121" spans="1:5" ht="16.5" thickBot="1">
      <c r="A121" s="908" t="s">
        <v>1166</v>
      </c>
      <c r="B121" s="760" t="s">
        <v>749</v>
      </c>
      <c r="C121" s="1358">
        <v>0</v>
      </c>
      <c r="D121" s="1181"/>
      <c r="E121" s="1176">
        <f>SUM(C121:D121)</f>
        <v>0</v>
      </c>
    </row>
    <row r="122" spans="1:10" ht="15" thickBot="1">
      <c r="A122" s="841" t="s">
        <v>1167</v>
      </c>
      <c r="B122" s="415" t="s">
        <v>617</v>
      </c>
      <c r="C122" s="1356">
        <f>SUM(C117:C121)</f>
        <v>270613</v>
      </c>
      <c r="D122" s="1356">
        <f>SUM(D117:D121)</f>
        <v>0</v>
      </c>
      <c r="E122" s="1180">
        <f>SUM(E117:E121)</f>
        <v>270613</v>
      </c>
      <c r="F122" s="25"/>
      <c r="G122" s="25"/>
      <c r="H122" s="25"/>
      <c r="I122" s="25"/>
      <c r="J122" s="25"/>
    </row>
    <row r="123" spans="2:10" ht="14.25">
      <c r="B123" s="642"/>
      <c r="C123" s="753"/>
      <c r="D123" s="753"/>
      <c r="E123" s="753"/>
      <c r="F123" s="25"/>
      <c r="G123" s="25"/>
      <c r="H123" s="25"/>
      <c r="I123" s="25"/>
      <c r="J123" s="25"/>
    </row>
    <row r="124" spans="2:10" ht="14.25">
      <c r="B124" s="642"/>
      <c r="C124" s="753"/>
      <c r="D124" s="753"/>
      <c r="E124" s="753"/>
      <c r="F124" s="25"/>
      <c r="G124" s="25"/>
      <c r="H124" s="25"/>
      <c r="I124" s="25"/>
      <c r="J124" s="25"/>
    </row>
    <row r="125" spans="1:10" ht="14.25">
      <c r="A125" s="25"/>
      <c r="B125" s="642"/>
      <c r="C125" s="753"/>
      <c r="D125" s="753"/>
      <c r="E125" s="753"/>
      <c r="F125" s="25"/>
      <c r="G125" s="25"/>
      <c r="H125" s="25"/>
      <c r="I125" s="25"/>
      <c r="J125" s="25"/>
    </row>
    <row r="126" spans="1:5" s="25" customFormat="1" ht="12.75">
      <c r="A126"/>
      <c r="B126"/>
      <c r="C126"/>
      <c r="D126"/>
      <c r="E126"/>
    </row>
    <row r="127" spans="1:5" ht="15.75">
      <c r="A127" s="1601" t="s">
        <v>1120</v>
      </c>
      <c r="B127" s="1602"/>
      <c r="C127" s="1602"/>
      <c r="D127" s="1602"/>
      <c r="E127" s="1602"/>
    </row>
    <row r="128" spans="1:5" ht="15.75">
      <c r="A128" s="1601" t="s">
        <v>1113</v>
      </c>
      <c r="B128" s="1602"/>
      <c r="C128" s="1602"/>
      <c r="D128" s="1602"/>
      <c r="E128" s="1602"/>
    </row>
    <row r="129" spans="2:5" ht="15.75" thickBot="1">
      <c r="B129" s="399"/>
      <c r="C129" s="399"/>
      <c r="D129" s="399"/>
      <c r="E129" s="399" t="s">
        <v>459</v>
      </c>
    </row>
    <row r="130" spans="1:5" ht="27" thickBot="1">
      <c r="A130" s="1134" t="s">
        <v>1148</v>
      </c>
      <c r="B130" s="410" t="s">
        <v>607</v>
      </c>
      <c r="C130" s="1177">
        <v>2011</v>
      </c>
      <c r="D130" s="1177">
        <v>2012</v>
      </c>
      <c r="E130" s="1175" t="s">
        <v>21</v>
      </c>
    </row>
    <row r="131" spans="1:5" ht="13.5" thickBot="1">
      <c r="A131" s="1064" t="s">
        <v>1149</v>
      </c>
      <c r="B131" s="1028" t="s">
        <v>1150</v>
      </c>
      <c r="C131" s="1034" t="s">
        <v>1151</v>
      </c>
      <c r="D131" s="1034" t="s">
        <v>1152</v>
      </c>
      <c r="E131" s="1016" t="s">
        <v>1172</v>
      </c>
    </row>
    <row r="132" spans="1:5" ht="15">
      <c r="A132" s="1086" t="s">
        <v>1153</v>
      </c>
      <c r="B132" s="411" t="s">
        <v>608</v>
      </c>
      <c r="C132" s="1357">
        <f>42323+26379</f>
        <v>68702</v>
      </c>
      <c r="D132" s="1357"/>
      <c r="E132" s="1179">
        <f aca="true" t="shared" si="5" ref="E132:E137">SUM(C132:D132)</f>
        <v>68702</v>
      </c>
    </row>
    <row r="133" spans="1:5" ht="15">
      <c r="A133" s="950" t="s">
        <v>1154</v>
      </c>
      <c r="B133" s="412" t="s">
        <v>1404</v>
      </c>
      <c r="C133" s="1181">
        <v>0</v>
      </c>
      <c r="D133" s="1181"/>
      <c r="E133" s="1176">
        <f t="shared" si="5"/>
        <v>0</v>
      </c>
    </row>
    <row r="134" spans="1:5" ht="15">
      <c r="A134" s="939" t="s">
        <v>1155</v>
      </c>
      <c r="B134" s="411" t="s">
        <v>609</v>
      </c>
      <c r="C134" s="1181">
        <v>80000</v>
      </c>
      <c r="D134" s="1178"/>
      <c r="E134" s="1176">
        <f t="shared" si="5"/>
        <v>80000</v>
      </c>
    </row>
    <row r="135" spans="1:5" s="25" customFormat="1" ht="15">
      <c r="A135" s="939" t="s">
        <v>1156</v>
      </c>
      <c r="B135" s="413" t="s">
        <v>610</v>
      </c>
      <c r="C135" s="1181">
        <v>0</v>
      </c>
      <c r="D135" s="1181"/>
      <c r="E135" s="1176">
        <f t="shared" si="5"/>
        <v>0</v>
      </c>
    </row>
    <row r="136" spans="1:5" ht="15">
      <c r="A136" s="939" t="s">
        <v>1157</v>
      </c>
      <c r="B136" s="414" t="s">
        <v>594</v>
      </c>
      <c r="C136" s="1178">
        <v>0</v>
      </c>
      <c r="D136" s="1178"/>
      <c r="E136" s="1176">
        <f t="shared" si="5"/>
        <v>0</v>
      </c>
    </row>
    <row r="137" spans="1:5" ht="15.75" thickBot="1">
      <c r="A137" s="889" t="s">
        <v>1158</v>
      </c>
      <c r="B137" s="413" t="s">
        <v>611</v>
      </c>
      <c r="C137" s="1181">
        <v>0</v>
      </c>
      <c r="D137" s="1181"/>
      <c r="E137" s="1176">
        <f t="shared" si="5"/>
        <v>0</v>
      </c>
    </row>
    <row r="138" spans="1:5" ht="15" thickBot="1">
      <c r="A138" s="841" t="s">
        <v>1159</v>
      </c>
      <c r="B138" s="408" t="s">
        <v>612</v>
      </c>
      <c r="C138" s="1356">
        <f>SUM(C132:C137)</f>
        <v>148702</v>
      </c>
      <c r="D138" s="1356">
        <f>SUM(D132:D137)</f>
        <v>0</v>
      </c>
      <c r="E138" s="1180">
        <f>SUM(E132:E137)</f>
        <v>148702</v>
      </c>
    </row>
    <row r="139" spans="1:5" ht="15" thickBot="1">
      <c r="A139" s="944" t="s">
        <v>1160</v>
      </c>
      <c r="B139" s="152"/>
      <c r="C139" s="152"/>
      <c r="D139" s="152"/>
      <c r="E139" s="1262"/>
    </row>
    <row r="140" spans="1:5" ht="15.75" thickBot="1">
      <c r="A140" s="841" t="s">
        <v>1161</v>
      </c>
      <c r="B140" s="410" t="s">
        <v>613</v>
      </c>
      <c r="C140" s="1177">
        <v>2011</v>
      </c>
      <c r="D140" s="1177">
        <v>2012</v>
      </c>
      <c r="E140" s="1175" t="s">
        <v>71</v>
      </c>
    </row>
    <row r="141" spans="1:5" ht="15.75">
      <c r="A141" s="904" t="s">
        <v>1162</v>
      </c>
      <c r="B141" s="759" t="s">
        <v>745</v>
      </c>
      <c r="C141" s="1357">
        <v>0</v>
      </c>
      <c r="D141" s="1178"/>
      <c r="E141" s="1179">
        <f>SUM(C141:D141)</f>
        <v>0</v>
      </c>
    </row>
    <row r="142" spans="1:5" ht="15.75">
      <c r="A142" s="883" t="s">
        <v>1163</v>
      </c>
      <c r="B142" s="760" t="s">
        <v>746</v>
      </c>
      <c r="C142" s="1181">
        <v>0</v>
      </c>
      <c r="D142" s="1181"/>
      <c r="E142" s="1176">
        <f>SUM(C142:D142)</f>
        <v>0</v>
      </c>
    </row>
    <row r="143" spans="1:5" ht="15.75">
      <c r="A143" s="883" t="s">
        <v>1164</v>
      </c>
      <c r="B143" s="760" t="s">
        <v>747</v>
      </c>
      <c r="C143" s="1181">
        <v>26379</v>
      </c>
      <c r="D143" s="1181"/>
      <c r="E143" s="1176">
        <f>SUM(C143:D143)</f>
        <v>26379</v>
      </c>
    </row>
    <row r="144" spans="1:5" ht="15.75">
      <c r="A144" s="883" t="s">
        <v>1165</v>
      </c>
      <c r="B144" s="760" t="s">
        <v>748</v>
      </c>
      <c r="C144" s="1178">
        <f>'33_sz_ melléklet'!C65</f>
        <v>122323</v>
      </c>
      <c r="D144" s="1181"/>
      <c r="E144" s="1176">
        <f>SUM(C144:D144)</f>
        <v>122323</v>
      </c>
    </row>
    <row r="145" spans="1:5" ht="16.5" thickBot="1">
      <c r="A145" s="908" t="s">
        <v>1166</v>
      </c>
      <c r="B145" s="760" t="s">
        <v>749</v>
      </c>
      <c r="C145" s="1358">
        <v>0</v>
      </c>
      <c r="D145" s="1181"/>
      <c r="E145" s="1176">
        <f>SUM(C145:D145)</f>
        <v>0</v>
      </c>
    </row>
    <row r="146" spans="1:10" ht="15" thickBot="1">
      <c r="A146" s="841" t="s">
        <v>1167</v>
      </c>
      <c r="B146" s="415" t="s">
        <v>617</v>
      </c>
      <c r="C146" s="1356">
        <f>SUM(C141:C145)</f>
        <v>148702</v>
      </c>
      <c r="D146" s="1356">
        <f>SUM(D141:D145)</f>
        <v>0</v>
      </c>
      <c r="E146" s="1180">
        <f>SUM(E141:E145)</f>
        <v>148702</v>
      </c>
      <c r="F146" s="25"/>
      <c r="G146" s="25"/>
      <c r="H146" s="25"/>
      <c r="I146" s="25"/>
      <c r="J146" s="25"/>
    </row>
    <row r="147" spans="2:10" ht="14.25">
      <c r="B147" s="642"/>
      <c r="C147" s="753"/>
      <c r="D147" s="753"/>
      <c r="E147" s="753"/>
      <c r="F147" s="25"/>
      <c r="G147" s="25"/>
      <c r="H147" s="25"/>
      <c r="I147" s="25"/>
      <c r="J147" s="25"/>
    </row>
    <row r="148" spans="2:10" ht="14.25">
      <c r="B148" s="642"/>
      <c r="C148" s="753"/>
      <c r="D148" s="753"/>
      <c r="E148" s="753"/>
      <c r="F148" s="25"/>
      <c r="G148" s="25"/>
      <c r="H148" s="25"/>
      <c r="I148" s="25"/>
      <c r="J148" s="25"/>
    </row>
    <row r="149" spans="2:10" ht="14.25">
      <c r="B149" s="642"/>
      <c r="C149" s="753"/>
      <c r="D149" s="753"/>
      <c r="E149" s="753"/>
      <c r="F149" s="25"/>
      <c r="G149" s="25"/>
      <c r="H149" s="25"/>
      <c r="I149" s="25"/>
      <c r="J149" s="25"/>
    </row>
    <row r="150" spans="2:10" ht="14.25">
      <c r="B150" s="642"/>
      <c r="C150" s="753"/>
      <c r="D150" s="753"/>
      <c r="E150" s="753"/>
      <c r="F150" s="25"/>
      <c r="G150" s="25"/>
      <c r="H150" s="25"/>
      <c r="I150" s="25"/>
      <c r="J150" s="25"/>
    </row>
    <row r="151" spans="2:10" ht="14.25">
      <c r="B151" s="642"/>
      <c r="C151" s="753"/>
      <c r="D151" s="753"/>
      <c r="E151" s="753"/>
      <c r="F151" s="25"/>
      <c r="G151" s="25"/>
      <c r="H151" s="25"/>
      <c r="I151" s="25"/>
      <c r="J151" s="25"/>
    </row>
    <row r="152" spans="2:10" ht="14.25">
      <c r="B152" s="642"/>
      <c r="C152" s="753"/>
      <c r="D152" s="753"/>
      <c r="E152" s="753"/>
      <c r="F152" s="25"/>
      <c r="G152" s="25"/>
      <c r="H152" s="25"/>
      <c r="I152" s="25"/>
      <c r="J152" s="25"/>
    </row>
    <row r="153" spans="1:10" ht="12.75">
      <c r="A153" s="1547" t="s">
        <v>1328</v>
      </c>
      <c r="B153" s="1547"/>
      <c r="C153" s="1547"/>
      <c r="D153" s="1547"/>
      <c r="E153" s="1547"/>
      <c r="F153" s="25"/>
      <c r="G153" s="25"/>
      <c r="H153" s="25"/>
      <c r="I153" s="25"/>
      <c r="J153" s="25"/>
    </row>
    <row r="154" spans="1:10" ht="12.75">
      <c r="A154" s="1562">
        <v>4</v>
      </c>
      <c r="B154" s="1562"/>
      <c r="C154" s="1562"/>
      <c r="D154" s="1562"/>
      <c r="E154" s="1562"/>
      <c r="F154" s="25"/>
      <c r="G154" s="25"/>
      <c r="H154" s="25"/>
      <c r="I154" s="25"/>
      <c r="J154" s="25"/>
    </row>
    <row r="155" spans="2:10" ht="14.25">
      <c r="B155" s="642"/>
      <c r="C155" s="753"/>
      <c r="D155" s="753"/>
      <c r="E155" s="753"/>
      <c r="F155" s="25"/>
      <c r="G155" s="25"/>
      <c r="H155" s="25"/>
      <c r="I155" s="25"/>
      <c r="J155" s="25"/>
    </row>
    <row r="156" spans="1:5" ht="15.75">
      <c r="A156" s="1601" t="s">
        <v>1121</v>
      </c>
      <c r="B156" s="1602"/>
      <c r="C156" s="1602"/>
      <c r="D156" s="1602"/>
      <c r="E156" s="1602"/>
    </row>
    <row r="157" spans="1:5" ht="15.75">
      <c r="A157" s="1601" t="s">
        <v>1114</v>
      </c>
      <c r="B157" s="1602"/>
      <c r="C157" s="1602"/>
      <c r="D157" s="1602"/>
      <c r="E157" s="1602"/>
    </row>
    <row r="158" spans="2:5" ht="15.75" thickBot="1">
      <c r="B158" s="399"/>
      <c r="C158" s="399"/>
      <c r="D158" s="399"/>
      <c r="E158" s="399" t="s">
        <v>459</v>
      </c>
    </row>
    <row r="159" spans="1:5" ht="27" thickBot="1">
      <c r="A159" s="1134" t="s">
        <v>1148</v>
      </c>
      <c r="B159" s="410" t="s">
        <v>607</v>
      </c>
      <c r="C159" s="1177">
        <v>2011</v>
      </c>
      <c r="D159" s="1177">
        <v>2012</v>
      </c>
      <c r="E159" s="1175" t="s">
        <v>21</v>
      </c>
    </row>
    <row r="160" spans="1:5" ht="13.5" thickBot="1">
      <c r="A160" s="1064" t="s">
        <v>1149</v>
      </c>
      <c r="B160" s="1028" t="s">
        <v>1150</v>
      </c>
      <c r="C160" s="1034" t="s">
        <v>1151</v>
      </c>
      <c r="D160" s="1034" t="s">
        <v>1152</v>
      </c>
      <c r="E160" s="1016" t="s">
        <v>1172</v>
      </c>
    </row>
    <row r="161" spans="1:5" ht="15">
      <c r="A161" s="1086" t="s">
        <v>1153</v>
      </c>
      <c r="B161" s="411" t="s">
        <v>608</v>
      </c>
      <c r="C161" s="1357">
        <f>-9863+70+1323+34</f>
        <v>-8436</v>
      </c>
      <c r="D161" s="1357"/>
      <c r="E161" s="1179">
        <f aca="true" t="shared" si="6" ref="E161:E166">SUM(C161:D161)</f>
        <v>-8436</v>
      </c>
    </row>
    <row r="162" spans="1:5" ht="15">
      <c r="A162" s="950" t="s">
        <v>1154</v>
      </c>
      <c r="B162" s="412" t="s">
        <v>1404</v>
      </c>
      <c r="C162" s="1181">
        <v>0</v>
      </c>
      <c r="D162" s="1181"/>
      <c r="E162" s="1176">
        <f t="shared" si="6"/>
        <v>0</v>
      </c>
    </row>
    <row r="163" spans="1:5" ht="15">
      <c r="A163" s="939" t="s">
        <v>1155</v>
      </c>
      <c r="B163" s="411" t="s">
        <v>609</v>
      </c>
      <c r="C163" s="1181">
        <v>70688</v>
      </c>
      <c r="D163" s="1178"/>
      <c r="E163" s="1176">
        <f t="shared" si="6"/>
        <v>70688</v>
      </c>
    </row>
    <row r="164" spans="1:5" s="25" customFormat="1" ht="15">
      <c r="A164" s="939" t="s">
        <v>1156</v>
      </c>
      <c r="B164" s="413" t="s">
        <v>610</v>
      </c>
      <c r="C164" s="1181">
        <v>0</v>
      </c>
      <c r="D164" s="1181"/>
      <c r="E164" s="1176">
        <f t="shared" si="6"/>
        <v>0</v>
      </c>
    </row>
    <row r="165" spans="1:5" ht="15">
      <c r="A165" s="939" t="s">
        <v>1157</v>
      </c>
      <c r="B165" s="414" t="s">
        <v>594</v>
      </c>
      <c r="C165" s="1178">
        <v>0</v>
      </c>
      <c r="D165" s="1178"/>
      <c r="E165" s="1176">
        <f t="shared" si="6"/>
        <v>0</v>
      </c>
    </row>
    <row r="166" spans="1:5" ht="15.75" thickBot="1">
      <c r="A166" s="889" t="s">
        <v>1158</v>
      </c>
      <c r="B166" s="413" t="s">
        <v>611</v>
      </c>
      <c r="C166" s="1181">
        <v>0</v>
      </c>
      <c r="D166" s="1181"/>
      <c r="E166" s="1176">
        <f t="shared" si="6"/>
        <v>0</v>
      </c>
    </row>
    <row r="167" spans="1:5" ht="15" thickBot="1">
      <c r="A167" s="841" t="s">
        <v>1159</v>
      </c>
      <c r="B167" s="408" t="s">
        <v>612</v>
      </c>
      <c r="C167" s="1356">
        <f>SUM(C161:C166)</f>
        <v>62252</v>
      </c>
      <c r="D167" s="1356">
        <f>SUM(D161:D166)</f>
        <v>0</v>
      </c>
      <c r="E167" s="1180">
        <f>SUM(E161:E166)</f>
        <v>62252</v>
      </c>
    </row>
    <row r="168" spans="1:5" ht="15" thickBot="1">
      <c r="A168" s="944" t="s">
        <v>1160</v>
      </c>
      <c r="B168" s="152"/>
      <c r="C168" s="152"/>
      <c r="D168" s="152"/>
      <c r="E168" s="1262"/>
    </row>
    <row r="169" spans="1:5" ht="15.75" thickBot="1">
      <c r="A169" s="841" t="s">
        <v>1161</v>
      </c>
      <c r="B169" s="410" t="s">
        <v>613</v>
      </c>
      <c r="C169" s="1177">
        <v>2011</v>
      </c>
      <c r="D169" s="1177">
        <v>2012</v>
      </c>
      <c r="E169" s="1175" t="s">
        <v>71</v>
      </c>
    </row>
    <row r="170" spans="1:5" ht="15.75">
      <c r="A170" s="904" t="s">
        <v>1162</v>
      </c>
      <c r="B170" s="759" t="s">
        <v>745</v>
      </c>
      <c r="C170" s="1357">
        <v>0</v>
      </c>
      <c r="D170" s="1178"/>
      <c r="E170" s="1179">
        <f>SUM(C170:D170)</f>
        <v>0</v>
      </c>
    </row>
    <row r="171" spans="1:5" ht="15.75">
      <c r="A171" s="883" t="s">
        <v>1163</v>
      </c>
      <c r="B171" s="760" t="s">
        <v>746</v>
      </c>
      <c r="C171" s="1181">
        <v>0</v>
      </c>
      <c r="D171" s="1181"/>
      <c r="E171" s="1176">
        <f>SUM(C171:D171)</f>
        <v>0</v>
      </c>
    </row>
    <row r="172" spans="1:5" ht="15.75">
      <c r="A172" s="883" t="s">
        <v>1164</v>
      </c>
      <c r="B172" s="760" t="s">
        <v>747</v>
      </c>
      <c r="C172" s="1181">
        <v>34</v>
      </c>
      <c r="D172" s="1181"/>
      <c r="E172" s="1176">
        <f>SUM(C172:D172)</f>
        <v>34</v>
      </c>
    </row>
    <row r="173" spans="1:5" ht="15.75">
      <c r="A173" s="883" t="s">
        <v>1165</v>
      </c>
      <c r="B173" s="760" t="s">
        <v>748</v>
      </c>
      <c r="C173" s="1178">
        <f>'33_sz_ melléklet'!C53+' 8 10 sz. melléklet'!D47</f>
        <v>62218</v>
      </c>
      <c r="D173" s="1181"/>
      <c r="E173" s="1176">
        <f>SUM(C173:D173)</f>
        <v>62218</v>
      </c>
    </row>
    <row r="174" spans="1:5" ht="16.5" thickBot="1">
      <c r="A174" s="908" t="s">
        <v>1166</v>
      </c>
      <c r="B174" s="760" t="s">
        <v>749</v>
      </c>
      <c r="C174" s="1358">
        <v>0</v>
      </c>
      <c r="D174" s="1181"/>
      <c r="E174" s="1176">
        <f>SUM(C174:D174)</f>
        <v>0</v>
      </c>
    </row>
    <row r="175" spans="1:10" ht="15" thickBot="1">
      <c r="A175" s="841" t="s">
        <v>1167</v>
      </c>
      <c r="B175" s="415" t="s">
        <v>617</v>
      </c>
      <c r="C175" s="1356">
        <f>SUM(C170:C174)</f>
        <v>62252</v>
      </c>
      <c r="D175" s="1356">
        <f>SUM(D170:D174)</f>
        <v>0</v>
      </c>
      <c r="E175" s="1180">
        <f>SUM(E170:E174)</f>
        <v>62252</v>
      </c>
      <c r="F175" s="25"/>
      <c r="G175" s="25"/>
      <c r="H175" s="25"/>
      <c r="I175" s="25"/>
      <c r="J175" s="25"/>
    </row>
    <row r="176" spans="2:10" ht="14.25">
      <c r="B176" s="642"/>
      <c r="C176" s="753"/>
      <c r="D176" s="753"/>
      <c r="E176" s="753"/>
      <c r="F176" s="25"/>
      <c r="G176" s="25"/>
      <c r="H176" s="25"/>
      <c r="I176" s="25"/>
      <c r="J176" s="25"/>
    </row>
    <row r="177" spans="2:10" ht="14.25">
      <c r="B177" s="642"/>
      <c r="C177" s="753"/>
      <c r="D177" s="753"/>
      <c r="E177" s="753"/>
      <c r="F177" s="25"/>
      <c r="G177" s="25"/>
      <c r="H177" s="25"/>
      <c r="I177" s="25"/>
      <c r="J177" s="25"/>
    </row>
    <row r="178" spans="2:10" ht="14.25">
      <c r="B178" s="642"/>
      <c r="C178" s="753"/>
      <c r="D178" s="753"/>
      <c r="E178" s="753"/>
      <c r="F178" s="25"/>
      <c r="G178" s="25"/>
      <c r="H178" s="25"/>
      <c r="I178" s="25"/>
      <c r="J178" s="25"/>
    </row>
    <row r="179" spans="2:10" ht="14.25">
      <c r="B179" s="642"/>
      <c r="C179" s="753"/>
      <c r="D179" s="753"/>
      <c r="E179" s="753"/>
      <c r="F179" s="25"/>
      <c r="G179" s="25"/>
      <c r="H179" s="25"/>
      <c r="I179" s="25"/>
      <c r="J179" s="25"/>
    </row>
    <row r="180" spans="1:5" ht="15.75">
      <c r="A180" s="1601" t="s">
        <v>1122</v>
      </c>
      <c r="B180" s="1602"/>
      <c r="C180" s="1602"/>
      <c r="D180" s="1602"/>
      <c r="E180" s="1602"/>
    </row>
    <row r="181" spans="1:5" ht="15.75">
      <c r="A181" s="1601" t="s">
        <v>1115</v>
      </c>
      <c r="B181" s="1602"/>
      <c r="C181" s="1602"/>
      <c r="D181" s="1602"/>
      <c r="E181" s="1602"/>
    </row>
    <row r="182" spans="2:5" ht="15.75" thickBot="1">
      <c r="B182" s="399"/>
      <c r="C182" s="399"/>
      <c r="D182" s="399"/>
      <c r="E182" s="399" t="s">
        <v>459</v>
      </c>
    </row>
    <row r="183" spans="1:5" ht="27" thickBot="1">
      <c r="A183" s="1134" t="s">
        <v>1148</v>
      </c>
      <c r="B183" s="410" t="s">
        <v>607</v>
      </c>
      <c r="C183" s="1177">
        <v>2011</v>
      </c>
      <c r="D183" s="1177">
        <v>2012</v>
      </c>
      <c r="E183" s="1175" t="s">
        <v>21</v>
      </c>
    </row>
    <row r="184" spans="1:5" ht="13.5" thickBot="1">
      <c r="A184" s="1064" t="s">
        <v>1149</v>
      </c>
      <c r="B184" s="1028" t="s">
        <v>1150</v>
      </c>
      <c r="C184" s="1034" t="s">
        <v>1151</v>
      </c>
      <c r="D184" s="1034" t="s">
        <v>1152</v>
      </c>
      <c r="E184" s="1016" t="s">
        <v>1172</v>
      </c>
    </row>
    <row r="185" spans="1:5" ht="15">
      <c r="A185" s="1086" t="s">
        <v>1153</v>
      </c>
      <c r="B185" s="411" t="s">
        <v>608</v>
      </c>
      <c r="C185" s="1357">
        <f>69264+22040+2585</f>
        <v>93889</v>
      </c>
      <c r="D185" s="1357"/>
      <c r="E185" s="1179">
        <f aca="true" t="shared" si="7" ref="E185:E190">SUM(C185:D185)</f>
        <v>93889</v>
      </c>
    </row>
    <row r="186" spans="1:5" ht="15">
      <c r="A186" s="950" t="s">
        <v>1154</v>
      </c>
      <c r="B186" s="412" t="s">
        <v>1404</v>
      </c>
      <c r="C186" s="1181">
        <v>0</v>
      </c>
      <c r="D186" s="1181"/>
      <c r="E186" s="1176">
        <f t="shared" si="7"/>
        <v>0</v>
      </c>
    </row>
    <row r="187" spans="1:5" ht="15">
      <c r="A187" s="939" t="s">
        <v>1155</v>
      </c>
      <c r="B187" s="411" t="s">
        <v>609</v>
      </c>
      <c r="C187" s="1181">
        <v>40346</v>
      </c>
      <c r="D187" s="1178"/>
      <c r="E187" s="1176">
        <f t="shared" si="7"/>
        <v>40346</v>
      </c>
    </row>
    <row r="188" spans="1:5" s="25" customFormat="1" ht="15">
      <c r="A188" s="939" t="s">
        <v>1156</v>
      </c>
      <c r="B188" s="413" t="s">
        <v>610</v>
      </c>
      <c r="C188" s="1181">
        <v>0</v>
      </c>
      <c r="D188" s="1181"/>
      <c r="E188" s="1176">
        <f t="shared" si="7"/>
        <v>0</v>
      </c>
    </row>
    <row r="189" spans="1:5" ht="15">
      <c r="A189" s="939" t="s">
        <v>1157</v>
      </c>
      <c r="B189" s="414" t="s">
        <v>594</v>
      </c>
      <c r="C189" s="1178">
        <v>0</v>
      </c>
      <c r="D189" s="1178"/>
      <c r="E189" s="1176">
        <f t="shared" si="7"/>
        <v>0</v>
      </c>
    </row>
    <row r="190" spans="1:5" ht="15.75" thickBot="1">
      <c r="A190" s="889" t="s">
        <v>1158</v>
      </c>
      <c r="B190" s="413" t="s">
        <v>611</v>
      </c>
      <c r="C190" s="1181">
        <v>0</v>
      </c>
      <c r="D190" s="1181"/>
      <c r="E190" s="1176">
        <f t="shared" si="7"/>
        <v>0</v>
      </c>
    </row>
    <row r="191" spans="1:5" ht="15" thickBot="1">
      <c r="A191" s="841" t="s">
        <v>1159</v>
      </c>
      <c r="B191" s="408" t="s">
        <v>612</v>
      </c>
      <c r="C191" s="1356">
        <f>SUM(C185:C190)</f>
        <v>134235</v>
      </c>
      <c r="D191" s="1356">
        <f>SUM(D185:D190)</f>
        <v>0</v>
      </c>
      <c r="E191" s="1180">
        <f>SUM(E185:E190)</f>
        <v>134235</v>
      </c>
    </row>
    <row r="192" spans="1:5" ht="15" thickBot="1">
      <c r="A192" s="944" t="s">
        <v>1160</v>
      </c>
      <c r="B192" s="152"/>
      <c r="C192" s="152"/>
      <c r="D192" s="152"/>
      <c r="E192" s="1262"/>
    </row>
    <row r="193" spans="1:5" ht="15.75" thickBot="1">
      <c r="A193" s="841" t="s">
        <v>1161</v>
      </c>
      <c r="B193" s="410" t="s">
        <v>613</v>
      </c>
      <c r="C193" s="1177">
        <v>2011</v>
      </c>
      <c r="D193" s="1177">
        <v>2012</v>
      </c>
      <c r="E193" s="1175" t="s">
        <v>71</v>
      </c>
    </row>
    <row r="194" spans="1:5" ht="15.75">
      <c r="A194" s="904" t="s">
        <v>1162</v>
      </c>
      <c r="B194" s="759" t="s">
        <v>745</v>
      </c>
      <c r="C194" s="1357">
        <v>0</v>
      </c>
      <c r="D194" s="1178"/>
      <c r="E194" s="1179">
        <f>SUM(C194:D194)</f>
        <v>0</v>
      </c>
    </row>
    <row r="195" spans="1:5" ht="15.75">
      <c r="A195" s="883" t="s">
        <v>1163</v>
      </c>
      <c r="B195" s="760" t="s">
        <v>746</v>
      </c>
      <c r="C195" s="1181">
        <v>0</v>
      </c>
      <c r="D195" s="1181"/>
      <c r="E195" s="1176">
        <f>SUM(C195:D195)</f>
        <v>0</v>
      </c>
    </row>
    <row r="196" spans="1:5" ht="15.75">
      <c r="A196" s="883" t="s">
        <v>1164</v>
      </c>
      <c r="B196" s="760" t="s">
        <v>747</v>
      </c>
      <c r="C196" s="1181">
        <v>22040</v>
      </c>
      <c r="D196" s="1181"/>
      <c r="E196" s="1176">
        <f>SUM(C196:D196)</f>
        <v>22040</v>
      </c>
    </row>
    <row r="197" spans="1:5" ht="15.75">
      <c r="A197" s="883" t="s">
        <v>1165</v>
      </c>
      <c r="B197" s="760" t="s">
        <v>748</v>
      </c>
      <c r="C197" s="1178">
        <f>'33_sz_ melléklet'!C52</f>
        <v>112195</v>
      </c>
      <c r="D197" s="1181"/>
      <c r="E197" s="1176">
        <f>SUM(C197:D197)</f>
        <v>112195</v>
      </c>
    </row>
    <row r="198" spans="1:5" ht="16.5" thickBot="1">
      <c r="A198" s="908" t="s">
        <v>1166</v>
      </c>
      <c r="B198" s="760" t="s">
        <v>749</v>
      </c>
      <c r="C198" s="1358">
        <v>0</v>
      </c>
      <c r="D198" s="1181"/>
      <c r="E198" s="1176">
        <f>SUM(C198:D198)</f>
        <v>0</v>
      </c>
    </row>
    <row r="199" spans="1:10" ht="15" thickBot="1">
      <c r="A199" s="841" t="s">
        <v>1167</v>
      </c>
      <c r="B199" s="415" t="s">
        <v>617</v>
      </c>
      <c r="C199" s="1356">
        <f>SUM(C194:C198)</f>
        <v>134235</v>
      </c>
      <c r="D199" s="1356">
        <f>SUM(D194:D198)</f>
        <v>0</v>
      </c>
      <c r="E199" s="1180">
        <f>SUM(E194:E198)</f>
        <v>134235</v>
      </c>
      <c r="F199" s="25"/>
      <c r="G199" s="25"/>
      <c r="H199" s="25"/>
      <c r="I199" s="25"/>
      <c r="J199" s="25"/>
    </row>
    <row r="200" spans="2:10" ht="14.25">
      <c r="B200" s="642"/>
      <c r="C200" s="753"/>
      <c r="D200" s="753"/>
      <c r="E200" s="753"/>
      <c r="F200" s="25"/>
      <c r="G200" s="25"/>
      <c r="H200" s="25"/>
      <c r="I200" s="25"/>
      <c r="J200" s="25"/>
    </row>
    <row r="201" spans="2:10" ht="14.25">
      <c r="B201" s="642"/>
      <c r="C201" s="753"/>
      <c r="D201" s="753"/>
      <c r="E201" s="753"/>
      <c r="F201" s="25"/>
      <c r="G201" s="25"/>
      <c r="H201" s="25"/>
      <c r="I201" s="25"/>
      <c r="J201" s="25"/>
    </row>
    <row r="202" spans="2:10" ht="14.25">
      <c r="B202" s="642"/>
      <c r="C202" s="753"/>
      <c r="D202" s="753"/>
      <c r="E202" s="753"/>
      <c r="F202" s="25"/>
      <c r="G202" s="25"/>
      <c r="H202" s="25"/>
      <c r="I202" s="25"/>
      <c r="J202" s="25"/>
    </row>
    <row r="203" spans="2:10" ht="14.25">
      <c r="B203" s="642"/>
      <c r="C203" s="753"/>
      <c r="D203" s="753"/>
      <c r="E203" s="753"/>
      <c r="F203" s="25"/>
      <c r="G203" s="25"/>
      <c r="H203" s="25"/>
      <c r="I203" s="25"/>
      <c r="J203" s="25"/>
    </row>
    <row r="204" spans="2:10" ht="14.25">
      <c r="B204" s="642"/>
      <c r="C204" s="753"/>
      <c r="D204" s="753"/>
      <c r="E204" s="753"/>
      <c r="F204" s="25"/>
      <c r="G204" s="25"/>
      <c r="H204" s="25"/>
      <c r="I204" s="25"/>
      <c r="J204" s="25"/>
    </row>
    <row r="205" spans="1:10" ht="12.75">
      <c r="A205" s="1547" t="s">
        <v>1328</v>
      </c>
      <c r="B205" s="1547"/>
      <c r="C205" s="1547"/>
      <c r="D205" s="1547"/>
      <c r="E205" s="1547"/>
      <c r="F205" s="25"/>
      <c r="G205" s="25"/>
      <c r="H205" s="25"/>
      <c r="I205" s="25"/>
      <c r="J205" s="25"/>
    </row>
    <row r="206" spans="1:10" ht="12.75">
      <c r="A206" s="1562">
        <v>5</v>
      </c>
      <c r="B206" s="1562"/>
      <c r="C206" s="1562"/>
      <c r="D206" s="1562"/>
      <c r="E206" s="1562"/>
      <c r="F206" s="25"/>
      <c r="G206" s="25"/>
      <c r="H206" s="25"/>
      <c r="I206" s="25"/>
      <c r="J206" s="25"/>
    </row>
    <row r="207" spans="2:10" ht="14.25">
      <c r="B207" s="642"/>
      <c r="C207" s="753"/>
      <c r="D207" s="753"/>
      <c r="E207" s="753"/>
      <c r="F207" s="25"/>
      <c r="G207" s="25"/>
      <c r="H207" s="25"/>
      <c r="I207" s="25"/>
      <c r="J207" s="25"/>
    </row>
    <row r="208" spans="1:5" ht="15.75">
      <c r="A208" s="1601" t="s">
        <v>1123</v>
      </c>
      <c r="B208" s="1602"/>
      <c r="C208" s="1602"/>
      <c r="D208" s="1602"/>
      <c r="E208" s="1602"/>
    </row>
    <row r="209" spans="1:5" ht="15.75">
      <c r="A209" s="1601" t="s">
        <v>1116</v>
      </c>
      <c r="B209" s="1602"/>
      <c r="C209" s="1602"/>
      <c r="D209" s="622"/>
      <c r="E209" s="622"/>
    </row>
    <row r="210" spans="2:5" ht="15.75" thickBot="1">
      <c r="B210" s="399"/>
      <c r="C210" s="399"/>
      <c r="D210" s="399"/>
      <c r="E210" s="399" t="s">
        <v>459</v>
      </c>
    </row>
    <row r="211" spans="1:5" ht="27" thickBot="1">
      <c r="A211" s="1134" t="s">
        <v>1148</v>
      </c>
      <c r="B211" s="410" t="s">
        <v>607</v>
      </c>
      <c r="C211" s="1177">
        <v>2011</v>
      </c>
      <c r="D211" s="1177">
        <v>2012</v>
      </c>
      <c r="E211" s="1175" t="s">
        <v>21</v>
      </c>
    </row>
    <row r="212" spans="1:5" ht="13.5" thickBot="1">
      <c r="A212" s="1064" t="s">
        <v>1149</v>
      </c>
      <c r="B212" s="1028" t="s">
        <v>1150</v>
      </c>
      <c r="C212" s="1034" t="s">
        <v>1151</v>
      </c>
      <c r="D212" s="1034" t="s">
        <v>1152</v>
      </c>
      <c r="E212" s="1016" t="s">
        <v>1172</v>
      </c>
    </row>
    <row r="213" spans="1:5" ht="15">
      <c r="A213" s="1086" t="s">
        <v>1153</v>
      </c>
      <c r="B213" s="411" t="s">
        <v>608</v>
      </c>
      <c r="C213" s="1357">
        <f>40714+96320</f>
        <v>137034</v>
      </c>
      <c r="D213" s="1357"/>
      <c r="E213" s="1179">
        <f aca="true" t="shared" si="8" ref="E213:E218">SUM(C213:D213)</f>
        <v>137034</v>
      </c>
    </row>
    <row r="214" spans="1:5" ht="15">
      <c r="A214" s="950" t="s">
        <v>1154</v>
      </c>
      <c r="B214" s="412" t="s">
        <v>1404</v>
      </c>
      <c r="C214" s="1181">
        <v>0</v>
      </c>
      <c r="D214" s="1181"/>
      <c r="E214" s="1176">
        <f t="shared" si="8"/>
        <v>0</v>
      </c>
    </row>
    <row r="215" spans="1:5" ht="15">
      <c r="A215" s="939" t="s">
        <v>1155</v>
      </c>
      <c r="B215" s="411" t="s">
        <v>609</v>
      </c>
      <c r="C215" s="1181">
        <v>482530</v>
      </c>
      <c r="D215" s="1178"/>
      <c r="E215" s="1176">
        <f t="shared" si="8"/>
        <v>482530</v>
      </c>
    </row>
    <row r="216" spans="1:5" s="25" customFormat="1" ht="15">
      <c r="A216" s="939" t="s">
        <v>1156</v>
      </c>
      <c r="B216" s="413" t="s">
        <v>610</v>
      </c>
      <c r="C216" s="1181">
        <v>0</v>
      </c>
      <c r="D216" s="1181"/>
      <c r="E216" s="1176">
        <f t="shared" si="8"/>
        <v>0</v>
      </c>
    </row>
    <row r="217" spans="1:5" ht="15">
      <c r="A217" s="939" t="s">
        <v>1157</v>
      </c>
      <c r="B217" s="414" t="s">
        <v>594</v>
      </c>
      <c r="C217" s="1178">
        <v>0</v>
      </c>
      <c r="D217" s="1178"/>
      <c r="E217" s="1176">
        <f t="shared" si="8"/>
        <v>0</v>
      </c>
    </row>
    <row r="218" spans="1:5" ht="15.75" thickBot="1">
      <c r="A218" s="889" t="s">
        <v>1158</v>
      </c>
      <c r="B218" s="413" t="s">
        <v>611</v>
      </c>
      <c r="C218" s="1181">
        <v>0</v>
      </c>
      <c r="D218" s="1181"/>
      <c r="E218" s="1176">
        <f t="shared" si="8"/>
        <v>0</v>
      </c>
    </row>
    <row r="219" spans="1:5" ht="15" thickBot="1">
      <c r="A219" s="841" t="s">
        <v>1159</v>
      </c>
      <c r="B219" s="408" t="s">
        <v>612</v>
      </c>
      <c r="C219" s="1356">
        <f>SUM(C213:C218)</f>
        <v>619564</v>
      </c>
      <c r="D219" s="1356">
        <f>SUM(D213:D218)</f>
        <v>0</v>
      </c>
      <c r="E219" s="1180">
        <f>SUM(E213:E218)</f>
        <v>619564</v>
      </c>
    </row>
    <row r="220" spans="1:5" ht="15" thickBot="1">
      <c r="A220" s="944" t="s">
        <v>1160</v>
      </c>
      <c r="B220" s="152"/>
      <c r="C220" s="152"/>
      <c r="D220" s="152"/>
      <c r="E220" s="1262"/>
    </row>
    <row r="221" spans="1:5" ht="15.75" thickBot="1">
      <c r="A221" s="841" t="s">
        <v>1161</v>
      </c>
      <c r="B221" s="410" t="s">
        <v>613</v>
      </c>
      <c r="C221" s="1177">
        <v>2011</v>
      </c>
      <c r="D221" s="1177">
        <v>2012</v>
      </c>
      <c r="E221" s="1175" t="s">
        <v>71</v>
      </c>
    </row>
    <row r="222" spans="1:5" ht="15.75">
      <c r="A222" s="904" t="s">
        <v>1162</v>
      </c>
      <c r="B222" s="759" t="s">
        <v>745</v>
      </c>
      <c r="C222" s="1357">
        <v>0</v>
      </c>
      <c r="D222" s="1178"/>
      <c r="E222" s="1179">
        <f>SUM(C222:D222)</f>
        <v>0</v>
      </c>
    </row>
    <row r="223" spans="1:5" ht="15.75">
      <c r="A223" s="883" t="s">
        <v>1163</v>
      </c>
      <c r="B223" s="760" t="s">
        <v>746</v>
      </c>
      <c r="C223" s="1181">
        <v>0</v>
      </c>
      <c r="D223" s="1181"/>
      <c r="E223" s="1176">
        <f>SUM(C223:D223)</f>
        <v>0</v>
      </c>
    </row>
    <row r="224" spans="1:5" ht="15.75">
      <c r="A224" s="883" t="s">
        <v>1164</v>
      </c>
      <c r="B224" s="760" t="s">
        <v>747</v>
      </c>
      <c r="C224" s="1181">
        <v>96320</v>
      </c>
      <c r="D224" s="1181"/>
      <c r="E224" s="1176">
        <f>SUM(C224:D224)</f>
        <v>96320</v>
      </c>
    </row>
    <row r="225" spans="1:5" ht="15.75">
      <c r="A225" s="883" t="s">
        <v>1165</v>
      </c>
      <c r="B225" s="760" t="s">
        <v>748</v>
      </c>
      <c r="C225" s="1178">
        <f>'33_sz_ melléklet'!C72</f>
        <v>523244</v>
      </c>
      <c r="D225" s="1181"/>
      <c r="E225" s="1176">
        <f>SUM(C225:D225)</f>
        <v>523244</v>
      </c>
    </row>
    <row r="226" spans="1:5" ht="16.5" thickBot="1">
      <c r="A226" s="908" t="s">
        <v>1166</v>
      </c>
      <c r="B226" s="760" t="s">
        <v>749</v>
      </c>
      <c r="C226" s="1358">
        <v>0</v>
      </c>
      <c r="D226" s="1181"/>
      <c r="E226" s="1176">
        <f>SUM(C226:D226)</f>
        <v>0</v>
      </c>
    </row>
    <row r="227" spans="1:10" ht="15" thickBot="1">
      <c r="A227" s="841" t="s">
        <v>1167</v>
      </c>
      <c r="B227" s="415" t="s">
        <v>617</v>
      </c>
      <c r="C227" s="1356">
        <f>SUM(C222:C226)</f>
        <v>619564</v>
      </c>
      <c r="D227" s="1356">
        <f>SUM(D222:D226)</f>
        <v>0</v>
      </c>
      <c r="E227" s="1180">
        <f>SUM(E222:E226)</f>
        <v>619564</v>
      </c>
      <c r="F227" s="25"/>
      <c r="G227" s="25"/>
      <c r="H227" s="25"/>
      <c r="I227" s="25"/>
      <c r="J227" s="25"/>
    </row>
    <row r="228" spans="2:10" ht="14.25">
      <c r="B228" s="642"/>
      <c r="C228" s="753"/>
      <c r="D228" s="753"/>
      <c r="E228" s="753"/>
      <c r="F228" s="25"/>
      <c r="G228" s="25"/>
      <c r="H228" s="25"/>
      <c r="I228" s="25"/>
      <c r="J228" s="25"/>
    </row>
    <row r="229" spans="2:10" ht="14.25">
      <c r="B229" s="642"/>
      <c r="C229" s="753"/>
      <c r="D229" s="753"/>
      <c r="E229" s="753"/>
      <c r="F229" s="25"/>
      <c r="G229" s="25"/>
      <c r="H229" s="25"/>
      <c r="I229" s="25"/>
      <c r="J229" s="25"/>
    </row>
    <row r="230" spans="2:10" ht="14.25">
      <c r="B230" s="642"/>
      <c r="C230" s="753"/>
      <c r="D230" s="753"/>
      <c r="E230" s="753"/>
      <c r="F230" s="25"/>
      <c r="G230" s="25"/>
      <c r="H230" s="25"/>
      <c r="I230" s="25"/>
      <c r="J230" s="25"/>
    </row>
    <row r="231" spans="2:10" ht="14.25">
      <c r="B231" s="642"/>
      <c r="C231" s="753"/>
      <c r="D231" s="753"/>
      <c r="E231" s="753"/>
      <c r="F231" s="25"/>
      <c r="G231" s="25"/>
      <c r="H231" s="25"/>
      <c r="I231" s="25"/>
      <c r="J231" s="25"/>
    </row>
    <row r="232" spans="1:9" ht="32.25" customHeight="1">
      <c r="A232" s="1597" t="s">
        <v>1405</v>
      </c>
      <c r="B232" s="1597"/>
      <c r="C232" s="1597"/>
      <c r="D232" s="1597"/>
      <c r="E232" s="1597"/>
      <c r="F232" s="750"/>
      <c r="G232" s="750"/>
      <c r="H232" s="750"/>
      <c r="I232" s="750"/>
    </row>
    <row r="233" spans="1:11" ht="15.75">
      <c r="A233" s="1603" t="s">
        <v>1406</v>
      </c>
      <c r="B233" s="1603"/>
      <c r="C233" s="1603"/>
      <c r="D233" s="1603"/>
      <c r="E233" s="1603"/>
      <c r="F233" s="331"/>
      <c r="G233" s="331"/>
      <c r="H233" s="331"/>
      <c r="I233" s="331"/>
      <c r="J233" s="331"/>
      <c r="K233" s="331"/>
    </row>
    <row r="234" spans="2:10" ht="15.75" thickBot="1">
      <c r="B234" s="399"/>
      <c r="C234" s="399"/>
      <c r="D234" s="399"/>
      <c r="E234" s="399" t="s">
        <v>459</v>
      </c>
      <c r="F234" s="25"/>
      <c r="G234" s="25"/>
      <c r="H234" s="25"/>
      <c r="I234" s="25"/>
      <c r="J234" s="25"/>
    </row>
    <row r="235" spans="1:10" ht="27" thickBot="1">
      <c r="A235" s="1134" t="s">
        <v>1148</v>
      </c>
      <c r="B235" s="410" t="s">
        <v>607</v>
      </c>
      <c r="C235" s="1177">
        <v>2011</v>
      </c>
      <c r="D235" s="1177">
        <v>2012</v>
      </c>
      <c r="E235" s="1175" t="s">
        <v>21</v>
      </c>
      <c r="F235" s="25"/>
      <c r="G235" s="25"/>
      <c r="H235" s="25"/>
      <c r="I235" s="25"/>
      <c r="J235" s="25"/>
    </row>
    <row r="236" spans="1:10" ht="13.5" thickBot="1">
      <c r="A236" s="1064" t="s">
        <v>1149</v>
      </c>
      <c r="B236" s="1028" t="s">
        <v>1150</v>
      </c>
      <c r="C236" s="1034" t="s">
        <v>1151</v>
      </c>
      <c r="D236" s="1034" t="s">
        <v>1152</v>
      </c>
      <c r="E236" s="1016" t="s">
        <v>1172</v>
      </c>
      <c r="F236" s="25"/>
      <c r="G236" s="25"/>
      <c r="H236" s="25"/>
      <c r="I236" s="25"/>
      <c r="J236" s="25"/>
    </row>
    <row r="237" spans="1:10" ht="15">
      <c r="A237" s="1086" t="s">
        <v>1153</v>
      </c>
      <c r="B237" s="411" t="s">
        <v>608</v>
      </c>
      <c r="C237" s="1357">
        <v>1</v>
      </c>
      <c r="D237" s="1357"/>
      <c r="E237" s="1179">
        <f aca="true" t="shared" si="9" ref="E237:E242">SUM(C237:D237)</f>
        <v>1</v>
      </c>
      <c r="F237" s="25"/>
      <c r="G237" s="25"/>
      <c r="H237" s="25"/>
      <c r="I237" s="25"/>
      <c r="J237" s="25"/>
    </row>
    <row r="238" spans="1:10" ht="15">
      <c r="A238" s="950" t="s">
        <v>1154</v>
      </c>
      <c r="B238" s="412" t="s">
        <v>1404</v>
      </c>
      <c r="C238" s="1181">
        <v>0</v>
      </c>
      <c r="D238" s="1181"/>
      <c r="E238" s="1176">
        <f t="shared" si="9"/>
        <v>0</v>
      </c>
      <c r="F238" s="25"/>
      <c r="G238" s="25"/>
      <c r="H238" s="25"/>
      <c r="I238" s="25"/>
      <c r="J238" s="25"/>
    </row>
    <row r="239" spans="1:10" ht="15">
      <c r="A239" s="939" t="s">
        <v>1155</v>
      </c>
      <c r="B239" s="411" t="s">
        <v>609</v>
      </c>
      <c r="C239" s="1181">
        <v>3985</v>
      </c>
      <c r="D239" s="1178"/>
      <c r="E239" s="1176">
        <f t="shared" si="9"/>
        <v>3985</v>
      </c>
      <c r="F239" s="25"/>
      <c r="G239" s="25"/>
      <c r="H239" s="25"/>
      <c r="I239" s="25"/>
      <c r="J239" s="25"/>
    </row>
    <row r="240" spans="1:10" ht="15">
      <c r="A240" s="939" t="s">
        <v>1156</v>
      </c>
      <c r="B240" s="413" t="s">
        <v>610</v>
      </c>
      <c r="C240" s="1181">
        <v>0</v>
      </c>
      <c r="D240" s="1181"/>
      <c r="E240" s="1176">
        <f t="shared" si="9"/>
        <v>0</v>
      </c>
      <c r="F240" s="25"/>
      <c r="G240" s="25"/>
      <c r="H240" s="25"/>
      <c r="I240" s="25"/>
      <c r="J240" s="25"/>
    </row>
    <row r="241" spans="1:10" ht="15">
      <c r="A241" s="939" t="s">
        <v>1157</v>
      </c>
      <c r="B241" s="414" t="s">
        <v>594</v>
      </c>
      <c r="C241" s="1178">
        <v>0</v>
      </c>
      <c r="D241" s="1178"/>
      <c r="E241" s="1176">
        <f t="shared" si="9"/>
        <v>0</v>
      </c>
      <c r="F241" s="25"/>
      <c r="G241" s="25"/>
      <c r="H241" s="25"/>
      <c r="I241" s="25"/>
      <c r="J241" s="25"/>
    </row>
    <row r="242" spans="1:10" ht="15.75" thickBot="1">
      <c r="A242" s="889" t="s">
        <v>1158</v>
      </c>
      <c r="B242" s="413" t="s">
        <v>611</v>
      </c>
      <c r="C242" s="1181">
        <v>0</v>
      </c>
      <c r="D242" s="1181"/>
      <c r="E242" s="1176">
        <f t="shared" si="9"/>
        <v>0</v>
      </c>
      <c r="F242" s="25"/>
      <c r="G242" s="25"/>
      <c r="H242" s="25"/>
      <c r="I242" s="25"/>
      <c r="J242" s="25"/>
    </row>
    <row r="243" spans="1:10" ht="15" thickBot="1">
      <c r="A243" s="841" t="s">
        <v>1159</v>
      </c>
      <c r="B243" s="408" t="s">
        <v>612</v>
      </c>
      <c r="C243" s="1356">
        <f>SUM(C237:C242)</f>
        <v>3986</v>
      </c>
      <c r="D243" s="1356">
        <f>SUM(D237:D242)</f>
        <v>0</v>
      </c>
      <c r="E243" s="1180">
        <f>SUM(E237:E242)</f>
        <v>3986</v>
      </c>
      <c r="F243" s="25"/>
      <c r="G243" s="25"/>
      <c r="H243" s="25"/>
      <c r="I243" s="25"/>
      <c r="J243" s="25"/>
    </row>
    <row r="244" spans="1:10" ht="15" thickBot="1">
      <c r="A244" s="944" t="s">
        <v>1160</v>
      </c>
      <c r="B244" s="152"/>
      <c r="C244" s="152"/>
      <c r="D244" s="152"/>
      <c r="E244" s="1262"/>
      <c r="F244" s="25"/>
      <c r="G244" s="25"/>
      <c r="H244" s="25"/>
      <c r="I244" s="25"/>
      <c r="J244" s="25"/>
    </row>
    <row r="245" spans="1:10" ht="15.75" thickBot="1">
      <c r="A245" s="841" t="s">
        <v>1161</v>
      </c>
      <c r="B245" s="410" t="s">
        <v>613</v>
      </c>
      <c r="C245" s="1177">
        <v>2011</v>
      </c>
      <c r="D245" s="1177">
        <v>2012</v>
      </c>
      <c r="E245" s="1175" t="s">
        <v>71</v>
      </c>
      <c r="F245" s="25"/>
      <c r="G245" s="25"/>
      <c r="H245" s="25"/>
      <c r="I245" s="25"/>
      <c r="J245" s="25"/>
    </row>
    <row r="246" spans="1:10" ht="15.75">
      <c r="A246" s="904" t="s">
        <v>1162</v>
      </c>
      <c r="B246" s="759" t="s">
        <v>745</v>
      </c>
      <c r="C246" s="1357">
        <v>0</v>
      </c>
      <c r="D246" s="1178"/>
      <c r="E246" s="1179">
        <f>SUM(C246:D246)</f>
        <v>0</v>
      </c>
      <c r="F246" s="25"/>
      <c r="G246" s="25"/>
      <c r="H246" s="25"/>
      <c r="I246" s="25"/>
      <c r="J246" s="25"/>
    </row>
    <row r="247" spans="1:10" ht="15.75">
      <c r="A247" s="883" t="s">
        <v>1163</v>
      </c>
      <c r="B247" s="760" t="s">
        <v>746</v>
      </c>
      <c r="C247" s="1181">
        <v>0</v>
      </c>
      <c r="D247" s="1181"/>
      <c r="E247" s="1176">
        <f>SUM(C247:D247)</f>
        <v>0</v>
      </c>
      <c r="F247" s="25"/>
      <c r="G247" s="25"/>
      <c r="H247" s="25"/>
      <c r="I247" s="25"/>
      <c r="J247" s="25"/>
    </row>
    <row r="248" spans="1:10" ht="15.75">
      <c r="A248" s="883" t="s">
        <v>1164</v>
      </c>
      <c r="B248" s="760" t="s">
        <v>747</v>
      </c>
      <c r="C248" s="1181">
        <v>16</v>
      </c>
      <c r="D248" s="1181"/>
      <c r="E248" s="1176">
        <f>SUM(C248:D248)</f>
        <v>16</v>
      </c>
      <c r="F248" s="25"/>
      <c r="G248" s="25"/>
      <c r="H248" s="25"/>
      <c r="I248" s="25"/>
      <c r="J248" s="25"/>
    </row>
    <row r="249" spans="1:10" ht="15.75">
      <c r="A249" s="883" t="s">
        <v>1165</v>
      </c>
      <c r="B249" s="760" t="s">
        <v>748</v>
      </c>
      <c r="C249" s="1178">
        <v>0</v>
      </c>
      <c r="D249" s="1181"/>
      <c r="E249" s="1176">
        <f>SUM(C249:D249)</f>
        <v>0</v>
      </c>
      <c r="F249" s="25"/>
      <c r="G249" s="25"/>
      <c r="H249" s="25"/>
      <c r="I249" s="25"/>
      <c r="J249" s="25"/>
    </row>
    <row r="250" spans="1:10" ht="16.5" thickBot="1">
      <c r="A250" s="908" t="s">
        <v>1166</v>
      </c>
      <c r="B250" s="760" t="s">
        <v>749</v>
      </c>
      <c r="C250" s="1358">
        <v>0</v>
      </c>
      <c r="D250" s="1181"/>
      <c r="E250" s="1176">
        <f>SUM(C250:D250)</f>
        <v>0</v>
      </c>
      <c r="F250" s="25"/>
      <c r="G250" s="25"/>
      <c r="H250" s="25"/>
      <c r="I250" s="25"/>
      <c r="J250" s="25"/>
    </row>
    <row r="251" spans="1:10" ht="15" thickBot="1">
      <c r="A251" s="841" t="s">
        <v>1167</v>
      </c>
      <c r="B251" s="415" t="s">
        <v>617</v>
      </c>
      <c r="C251" s="1356">
        <f>SUM(C246:C250)</f>
        <v>16</v>
      </c>
      <c r="D251" s="1356">
        <f>SUM(D246:D250)</f>
        <v>0</v>
      </c>
      <c r="E251" s="1180">
        <f>SUM(E246:E250)</f>
        <v>16</v>
      </c>
      <c r="F251" s="25"/>
      <c r="G251" s="25"/>
      <c r="H251" s="25"/>
      <c r="I251" s="25"/>
      <c r="J251" s="25"/>
    </row>
    <row r="252" spans="2:10" ht="14.25">
      <c r="B252" s="642"/>
      <c r="C252" s="753"/>
      <c r="D252" s="753"/>
      <c r="E252" s="753"/>
      <c r="F252" s="25"/>
      <c r="G252" s="25"/>
      <c r="H252" s="25"/>
      <c r="I252" s="25"/>
      <c r="J252" s="25"/>
    </row>
    <row r="253" spans="2:10" ht="14.25">
      <c r="B253" s="642"/>
      <c r="C253" s="753"/>
      <c r="D253" s="753"/>
      <c r="E253" s="753"/>
      <c r="F253" s="25"/>
      <c r="G253" s="25"/>
      <c r="H253" s="25"/>
      <c r="I253" s="25"/>
      <c r="J253" s="25"/>
    </row>
    <row r="254" spans="2:10" ht="14.25">
      <c r="B254" s="642"/>
      <c r="C254" s="753"/>
      <c r="D254" s="753"/>
      <c r="E254" s="753"/>
      <c r="F254" s="25"/>
      <c r="G254" s="25"/>
      <c r="H254" s="25"/>
      <c r="I254" s="25"/>
      <c r="J254" s="25"/>
    </row>
    <row r="255" spans="2:10" ht="14.25">
      <c r="B255" s="642"/>
      <c r="C255" s="753"/>
      <c r="D255" s="753"/>
      <c r="E255" s="753"/>
      <c r="F255" s="25"/>
      <c r="G255" s="25"/>
      <c r="H255" s="25"/>
      <c r="I255" s="25"/>
      <c r="J255" s="25"/>
    </row>
    <row r="256" spans="1:10" ht="12.75">
      <c r="A256" s="1547" t="s">
        <v>1328</v>
      </c>
      <c r="B256" s="1547"/>
      <c r="C256" s="1547"/>
      <c r="D256" s="1547"/>
      <c r="E256" s="1547"/>
      <c r="F256" s="25"/>
      <c r="G256" s="25"/>
      <c r="H256" s="25"/>
      <c r="I256" s="25"/>
      <c r="J256" s="25"/>
    </row>
    <row r="257" spans="1:10" ht="12.75">
      <c r="A257" s="1562">
        <v>6</v>
      </c>
      <c r="B257" s="1562"/>
      <c r="C257" s="1562"/>
      <c r="D257" s="1562"/>
      <c r="E257" s="1562"/>
      <c r="F257" s="25"/>
      <c r="G257" s="25"/>
      <c r="H257" s="25"/>
      <c r="I257" s="25"/>
      <c r="J257" s="25"/>
    </row>
    <row r="258" spans="2:10" ht="14.25">
      <c r="B258" s="642"/>
      <c r="C258" s="753"/>
      <c r="D258" s="753"/>
      <c r="E258" s="753"/>
      <c r="F258" s="25"/>
      <c r="G258" s="25"/>
      <c r="H258" s="25"/>
      <c r="I258" s="25"/>
      <c r="J258" s="25"/>
    </row>
    <row r="259" spans="1:8" ht="16.5" customHeight="1">
      <c r="A259" s="1603" t="s">
        <v>1407</v>
      </c>
      <c r="B259" s="1603"/>
      <c r="C259" s="1603"/>
      <c r="D259" s="1603"/>
      <c r="E259" s="1603"/>
      <c r="F259" s="331"/>
      <c r="G259" s="331"/>
      <c r="H259" s="331"/>
    </row>
    <row r="260" spans="1:11" ht="15.75">
      <c r="A260" s="1603" t="s">
        <v>1408</v>
      </c>
      <c r="B260" s="1603"/>
      <c r="C260" s="1603"/>
      <c r="D260" s="1603"/>
      <c r="E260" s="1603"/>
      <c r="F260" s="331"/>
      <c r="G260" s="331"/>
      <c r="H260" s="331"/>
      <c r="I260" s="331"/>
      <c r="J260" s="331"/>
      <c r="K260" s="331"/>
    </row>
    <row r="261" spans="2:10" ht="15.75" thickBot="1">
      <c r="B261" s="399"/>
      <c r="C261" s="399"/>
      <c r="D261" s="399"/>
      <c r="E261" s="399" t="s">
        <v>459</v>
      </c>
      <c r="F261" s="25"/>
      <c r="G261" s="25"/>
      <c r="H261" s="25"/>
      <c r="I261" s="25"/>
      <c r="J261" s="25"/>
    </row>
    <row r="262" spans="1:10" ht="27" thickBot="1">
      <c r="A262" s="1134" t="s">
        <v>1148</v>
      </c>
      <c r="B262" s="410" t="s">
        <v>607</v>
      </c>
      <c r="C262" s="1177">
        <v>2011</v>
      </c>
      <c r="D262" s="1177">
        <v>2012</v>
      </c>
      <c r="E262" s="1175" t="s">
        <v>21</v>
      </c>
      <c r="F262" s="25"/>
      <c r="G262" s="25"/>
      <c r="H262" s="25"/>
      <c r="I262" s="25"/>
      <c r="J262" s="25"/>
    </row>
    <row r="263" spans="1:10" ht="13.5" thickBot="1">
      <c r="A263" s="1064" t="s">
        <v>1149</v>
      </c>
      <c r="B263" s="1028" t="s">
        <v>1150</v>
      </c>
      <c r="C263" s="1034" t="s">
        <v>1151</v>
      </c>
      <c r="D263" s="1034" t="s">
        <v>1152</v>
      </c>
      <c r="E263" s="1016" t="s">
        <v>1172</v>
      </c>
      <c r="F263" s="25"/>
      <c r="G263" s="25"/>
      <c r="H263" s="25"/>
      <c r="I263" s="25"/>
      <c r="J263" s="25"/>
    </row>
    <row r="264" spans="1:10" ht="15">
      <c r="A264" s="1086" t="s">
        <v>1153</v>
      </c>
      <c r="B264" s="411" t="s">
        <v>608</v>
      </c>
      <c r="C264" s="1357">
        <v>23317</v>
      </c>
      <c r="D264" s="1357"/>
      <c r="E264" s="1179">
        <f aca="true" t="shared" si="10" ref="E264:E269">SUM(C264:D264)</f>
        <v>23317</v>
      </c>
      <c r="F264" s="25"/>
      <c r="G264" s="25"/>
      <c r="H264" s="25"/>
      <c r="I264" s="25"/>
      <c r="J264" s="25"/>
    </row>
    <row r="265" spans="1:10" ht="15">
      <c r="A265" s="950" t="s">
        <v>1154</v>
      </c>
      <c r="B265" s="412" t="s">
        <v>1404</v>
      </c>
      <c r="C265" s="1181">
        <v>23317</v>
      </c>
      <c r="D265" s="1181"/>
      <c r="E265" s="1176">
        <f t="shared" si="10"/>
        <v>23317</v>
      </c>
      <c r="F265" s="25"/>
      <c r="G265" s="25"/>
      <c r="H265" s="25"/>
      <c r="I265" s="25"/>
      <c r="J265" s="25"/>
    </row>
    <row r="266" spans="1:10" ht="15">
      <c r="A266" s="939" t="s">
        <v>1155</v>
      </c>
      <c r="B266" s="411" t="s">
        <v>609</v>
      </c>
      <c r="C266" s="1181">
        <v>4798</v>
      </c>
      <c r="D266" s="1178"/>
      <c r="E266" s="1176">
        <f t="shared" si="10"/>
        <v>4798</v>
      </c>
      <c r="F266" s="25"/>
      <c r="G266" s="25"/>
      <c r="H266" s="25"/>
      <c r="I266" s="25"/>
      <c r="J266" s="25"/>
    </row>
    <row r="267" spans="1:10" ht="15">
      <c r="A267" s="939" t="s">
        <v>1156</v>
      </c>
      <c r="B267" s="413" t="s">
        <v>610</v>
      </c>
      <c r="C267" s="1181">
        <v>0</v>
      </c>
      <c r="D267" s="1181"/>
      <c r="E267" s="1176">
        <f t="shared" si="10"/>
        <v>0</v>
      </c>
      <c r="F267" s="25"/>
      <c r="G267" s="25"/>
      <c r="H267" s="25"/>
      <c r="I267" s="25"/>
      <c r="J267" s="25"/>
    </row>
    <row r="268" spans="1:10" ht="15">
      <c r="A268" s="939" t="s">
        <v>1157</v>
      </c>
      <c r="B268" s="414" t="s">
        <v>594</v>
      </c>
      <c r="C268" s="1178">
        <v>0</v>
      </c>
      <c r="D268" s="1178"/>
      <c r="E268" s="1176">
        <f t="shared" si="10"/>
        <v>0</v>
      </c>
      <c r="F268" s="25"/>
      <c r="G268" s="25"/>
      <c r="H268" s="25"/>
      <c r="I268" s="25"/>
      <c r="J268" s="25"/>
    </row>
    <row r="269" spans="1:10" ht="15.75" thickBot="1">
      <c r="A269" s="889" t="s">
        <v>1158</v>
      </c>
      <c r="B269" s="413" t="s">
        <v>611</v>
      </c>
      <c r="C269" s="1181">
        <v>0</v>
      </c>
      <c r="D269" s="1181"/>
      <c r="E269" s="1176">
        <f t="shared" si="10"/>
        <v>0</v>
      </c>
      <c r="F269" s="25"/>
      <c r="G269" s="25"/>
      <c r="H269" s="25"/>
      <c r="I269" s="25"/>
      <c r="J269" s="25"/>
    </row>
    <row r="270" spans="1:10" ht="15" thickBot="1">
      <c r="A270" s="841" t="s">
        <v>1159</v>
      </c>
      <c r="B270" s="408" t="s">
        <v>612</v>
      </c>
      <c r="C270" s="1356">
        <f>SUM(C264:C269)-C265</f>
        <v>28115</v>
      </c>
      <c r="D270" s="1356">
        <f>SUM(D264:D269)</f>
        <v>0</v>
      </c>
      <c r="E270" s="1180">
        <f>SUM(E264:E269)</f>
        <v>51432</v>
      </c>
      <c r="F270" s="25"/>
      <c r="G270" s="25"/>
      <c r="H270" s="25"/>
      <c r="I270" s="25"/>
      <c r="J270" s="25"/>
    </row>
    <row r="271" spans="1:10" ht="15" thickBot="1">
      <c r="A271" s="944" t="s">
        <v>1160</v>
      </c>
      <c r="B271" s="152"/>
      <c r="C271" s="152"/>
      <c r="D271" s="152"/>
      <c r="E271" s="1262"/>
      <c r="F271" s="25"/>
      <c r="G271" s="25"/>
      <c r="H271" s="25"/>
      <c r="I271" s="25"/>
      <c r="J271" s="25"/>
    </row>
    <row r="272" spans="1:10" ht="15.75" thickBot="1">
      <c r="A272" s="841" t="s">
        <v>1161</v>
      </c>
      <c r="B272" s="410" t="s">
        <v>613</v>
      </c>
      <c r="C272" s="1177">
        <v>2011</v>
      </c>
      <c r="D272" s="1177">
        <v>2012</v>
      </c>
      <c r="E272" s="1175" t="s">
        <v>71</v>
      </c>
      <c r="F272" s="25"/>
      <c r="G272" s="25"/>
      <c r="H272" s="25"/>
      <c r="I272" s="25"/>
      <c r="J272" s="25"/>
    </row>
    <row r="273" spans="1:10" ht="15.75">
      <c r="A273" s="904" t="s">
        <v>1162</v>
      </c>
      <c r="B273" s="759" t="s">
        <v>745</v>
      </c>
      <c r="C273" s="1357">
        <v>0</v>
      </c>
      <c r="D273" s="1178"/>
      <c r="E273" s="1179">
        <f>SUM(C273:D273)</f>
        <v>0</v>
      </c>
      <c r="F273" s="25"/>
      <c r="G273" s="25"/>
      <c r="H273" s="25"/>
      <c r="I273" s="25"/>
      <c r="J273" s="25"/>
    </row>
    <row r="274" spans="1:10" ht="15.75">
      <c r="A274" s="883" t="s">
        <v>1163</v>
      </c>
      <c r="B274" s="760" t="s">
        <v>746</v>
      </c>
      <c r="C274" s="1181">
        <v>0</v>
      </c>
      <c r="D274" s="1181"/>
      <c r="E274" s="1176">
        <f>SUM(C274:D274)</f>
        <v>0</v>
      </c>
      <c r="F274" s="25"/>
      <c r="G274" s="25"/>
      <c r="H274" s="25"/>
      <c r="I274" s="25"/>
      <c r="J274" s="25"/>
    </row>
    <row r="275" spans="1:10" ht="15.75">
      <c r="A275" s="883" t="s">
        <v>1164</v>
      </c>
      <c r="B275" s="760" t="s">
        <v>747</v>
      </c>
      <c r="C275" s="1181">
        <v>0</v>
      </c>
      <c r="D275" s="1181"/>
      <c r="E275" s="1176">
        <f>SUM(C275:D275)</f>
        <v>0</v>
      </c>
      <c r="F275" s="25"/>
      <c r="G275" s="25"/>
      <c r="H275" s="25"/>
      <c r="I275" s="25"/>
      <c r="J275" s="25"/>
    </row>
    <row r="276" spans="1:10" ht="15.75">
      <c r="A276" s="883" t="s">
        <v>1165</v>
      </c>
      <c r="B276" s="760" t="s">
        <v>748</v>
      </c>
      <c r="C276" s="1178">
        <v>0</v>
      </c>
      <c r="D276" s="1181"/>
      <c r="E276" s="1176">
        <f>SUM(C276:D276)</f>
        <v>0</v>
      </c>
      <c r="F276" s="25"/>
      <c r="G276" s="25"/>
      <c r="H276" s="25"/>
      <c r="I276" s="25"/>
      <c r="J276" s="25"/>
    </row>
    <row r="277" spans="1:10" ht="16.5" thickBot="1">
      <c r="A277" s="908" t="s">
        <v>1166</v>
      </c>
      <c r="B277" s="760" t="s">
        <v>749</v>
      </c>
      <c r="C277" s="1358">
        <v>0</v>
      </c>
      <c r="D277" s="1181"/>
      <c r="E277" s="1176">
        <f>SUM(C277:D277)</f>
        <v>0</v>
      </c>
      <c r="F277" s="25"/>
      <c r="G277" s="25"/>
      <c r="H277" s="25"/>
      <c r="I277" s="25"/>
      <c r="J277" s="25"/>
    </row>
    <row r="278" spans="1:10" ht="15" thickBot="1">
      <c r="A278" s="841" t="s">
        <v>1167</v>
      </c>
      <c r="B278" s="415" t="s">
        <v>617</v>
      </c>
      <c r="C278" s="1356">
        <f>SUM(C273:C277)</f>
        <v>0</v>
      </c>
      <c r="D278" s="1356">
        <f>SUM(D273:D277)</f>
        <v>0</v>
      </c>
      <c r="E278" s="1180">
        <f>SUM(E273:E277)</f>
        <v>0</v>
      </c>
      <c r="F278" s="25"/>
      <c r="G278" s="25"/>
      <c r="H278" s="25"/>
      <c r="I278" s="25"/>
      <c r="J278" s="25"/>
    </row>
    <row r="279" spans="2:10" ht="14.25">
      <c r="B279" s="642"/>
      <c r="C279" s="753"/>
      <c r="D279" s="753"/>
      <c r="E279" s="753"/>
      <c r="F279" s="25"/>
      <c r="G279" s="25"/>
      <c r="H279" s="25"/>
      <c r="I279" s="25"/>
      <c r="J279" s="25"/>
    </row>
    <row r="280" spans="2:10" ht="14.25">
      <c r="B280" s="642"/>
      <c r="C280" s="753"/>
      <c r="D280" s="753"/>
      <c r="E280" s="753"/>
      <c r="F280" s="25"/>
      <c r="G280" s="25"/>
      <c r="H280" s="25"/>
      <c r="I280" s="25"/>
      <c r="J280" s="25"/>
    </row>
    <row r="281" spans="2:10" ht="14.25">
      <c r="B281" s="642"/>
      <c r="C281" s="753"/>
      <c r="D281" s="753"/>
      <c r="E281" s="753"/>
      <c r="F281" s="25"/>
      <c r="G281" s="25"/>
      <c r="H281" s="25"/>
      <c r="I281" s="25"/>
      <c r="J281" s="25"/>
    </row>
    <row r="282" spans="2:10" ht="14.25">
      <c r="B282" s="642"/>
      <c r="C282" s="753"/>
      <c r="D282" s="753"/>
      <c r="E282" s="753"/>
      <c r="F282" s="25"/>
      <c r="G282" s="25"/>
      <c r="H282" s="25"/>
      <c r="I282" s="25"/>
      <c r="J282" s="25"/>
    </row>
    <row r="283" spans="1:11" ht="15.75" customHeight="1">
      <c r="A283" s="1595" t="s">
        <v>1409</v>
      </c>
      <c r="B283" s="1595"/>
      <c r="C283" s="1595"/>
      <c r="D283" s="1595"/>
      <c r="E283" s="1595"/>
      <c r="F283" s="1355"/>
      <c r="G283" s="1355"/>
      <c r="H283" s="1355"/>
      <c r="I283" s="1353"/>
      <c r="J283" s="1353"/>
      <c r="K283" s="1353"/>
    </row>
    <row r="284" spans="1:11" ht="15.75">
      <c r="A284" s="1596" t="s">
        <v>1410</v>
      </c>
      <c r="B284" s="1596"/>
      <c r="C284" s="1596"/>
      <c r="D284" s="1596"/>
      <c r="E284" s="1596"/>
      <c r="F284" s="1354"/>
      <c r="G284" s="1354"/>
      <c r="H284" s="1354"/>
      <c r="I284" s="1354"/>
      <c r="J284" s="1354"/>
      <c r="K284" s="1354"/>
    </row>
    <row r="285" spans="2:10" ht="15.75" thickBot="1">
      <c r="B285" s="399"/>
      <c r="C285" s="399"/>
      <c r="D285" s="399"/>
      <c r="E285" s="399" t="s">
        <v>459</v>
      </c>
      <c r="F285" s="25"/>
      <c r="G285" s="25"/>
      <c r="H285" s="25"/>
      <c r="I285" s="25"/>
      <c r="J285" s="25"/>
    </row>
    <row r="286" spans="1:10" ht="27" thickBot="1">
      <c r="A286" s="1134" t="s">
        <v>1148</v>
      </c>
      <c r="B286" s="410" t="s">
        <v>607</v>
      </c>
      <c r="C286" s="1177">
        <v>2011</v>
      </c>
      <c r="D286" s="1177">
        <v>2012</v>
      </c>
      <c r="E286" s="1175" t="s">
        <v>21</v>
      </c>
      <c r="F286" s="25"/>
      <c r="G286" s="25"/>
      <c r="H286" s="25"/>
      <c r="I286" s="25"/>
      <c r="J286" s="25"/>
    </row>
    <row r="287" spans="1:10" ht="13.5" thickBot="1">
      <c r="A287" s="1064" t="s">
        <v>1149</v>
      </c>
      <c r="B287" s="1028" t="s">
        <v>1150</v>
      </c>
      <c r="C287" s="1034" t="s">
        <v>1151</v>
      </c>
      <c r="D287" s="1034" t="s">
        <v>1152</v>
      </c>
      <c r="E287" s="1016" t="s">
        <v>1172</v>
      </c>
      <c r="F287" s="25"/>
      <c r="G287" s="25"/>
      <c r="H287" s="25"/>
      <c r="I287" s="25"/>
      <c r="J287" s="25"/>
    </row>
    <row r="288" spans="1:10" ht="15">
      <c r="A288" s="1086" t="s">
        <v>1153</v>
      </c>
      <c r="B288" s="411" t="s">
        <v>608</v>
      </c>
      <c r="C288" s="1357">
        <v>83</v>
      </c>
      <c r="D288" s="1357"/>
      <c r="E288" s="1179">
        <f aca="true" t="shared" si="11" ref="E288:E293">SUM(C288:D288)</f>
        <v>83</v>
      </c>
      <c r="F288" s="25"/>
      <c r="G288" s="25"/>
      <c r="H288" s="25"/>
      <c r="I288" s="25"/>
      <c r="J288" s="25"/>
    </row>
    <row r="289" spans="1:10" ht="15">
      <c r="A289" s="950" t="s">
        <v>1154</v>
      </c>
      <c r="B289" s="412" t="s">
        <v>1404</v>
      </c>
      <c r="C289" s="1181">
        <v>0</v>
      </c>
      <c r="D289" s="1181"/>
      <c r="E289" s="1176">
        <f t="shared" si="11"/>
        <v>0</v>
      </c>
      <c r="F289" s="25"/>
      <c r="G289" s="25"/>
      <c r="H289" s="25"/>
      <c r="I289" s="25"/>
      <c r="J289" s="25"/>
    </row>
    <row r="290" spans="1:10" ht="15">
      <c r="A290" s="939" t="s">
        <v>1155</v>
      </c>
      <c r="B290" s="411" t="s">
        <v>609</v>
      </c>
      <c r="C290" s="1181">
        <f>26358+11577</f>
        <v>37935</v>
      </c>
      <c r="D290" s="1178"/>
      <c r="E290" s="1176">
        <f t="shared" si="11"/>
        <v>37935</v>
      </c>
      <c r="F290" s="25"/>
      <c r="G290" s="25"/>
      <c r="H290" s="25"/>
      <c r="I290" s="25"/>
      <c r="J290" s="25"/>
    </row>
    <row r="291" spans="1:10" ht="15">
      <c r="A291" s="939" t="s">
        <v>1156</v>
      </c>
      <c r="B291" s="413" t="s">
        <v>610</v>
      </c>
      <c r="C291" s="1181">
        <v>0</v>
      </c>
      <c r="D291" s="1181"/>
      <c r="E291" s="1176">
        <f t="shared" si="11"/>
        <v>0</v>
      </c>
      <c r="F291" s="25"/>
      <c r="G291" s="25"/>
      <c r="H291" s="25"/>
      <c r="I291" s="25"/>
      <c r="J291" s="25"/>
    </row>
    <row r="292" spans="1:10" ht="15">
      <c r="A292" s="939" t="s">
        <v>1157</v>
      </c>
      <c r="B292" s="414" t="s">
        <v>594</v>
      </c>
      <c r="C292" s="1178">
        <v>0</v>
      </c>
      <c r="D292" s="1178"/>
      <c r="E292" s="1176">
        <f t="shared" si="11"/>
        <v>0</v>
      </c>
      <c r="F292" s="25"/>
      <c r="G292" s="25"/>
      <c r="H292" s="25"/>
      <c r="I292" s="25"/>
      <c r="J292" s="25"/>
    </row>
    <row r="293" spans="1:10" ht="15.75" thickBot="1">
      <c r="A293" s="889" t="s">
        <v>1158</v>
      </c>
      <c r="B293" s="413" t="s">
        <v>611</v>
      </c>
      <c r="C293" s="1181">
        <v>0</v>
      </c>
      <c r="D293" s="1181"/>
      <c r="E293" s="1176">
        <f t="shared" si="11"/>
        <v>0</v>
      </c>
      <c r="F293" s="25"/>
      <c r="G293" s="25"/>
      <c r="H293" s="25"/>
      <c r="I293" s="25"/>
      <c r="J293" s="25"/>
    </row>
    <row r="294" spans="1:10" ht="15" thickBot="1">
      <c r="A294" s="841" t="s">
        <v>1159</v>
      </c>
      <c r="B294" s="408" t="s">
        <v>612</v>
      </c>
      <c r="C294" s="1356">
        <f>SUM(C288:C293)</f>
        <v>38018</v>
      </c>
      <c r="D294" s="1356">
        <f>SUM(D288:D293)</f>
        <v>0</v>
      </c>
      <c r="E294" s="1180">
        <f>SUM(E288:E293)</f>
        <v>38018</v>
      </c>
      <c r="F294" s="25"/>
      <c r="G294" s="25"/>
      <c r="H294" s="25"/>
      <c r="I294" s="25"/>
      <c r="J294" s="25"/>
    </row>
    <row r="295" spans="1:10" ht="15" thickBot="1">
      <c r="A295" s="944" t="s">
        <v>1160</v>
      </c>
      <c r="B295" s="152"/>
      <c r="C295" s="152"/>
      <c r="D295" s="152"/>
      <c r="E295" s="1262"/>
      <c r="F295" s="25"/>
      <c r="G295" s="25"/>
      <c r="H295" s="25"/>
      <c r="I295" s="25"/>
      <c r="J295" s="25"/>
    </row>
    <row r="296" spans="1:10" ht="15.75" thickBot="1">
      <c r="A296" s="841" t="s">
        <v>1161</v>
      </c>
      <c r="B296" s="410" t="s">
        <v>613</v>
      </c>
      <c r="C296" s="1177">
        <v>2011</v>
      </c>
      <c r="D296" s="1177">
        <v>2012</v>
      </c>
      <c r="E296" s="1175" t="s">
        <v>71</v>
      </c>
      <c r="F296" s="25"/>
      <c r="G296" s="25"/>
      <c r="H296" s="25"/>
      <c r="I296" s="25"/>
      <c r="J296" s="25"/>
    </row>
    <row r="297" spans="1:10" ht="15.75">
      <c r="A297" s="904" t="s">
        <v>1162</v>
      </c>
      <c r="B297" s="759" t="s">
        <v>745</v>
      </c>
      <c r="C297" s="1357">
        <v>14111</v>
      </c>
      <c r="D297" s="1178"/>
      <c r="E297" s="1179">
        <f>SUM(C297:D297)</f>
        <v>14111</v>
      </c>
      <c r="F297" s="25"/>
      <c r="G297" s="25"/>
      <c r="H297" s="25"/>
      <c r="I297" s="25"/>
      <c r="J297" s="25"/>
    </row>
    <row r="298" spans="1:10" ht="15.75">
      <c r="A298" s="883" t="s">
        <v>1163</v>
      </c>
      <c r="B298" s="760" t="s">
        <v>746</v>
      </c>
      <c r="C298" s="1181">
        <v>4979</v>
      </c>
      <c r="D298" s="1181"/>
      <c r="E298" s="1176">
        <f>SUM(C298:D298)</f>
        <v>4979</v>
      </c>
      <c r="F298" s="25"/>
      <c r="G298" s="25"/>
      <c r="H298" s="25"/>
      <c r="I298" s="25"/>
      <c r="J298" s="25"/>
    </row>
    <row r="299" spans="1:10" ht="15.75">
      <c r="A299" s="883" t="s">
        <v>1164</v>
      </c>
      <c r="B299" s="760" t="s">
        <v>747</v>
      </c>
      <c r="C299" s="1181">
        <v>18590</v>
      </c>
      <c r="D299" s="1181"/>
      <c r="E299" s="1176">
        <f>SUM(C299:D299)</f>
        <v>18590</v>
      </c>
      <c r="F299" s="25"/>
      <c r="G299" s="25"/>
      <c r="H299" s="25"/>
      <c r="I299" s="25"/>
      <c r="J299" s="25"/>
    </row>
    <row r="300" spans="1:10" ht="15.75">
      <c r="A300" s="883" t="s">
        <v>1165</v>
      </c>
      <c r="B300" s="760" t="s">
        <v>748</v>
      </c>
      <c r="C300" s="1178">
        <f>'33_sz_ melléklet'!C96</f>
        <v>338</v>
      </c>
      <c r="D300" s="1181"/>
      <c r="E300" s="1176">
        <f>SUM(C300:D300)</f>
        <v>338</v>
      </c>
      <c r="F300" s="25"/>
      <c r="G300" s="25"/>
      <c r="H300" s="25"/>
      <c r="I300" s="25"/>
      <c r="J300" s="25"/>
    </row>
    <row r="301" spans="1:10" ht="16.5" thickBot="1">
      <c r="A301" s="908" t="s">
        <v>1166</v>
      </c>
      <c r="B301" s="760" t="s">
        <v>749</v>
      </c>
      <c r="C301" s="1358">
        <v>0</v>
      </c>
      <c r="D301" s="1181"/>
      <c r="E301" s="1176">
        <f>SUM(C301:D301)</f>
        <v>0</v>
      </c>
      <c r="F301" s="25"/>
      <c r="G301" s="25"/>
      <c r="H301" s="25"/>
      <c r="I301" s="25"/>
      <c r="J301" s="25"/>
    </row>
    <row r="302" spans="1:10" ht="15" thickBot="1">
      <c r="A302" s="841" t="s">
        <v>1167</v>
      </c>
      <c r="B302" s="415" t="s">
        <v>617</v>
      </c>
      <c r="C302" s="1356">
        <f>SUM(C297:C301)</f>
        <v>38018</v>
      </c>
      <c r="D302" s="1356">
        <f>SUM(D297:D301)</f>
        <v>0</v>
      </c>
      <c r="E302" s="1180">
        <f>SUM(E297:E301)</f>
        <v>38018</v>
      </c>
      <c r="F302" s="25"/>
      <c r="G302" s="25"/>
      <c r="H302" s="25"/>
      <c r="I302" s="25"/>
      <c r="J302" s="25"/>
    </row>
    <row r="303" spans="2:10" ht="14.25">
      <c r="B303" s="642"/>
      <c r="C303" s="753"/>
      <c r="D303" s="753"/>
      <c r="E303" s="753"/>
      <c r="F303" s="25"/>
      <c r="G303" s="25"/>
      <c r="H303" s="25"/>
      <c r="I303" s="25"/>
      <c r="J303" s="25"/>
    </row>
    <row r="304" spans="2:10" ht="14.25">
      <c r="B304" s="642"/>
      <c r="C304" s="753"/>
      <c r="D304" s="753"/>
      <c r="E304" s="753"/>
      <c r="F304" s="25"/>
      <c r="G304" s="25"/>
      <c r="H304" s="25"/>
      <c r="I304" s="25"/>
      <c r="J304" s="25"/>
    </row>
    <row r="305" spans="2:10" ht="14.25">
      <c r="B305" s="642"/>
      <c r="C305" s="753"/>
      <c r="D305" s="753"/>
      <c r="E305" s="753"/>
      <c r="F305" s="25"/>
      <c r="G305" s="25"/>
      <c r="H305" s="25"/>
      <c r="I305" s="25"/>
      <c r="J305" s="25"/>
    </row>
    <row r="306" spans="2:10" ht="14.25">
      <c r="B306" s="642"/>
      <c r="C306" s="753"/>
      <c r="D306" s="753"/>
      <c r="E306" s="753"/>
      <c r="F306" s="25"/>
      <c r="G306" s="25"/>
      <c r="H306" s="25"/>
      <c r="I306" s="25"/>
      <c r="J306" s="25"/>
    </row>
    <row r="307" spans="2:10" ht="14.25">
      <c r="B307" s="642"/>
      <c r="C307" s="753"/>
      <c r="D307" s="753"/>
      <c r="E307" s="753"/>
      <c r="F307" s="25"/>
      <c r="G307" s="25"/>
      <c r="H307" s="25"/>
      <c r="I307" s="25"/>
      <c r="J307" s="25"/>
    </row>
    <row r="308" spans="1:10" ht="12.75">
      <c r="A308" s="1547" t="s">
        <v>1328</v>
      </c>
      <c r="B308" s="1547"/>
      <c r="C308" s="1547"/>
      <c r="D308" s="1547"/>
      <c r="E308" s="1547"/>
      <c r="F308" s="25"/>
      <c r="G308" s="25"/>
      <c r="H308" s="25"/>
      <c r="I308" s="25"/>
      <c r="J308" s="25"/>
    </row>
    <row r="309" spans="1:10" ht="12.75">
      <c r="A309" s="1562">
        <v>7</v>
      </c>
      <c r="B309" s="1562"/>
      <c r="C309" s="1562"/>
      <c r="D309" s="1562"/>
      <c r="E309" s="1562"/>
      <c r="F309" s="25"/>
      <c r="G309" s="25"/>
      <c r="H309" s="25"/>
      <c r="I309" s="25"/>
      <c r="J309" s="25"/>
    </row>
    <row r="310" spans="2:10" ht="14.25">
      <c r="B310" s="642"/>
      <c r="C310" s="753"/>
      <c r="D310" s="753"/>
      <c r="E310" s="753"/>
      <c r="F310" s="25"/>
      <c r="G310" s="25"/>
      <c r="H310" s="25"/>
      <c r="I310" s="25"/>
      <c r="J310" s="25"/>
    </row>
    <row r="311" spans="1:10" ht="27" customHeight="1">
      <c r="A311" s="1599" t="s">
        <v>1399</v>
      </c>
      <c r="B311" s="1600"/>
      <c r="C311" s="1600"/>
      <c r="D311" s="1600"/>
      <c r="E311" s="1600"/>
      <c r="F311" s="25"/>
      <c r="G311" s="25"/>
      <c r="H311" s="25"/>
      <c r="I311" s="25"/>
      <c r="J311" s="25"/>
    </row>
    <row r="312" spans="1:10" ht="15.75">
      <c r="A312" s="1601" t="s">
        <v>1400</v>
      </c>
      <c r="B312" s="1602"/>
      <c r="C312" s="1602"/>
      <c r="D312" s="1602"/>
      <c r="E312" s="1602"/>
      <c r="F312" s="25"/>
      <c r="G312" s="25"/>
      <c r="H312" s="25"/>
      <c r="I312" s="25"/>
      <c r="J312" s="25"/>
    </row>
    <row r="313" spans="2:10" ht="15.75" thickBot="1">
      <c r="B313" s="399"/>
      <c r="C313" s="399"/>
      <c r="D313" s="399"/>
      <c r="E313" s="399" t="s">
        <v>459</v>
      </c>
      <c r="F313" s="25"/>
      <c r="G313" s="25"/>
      <c r="H313" s="25"/>
      <c r="I313" s="25"/>
      <c r="J313" s="25"/>
    </row>
    <row r="314" spans="1:10" ht="27" thickBot="1">
      <c r="A314" s="1134" t="s">
        <v>1148</v>
      </c>
      <c r="B314" s="410" t="s">
        <v>607</v>
      </c>
      <c r="C314" s="1177">
        <v>2011</v>
      </c>
      <c r="D314" s="1177">
        <v>2012</v>
      </c>
      <c r="E314" s="1175" t="s">
        <v>21</v>
      </c>
      <c r="F314" s="25"/>
      <c r="G314" s="25"/>
      <c r="H314" s="25"/>
      <c r="I314" s="25"/>
      <c r="J314" s="25"/>
    </row>
    <row r="315" spans="1:10" ht="13.5" thickBot="1">
      <c r="A315" s="1064" t="s">
        <v>1149</v>
      </c>
      <c r="B315" s="1028" t="s">
        <v>1150</v>
      </c>
      <c r="C315" s="1034" t="s">
        <v>1151</v>
      </c>
      <c r="D315" s="1034" t="s">
        <v>1152</v>
      </c>
      <c r="E315" s="1016" t="s">
        <v>1172</v>
      </c>
      <c r="F315" s="25"/>
      <c r="G315" s="25"/>
      <c r="H315" s="25"/>
      <c r="I315" s="25"/>
      <c r="J315" s="25"/>
    </row>
    <row r="316" spans="1:10" ht="15">
      <c r="A316" s="1086" t="s">
        <v>1153</v>
      </c>
      <c r="B316" s="411" t="s">
        <v>608</v>
      </c>
      <c r="C316" s="1357">
        <v>0</v>
      </c>
      <c r="D316" s="1357"/>
      <c r="E316" s="1179">
        <f aca="true" t="shared" si="12" ref="E316:E321">SUM(C316:D316)</f>
        <v>0</v>
      </c>
      <c r="F316" s="25"/>
      <c r="G316" s="25"/>
      <c r="H316" s="25"/>
      <c r="I316" s="25"/>
      <c r="J316" s="25"/>
    </row>
    <row r="317" spans="1:10" ht="15">
      <c r="A317" s="950" t="s">
        <v>1154</v>
      </c>
      <c r="B317" s="412" t="s">
        <v>1404</v>
      </c>
      <c r="C317" s="1181">
        <v>0</v>
      </c>
      <c r="D317" s="1181"/>
      <c r="E317" s="1176">
        <f t="shared" si="12"/>
        <v>0</v>
      </c>
      <c r="F317" s="25"/>
      <c r="G317" s="25"/>
      <c r="H317" s="25"/>
      <c r="I317" s="25"/>
      <c r="J317" s="25"/>
    </row>
    <row r="318" spans="1:10" ht="15">
      <c r="A318" s="939" t="s">
        <v>1155</v>
      </c>
      <c r="B318" s="411" t="s">
        <v>609</v>
      </c>
      <c r="C318" s="1181">
        <v>2544</v>
      </c>
      <c r="D318" s="1178"/>
      <c r="E318" s="1176">
        <f t="shared" si="12"/>
        <v>2544</v>
      </c>
      <c r="F318" s="25"/>
      <c r="G318" s="25"/>
      <c r="H318" s="25"/>
      <c r="I318" s="25"/>
      <c r="J318" s="25"/>
    </row>
    <row r="319" spans="1:10" ht="15">
      <c r="A319" s="939" t="s">
        <v>1156</v>
      </c>
      <c r="B319" s="413" t="s">
        <v>610</v>
      </c>
      <c r="C319" s="1181">
        <v>0</v>
      </c>
      <c r="D319" s="1181"/>
      <c r="E319" s="1176">
        <f t="shared" si="12"/>
        <v>0</v>
      </c>
      <c r="F319" s="25"/>
      <c r="G319" s="25"/>
      <c r="H319" s="25"/>
      <c r="I319" s="25"/>
      <c r="J319" s="25"/>
    </row>
    <row r="320" spans="1:10" ht="15">
      <c r="A320" s="939" t="s">
        <v>1157</v>
      </c>
      <c r="B320" s="414" t="s">
        <v>594</v>
      </c>
      <c r="C320" s="1178">
        <v>0</v>
      </c>
      <c r="D320" s="1178"/>
      <c r="E320" s="1176">
        <f t="shared" si="12"/>
        <v>0</v>
      </c>
      <c r="F320" s="25"/>
      <c r="G320" s="25"/>
      <c r="H320" s="25"/>
      <c r="I320" s="25"/>
      <c r="J320" s="25"/>
    </row>
    <row r="321" spans="1:10" ht="15.75" thickBot="1">
      <c r="A321" s="889" t="s">
        <v>1158</v>
      </c>
      <c r="B321" s="413" t="s">
        <v>611</v>
      </c>
      <c r="C321" s="1181">
        <v>0</v>
      </c>
      <c r="D321" s="1181"/>
      <c r="E321" s="1176">
        <f t="shared" si="12"/>
        <v>0</v>
      </c>
      <c r="F321" s="25"/>
      <c r="G321" s="25"/>
      <c r="H321" s="25"/>
      <c r="I321" s="25"/>
      <c r="J321" s="25"/>
    </row>
    <row r="322" spans="1:10" ht="15" thickBot="1">
      <c r="A322" s="841" t="s">
        <v>1159</v>
      </c>
      <c r="B322" s="408" t="s">
        <v>612</v>
      </c>
      <c r="C322" s="1356">
        <f>SUM(C316:C321)</f>
        <v>2544</v>
      </c>
      <c r="D322" s="1356">
        <f>SUM(D316:D321)</f>
        <v>0</v>
      </c>
      <c r="E322" s="1180">
        <f>SUM(E316:E321)</f>
        <v>2544</v>
      </c>
      <c r="F322" s="25"/>
      <c r="G322" s="25"/>
      <c r="H322" s="25"/>
      <c r="I322" s="25"/>
      <c r="J322" s="25"/>
    </row>
    <row r="323" spans="1:10" ht="15" thickBot="1">
      <c r="A323" s="944" t="s">
        <v>1160</v>
      </c>
      <c r="B323" s="152"/>
      <c r="C323" s="152"/>
      <c r="D323" s="152"/>
      <c r="E323" s="1262"/>
      <c r="F323" s="25"/>
      <c r="G323" s="25"/>
      <c r="H323" s="25"/>
      <c r="I323" s="25"/>
      <c r="J323" s="25"/>
    </row>
    <row r="324" spans="1:10" ht="15.75" thickBot="1">
      <c r="A324" s="841" t="s">
        <v>1161</v>
      </c>
      <c r="B324" s="410" t="s">
        <v>613</v>
      </c>
      <c r="C324" s="1177">
        <v>2011</v>
      </c>
      <c r="D324" s="1177">
        <v>2012</v>
      </c>
      <c r="E324" s="1175" t="s">
        <v>71</v>
      </c>
      <c r="F324" s="25"/>
      <c r="G324" s="25"/>
      <c r="H324" s="25"/>
      <c r="I324" s="25"/>
      <c r="J324" s="25"/>
    </row>
    <row r="325" spans="1:10" ht="15.75">
      <c r="A325" s="904" t="s">
        <v>1162</v>
      </c>
      <c r="B325" s="759" t="s">
        <v>745</v>
      </c>
      <c r="C325" s="1357">
        <v>2114</v>
      </c>
      <c r="D325" s="1178"/>
      <c r="E325" s="1179">
        <f>SUM(C325:D325)</f>
        <v>2114</v>
      </c>
      <c r="F325" s="25"/>
      <c r="G325" s="25"/>
      <c r="H325" s="25"/>
      <c r="I325" s="25"/>
      <c r="J325" s="25"/>
    </row>
    <row r="326" spans="1:10" ht="15.75">
      <c r="A326" s="883" t="s">
        <v>1163</v>
      </c>
      <c r="B326" s="760" t="s">
        <v>746</v>
      </c>
      <c r="C326" s="1181">
        <v>187</v>
      </c>
      <c r="D326" s="1181"/>
      <c r="E326" s="1176">
        <f>SUM(C326:D326)</f>
        <v>187</v>
      </c>
      <c r="F326" s="25"/>
      <c r="G326" s="25"/>
      <c r="H326" s="25"/>
      <c r="I326" s="25"/>
      <c r="J326" s="25"/>
    </row>
    <row r="327" spans="1:10" ht="15.75">
      <c r="A327" s="883" t="s">
        <v>1164</v>
      </c>
      <c r="B327" s="760" t="s">
        <v>747</v>
      </c>
      <c r="C327" s="1181">
        <v>243</v>
      </c>
      <c r="D327" s="1181"/>
      <c r="E327" s="1176">
        <f>SUM(C327:D327)</f>
        <v>243</v>
      </c>
      <c r="F327" s="25"/>
      <c r="G327" s="25"/>
      <c r="H327" s="25"/>
      <c r="I327" s="25"/>
      <c r="J327" s="25"/>
    </row>
    <row r="328" spans="1:10" ht="15.75">
      <c r="A328" s="883" t="s">
        <v>1165</v>
      </c>
      <c r="B328" s="760" t="s">
        <v>748</v>
      </c>
      <c r="C328" s="1178">
        <v>0</v>
      </c>
      <c r="D328" s="1181"/>
      <c r="E328" s="1176">
        <f>SUM(C328:D328)</f>
        <v>0</v>
      </c>
      <c r="F328" s="25"/>
      <c r="G328" s="25"/>
      <c r="H328" s="25"/>
      <c r="I328" s="25"/>
      <c r="J328" s="25"/>
    </row>
    <row r="329" spans="1:10" ht="16.5" thickBot="1">
      <c r="A329" s="908" t="s">
        <v>1166</v>
      </c>
      <c r="B329" s="760" t="s">
        <v>749</v>
      </c>
      <c r="C329" s="1358">
        <v>0</v>
      </c>
      <c r="D329" s="1181"/>
      <c r="E329" s="1176">
        <f>SUM(C329:D329)</f>
        <v>0</v>
      </c>
      <c r="F329" s="25"/>
      <c r="G329" s="25"/>
      <c r="H329" s="25"/>
      <c r="I329" s="25"/>
      <c r="J329" s="25"/>
    </row>
    <row r="330" spans="1:10" ht="15" thickBot="1">
      <c r="A330" s="841" t="s">
        <v>1167</v>
      </c>
      <c r="B330" s="415" t="s">
        <v>617</v>
      </c>
      <c r="C330" s="1356">
        <f>SUM(C325:C329)</f>
        <v>2544</v>
      </c>
      <c r="D330" s="1356">
        <f>SUM(D325:D329)</f>
        <v>0</v>
      </c>
      <c r="E330" s="1180">
        <f>SUM(E325:E329)</f>
        <v>2544</v>
      </c>
      <c r="F330" s="25"/>
      <c r="G330" s="25"/>
      <c r="H330" s="25"/>
      <c r="I330" s="25"/>
      <c r="J330" s="25"/>
    </row>
    <row r="331" spans="1:10" ht="14.25">
      <c r="A331" s="839"/>
      <c r="B331" s="642"/>
      <c r="C331" s="753"/>
      <c r="D331" s="753"/>
      <c r="E331" s="753"/>
      <c r="F331" s="25"/>
      <c r="G331" s="25"/>
      <c r="H331" s="25"/>
      <c r="I331" s="25"/>
      <c r="J331" s="25"/>
    </row>
    <row r="332" spans="1:10" ht="14.25">
      <c r="A332" s="839"/>
      <c r="B332" s="642"/>
      <c r="C332" s="753"/>
      <c r="D332" s="753"/>
      <c r="E332" s="753"/>
      <c r="F332" s="25"/>
      <c r="G332" s="25"/>
      <c r="H332" s="25"/>
      <c r="I332" s="25"/>
      <c r="J332" s="25"/>
    </row>
    <row r="333" spans="1:10" ht="14.25">
      <c r="A333" s="839"/>
      <c r="B333" s="642"/>
      <c r="C333" s="753"/>
      <c r="D333" s="753"/>
      <c r="E333" s="753"/>
      <c r="F333" s="25"/>
      <c r="G333" s="25"/>
      <c r="H333" s="25"/>
      <c r="I333" s="25"/>
      <c r="J333" s="25"/>
    </row>
    <row r="334" spans="1:10" ht="14.25">
      <c r="A334" s="839"/>
      <c r="B334" s="642"/>
      <c r="C334" s="753"/>
      <c r="D334" s="753"/>
      <c r="E334" s="753"/>
      <c r="F334" s="25"/>
      <c r="G334" s="25"/>
      <c r="H334" s="25"/>
      <c r="I334" s="25"/>
      <c r="J334" s="25"/>
    </row>
    <row r="335" spans="1:11" ht="30.75" customHeight="1">
      <c r="A335" s="1597" t="s">
        <v>1440</v>
      </c>
      <c r="B335" s="1597"/>
      <c r="C335" s="1597"/>
      <c r="D335" s="1597"/>
      <c r="E335" s="1597"/>
      <c r="F335" s="622"/>
      <c r="G335" s="622"/>
      <c r="H335" s="622"/>
      <c r="I335" s="622"/>
      <c r="J335" s="622"/>
      <c r="K335" s="622"/>
    </row>
    <row r="336" spans="1:11" ht="13.5" customHeight="1">
      <c r="A336" s="1597" t="s">
        <v>1441</v>
      </c>
      <c r="B336" s="1597"/>
      <c r="C336" s="1597"/>
      <c r="D336" s="1597"/>
      <c r="E336" s="1597"/>
      <c r="F336" s="750"/>
      <c r="G336" s="750"/>
      <c r="H336" s="750"/>
      <c r="I336" s="750"/>
      <c r="J336" s="750"/>
      <c r="K336" s="750"/>
    </row>
    <row r="337" spans="2:10" ht="15.75" thickBot="1">
      <c r="B337" s="399"/>
      <c r="C337" s="399"/>
      <c r="D337" s="399"/>
      <c r="E337" s="399" t="s">
        <v>459</v>
      </c>
      <c r="F337" s="25"/>
      <c r="G337" s="25"/>
      <c r="H337" s="25"/>
      <c r="I337" s="25"/>
      <c r="J337" s="25"/>
    </row>
    <row r="338" spans="1:10" ht="27" thickBot="1">
      <c r="A338" s="1134" t="s">
        <v>1148</v>
      </c>
      <c r="B338" s="410" t="s">
        <v>607</v>
      </c>
      <c r="C338" s="1177">
        <v>2011</v>
      </c>
      <c r="D338" s="1177">
        <v>2012</v>
      </c>
      <c r="E338" s="1175" t="s">
        <v>21</v>
      </c>
      <c r="F338" s="25"/>
      <c r="G338" s="25"/>
      <c r="H338" s="25"/>
      <c r="I338" s="25"/>
      <c r="J338" s="25"/>
    </row>
    <row r="339" spans="1:10" ht="13.5" thickBot="1">
      <c r="A339" s="1064" t="s">
        <v>1149</v>
      </c>
      <c r="B339" s="1028" t="s">
        <v>1150</v>
      </c>
      <c r="C339" s="1034" t="s">
        <v>1151</v>
      </c>
      <c r="D339" s="1034" t="s">
        <v>1152</v>
      </c>
      <c r="E339" s="1016" t="s">
        <v>1172</v>
      </c>
      <c r="F339" s="25"/>
      <c r="G339" s="25"/>
      <c r="H339" s="25"/>
      <c r="I339" s="25"/>
      <c r="J339" s="25"/>
    </row>
    <row r="340" spans="1:10" ht="15">
      <c r="A340" s="1086" t="s">
        <v>1153</v>
      </c>
      <c r="B340" s="411" t="s">
        <v>608</v>
      </c>
      <c r="C340" s="1357">
        <v>5343</v>
      </c>
      <c r="D340" s="1357"/>
      <c r="E340" s="1179">
        <f aca="true" t="shared" si="13" ref="E340:E345">SUM(C340:D340)</f>
        <v>5343</v>
      </c>
      <c r="F340" s="25"/>
      <c r="G340" s="25"/>
      <c r="H340" s="25"/>
      <c r="I340" s="25"/>
      <c r="J340" s="25"/>
    </row>
    <row r="341" spans="1:10" ht="15">
      <c r="A341" s="950" t="s">
        <v>1154</v>
      </c>
      <c r="B341" s="412" t="s">
        <v>1404</v>
      </c>
      <c r="C341" s="1181">
        <v>0</v>
      </c>
      <c r="D341" s="1181"/>
      <c r="E341" s="1176">
        <f t="shared" si="13"/>
        <v>0</v>
      </c>
      <c r="F341" s="25"/>
      <c r="G341" s="25"/>
      <c r="H341" s="25"/>
      <c r="I341" s="25"/>
      <c r="J341" s="25"/>
    </row>
    <row r="342" spans="1:10" ht="15">
      <c r="A342" s="939" t="s">
        <v>1155</v>
      </c>
      <c r="B342" s="411" t="s">
        <v>609</v>
      </c>
      <c r="C342" s="1181">
        <v>2952</v>
      </c>
      <c r="D342" s="1178"/>
      <c r="E342" s="1176">
        <f t="shared" si="13"/>
        <v>2952</v>
      </c>
      <c r="F342" s="25"/>
      <c r="G342" s="25"/>
      <c r="H342" s="25"/>
      <c r="I342" s="25"/>
      <c r="J342" s="25"/>
    </row>
    <row r="343" spans="1:10" ht="15">
      <c r="A343" s="939" t="s">
        <v>1156</v>
      </c>
      <c r="B343" s="413" t="s">
        <v>610</v>
      </c>
      <c r="C343" s="1181">
        <v>0</v>
      </c>
      <c r="D343" s="1181"/>
      <c r="E343" s="1176">
        <f t="shared" si="13"/>
        <v>0</v>
      </c>
      <c r="F343" s="25"/>
      <c r="G343" s="25"/>
      <c r="H343" s="25"/>
      <c r="I343" s="25"/>
      <c r="J343" s="25"/>
    </row>
    <row r="344" spans="1:10" ht="15">
      <c r="A344" s="939" t="s">
        <v>1157</v>
      </c>
      <c r="B344" s="414" t="s">
        <v>594</v>
      </c>
      <c r="C344" s="1178">
        <v>0</v>
      </c>
      <c r="D344" s="1178"/>
      <c r="E344" s="1176">
        <f t="shared" si="13"/>
        <v>0</v>
      </c>
      <c r="F344" s="25"/>
      <c r="G344" s="25"/>
      <c r="H344" s="25"/>
      <c r="I344" s="25"/>
      <c r="J344" s="25"/>
    </row>
    <row r="345" spans="1:10" ht="15.75" thickBot="1">
      <c r="A345" s="889" t="s">
        <v>1158</v>
      </c>
      <c r="B345" s="413" t="s">
        <v>611</v>
      </c>
      <c r="C345" s="1181">
        <v>0</v>
      </c>
      <c r="D345" s="1181"/>
      <c r="E345" s="1176">
        <f t="shared" si="13"/>
        <v>0</v>
      </c>
      <c r="F345" s="25"/>
      <c r="G345" s="25"/>
      <c r="H345" s="25"/>
      <c r="I345" s="25"/>
      <c r="J345" s="25"/>
    </row>
    <row r="346" spans="1:10" ht="15" thickBot="1">
      <c r="A346" s="841" t="s">
        <v>1159</v>
      </c>
      <c r="B346" s="408" t="s">
        <v>612</v>
      </c>
      <c r="C346" s="1356">
        <f>SUM(C340:C345)</f>
        <v>8295</v>
      </c>
      <c r="D346" s="1356">
        <f>SUM(D340:D345)</f>
        <v>0</v>
      </c>
      <c r="E346" s="1180">
        <f>SUM(E340:E345)</f>
        <v>8295</v>
      </c>
      <c r="F346" s="25"/>
      <c r="G346" s="25"/>
      <c r="H346" s="25"/>
      <c r="I346" s="25"/>
      <c r="J346" s="25"/>
    </row>
    <row r="347" spans="1:10" ht="15" thickBot="1">
      <c r="A347" s="944" t="s">
        <v>1160</v>
      </c>
      <c r="B347" s="152"/>
      <c r="C347" s="152"/>
      <c r="D347" s="152"/>
      <c r="E347" s="1262"/>
      <c r="F347" s="25"/>
      <c r="G347" s="25"/>
      <c r="H347" s="25"/>
      <c r="I347" s="25"/>
      <c r="J347" s="25"/>
    </row>
    <row r="348" spans="1:10" ht="15.75" thickBot="1">
      <c r="A348" s="841" t="s">
        <v>1161</v>
      </c>
      <c r="B348" s="410" t="s">
        <v>613</v>
      </c>
      <c r="C348" s="1177">
        <v>2011</v>
      </c>
      <c r="D348" s="1177">
        <v>2012</v>
      </c>
      <c r="E348" s="1175" t="s">
        <v>71</v>
      </c>
      <c r="F348" s="25"/>
      <c r="G348" s="25"/>
      <c r="H348" s="25"/>
      <c r="I348" s="25"/>
      <c r="J348" s="25"/>
    </row>
    <row r="349" spans="1:10" ht="15.75">
      <c r="A349" s="904" t="s">
        <v>1162</v>
      </c>
      <c r="B349" s="759" t="s">
        <v>745</v>
      </c>
      <c r="C349" s="1357">
        <v>3979</v>
      </c>
      <c r="D349" s="1178"/>
      <c r="E349" s="1179">
        <f>SUM(C349:D349)</f>
        <v>3979</v>
      </c>
      <c r="F349" s="25"/>
      <c r="G349" s="25"/>
      <c r="H349" s="25"/>
      <c r="I349" s="25"/>
      <c r="J349" s="25"/>
    </row>
    <row r="350" spans="1:10" ht="15.75">
      <c r="A350" s="883" t="s">
        <v>1163</v>
      </c>
      <c r="B350" s="760" t="s">
        <v>746</v>
      </c>
      <c r="C350" s="1181">
        <v>1167</v>
      </c>
      <c r="D350" s="1181"/>
      <c r="E350" s="1176">
        <f>SUM(C350:D350)</f>
        <v>1167</v>
      </c>
      <c r="F350" s="25"/>
      <c r="G350" s="25"/>
      <c r="H350" s="25"/>
      <c r="I350" s="25"/>
      <c r="J350" s="25"/>
    </row>
    <row r="351" spans="1:10" ht="15.75">
      <c r="A351" s="883" t="s">
        <v>1164</v>
      </c>
      <c r="B351" s="760" t="s">
        <v>747</v>
      </c>
      <c r="C351" s="1181">
        <v>3149</v>
      </c>
      <c r="D351" s="1181"/>
      <c r="E351" s="1176">
        <f>SUM(C351:D351)</f>
        <v>3149</v>
      </c>
      <c r="F351" s="25"/>
      <c r="G351" s="25"/>
      <c r="H351" s="25"/>
      <c r="I351" s="25"/>
      <c r="J351" s="25"/>
    </row>
    <row r="352" spans="1:10" ht="15.75">
      <c r="A352" s="883" t="s">
        <v>1165</v>
      </c>
      <c r="B352" s="760" t="s">
        <v>748</v>
      </c>
      <c r="C352" s="1178">
        <v>0</v>
      </c>
      <c r="D352" s="1181"/>
      <c r="E352" s="1176">
        <f>SUM(C352:D352)</f>
        <v>0</v>
      </c>
      <c r="F352" s="25"/>
      <c r="G352" s="25"/>
      <c r="H352" s="25"/>
      <c r="I352" s="25"/>
      <c r="J352" s="25"/>
    </row>
    <row r="353" spans="1:10" ht="16.5" thickBot="1">
      <c r="A353" s="908" t="s">
        <v>1166</v>
      </c>
      <c r="B353" s="760" t="s">
        <v>749</v>
      </c>
      <c r="C353" s="1358">
        <v>0</v>
      </c>
      <c r="D353" s="1181"/>
      <c r="E353" s="1176">
        <f>SUM(C353:D353)</f>
        <v>0</v>
      </c>
      <c r="F353" s="25"/>
      <c r="G353" s="25"/>
      <c r="H353" s="25"/>
      <c r="I353" s="25"/>
      <c r="J353" s="25"/>
    </row>
    <row r="354" spans="1:10" ht="15" thickBot="1">
      <c r="A354" s="841" t="s">
        <v>1167</v>
      </c>
      <c r="B354" s="415" t="s">
        <v>617</v>
      </c>
      <c r="C354" s="1356">
        <f>SUM(C349:C353)</f>
        <v>8295</v>
      </c>
      <c r="D354" s="1356">
        <f>SUM(D349:D353)</f>
        <v>0</v>
      </c>
      <c r="E354" s="1180">
        <f>SUM(E349:E353)</f>
        <v>8295</v>
      </c>
      <c r="F354" s="25"/>
      <c r="G354" s="25"/>
      <c r="H354" s="25"/>
      <c r="I354" s="25"/>
      <c r="J354" s="25"/>
    </row>
    <row r="355" spans="2:10" ht="14.25">
      <c r="B355" s="642"/>
      <c r="C355" s="753"/>
      <c r="D355" s="753"/>
      <c r="E355" s="753"/>
      <c r="F355" s="25"/>
      <c r="G355" s="25"/>
      <c r="H355" s="25"/>
      <c r="I355" s="25"/>
      <c r="J355" s="25"/>
    </row>
    <row r="356" spans="2:10" ht="14.25">
      <c r="B356" s="642"/>
      <c r="C356" s="753"/>
      <c r="D356" s="753"/>
      <c r="E356" s="753"/>
      <c r="F356" s="25"/>
      <c r="G356" s="25"/>
      <c r="H356" s="25"/>
      <c r="I356" s="25"/>
      <c r="J356" s="25"/>
    </row>
    <row r="357" spans="2:10" ht="14.25">
      <c r="B357" s="642"/>
      <c r="C357" s="753"/>
      <c r="D357" s="753"/>
      <c r="E357" s="753"/>
      <c r="F357" s="25"/>
      <c r="G357" s="25"/>
      <c r="H357" s="25"/>
      <c r="I357" s="25"/>
      <c r="J357" s="25"/>
    </row>
    <row r="358" spans="1:10" ht="12.75">
      <c r="A358" s="1547" t="s">
        <v>1328</v>
      </c>
      <c r="B358" s="1547"/>
      <c r="C358" s="1547"/>
      <c r="D358" s="1547"/>
      <c r="E358" s="1547"/>
      <c r="F358" s="25"/>
      <c r="G358" s="25"/>
      <c r="H358" s="25"/>
      <c r="I358" s="25"/>
      <c r="J358" s="25"/>
    </row>
    <row r="359" spans="1:10" ht="12.75">
      <c r="A359" s="1562">
        <v>8</v>
      </c>
      <c r="B359" s="1562"/>
      <c r="C359" s="1562"/>
      <c r="D359" s="1562"/>
      <c r="E359" s="1562"/>
      <c r="F359" s="25"/>
      <c r="G359" s="25"/>
      <c r="H359" s="25"/>
      <c r="I359" s="25"/>
      <c r="J359" s="25"/>
    </row>
    <row r="360" spans="2:10" ht="14.25">
      <c r="B360" s="642"/>
      <c r="C360" s="753"/>
      <c r="D360" s="753"/>
      <c r="E360" s="753"/>
      <c r="F360" s="25"/>
      <c r="G360" s="25"/>
      <c r="H360" s="25"/>
      <c r="I360" s="25"/>
      <c r="J360" s="25"/>
    </row>
    <row r="361" spans="1:11" ht="13.5" customHeight="1">
      <c r="A361" s="1598" t="s">
        <v>1456</v>
      </c>
      <c r="B361" s="1598"/>
      <c r="C361" s="1598"/>
      <c r="D361" s="1598"/>
      <c r="E361" s="1598"/>
      <c r="F361" s="1354"/>
      <c r="G361" s="1354"/>
      <c r="H361" s="1354"/>
      <c r="I361" s="1353"/>
      <c r="J361" s="1353"/>
      <c r="K361" s="1353"/>
    </row>
    <row r="362" spans="1:11" ht="15.75">
      <c r="A362" s="1400" t="s">
        <v>1442</v>
      </c>
      <c r="B362" s="1354"/>
      <c r="C362" s="1354"/>
      <c r="D362" s="1354"/>
      <c r="E362" s="1354"/>
      <c r="F362" s="1354"/>
      <c r="G362" s="1354"/>
      <c r="H362" s="1354"/>
      <c r="I362" s="1354"/>
      <c r="J362" s="1354"/>
      <c r="K362" s="1354"/>
    </row>
    <row r="363" spans="2:10" ht="15.75" thickBot="1">
      <c r="B363" s="399"/>
      <c r="C363" s="399"/>
      <c r="D363" s="399"/>
      <c r="E363" s="399" t="s">
        <v>459</v>
      </c>
      <c r="F363" s="25"/>
      <c r="G363" s="25"/>
      <c r="H363" s="25"/>
      <c r="I363" s="25"/>
      <c r="J363" s="25"/>
    </row>
    <row r="364" spans="1:10" ht="27" thickBot="1">
      <c r="A364" s="1134" t="s">
        <v>1148</v>
      </c>
      <c r="B364" s="410" t="s">
        <v>607</v>
      </c>
      <c r="C364" s="1177">
        <v>2011</v>
      </c>
      <c r="D364" s="1177">
        <v>2012</v>
      </c>
      <c r="E364" s="1175" t="s">
        <v>21</v>
      </c>
      <c r="F364" s="25"/>
      <c r="G364" s="25"/>
      <c r="H364" s="25"/>
      <c r="I364" s="25"/>
      <c r="J364" s="25"/>
    </row>
    <row r="365" spans="1:10" ht="13.5" thickBot="1">
      <c r="A365" s="1064" t="s">
        <v>1149</v>
      </c>
      <c r="B365" s="1028" t="s">
        <v>1150</v>
      </c>
      <c r="C365" s="1034" t="s">
        <v>1151</v>
      </c>
      <c r="D365" s="1034" t="s">
        <v>1152</v>
      </c>
      <c r="E365" s="1016" t="s">
        <v>1172</v>
      </c>
      <c r="F365" s="25"/>
      <c r="G365" s="25"/>
      <c r="H365" s="25"/>
      <c r="I365" s="25"/>
      <c r="J365" s="25"/>
    </row>
    <row r="366" spans="1:10" ht="15">
      <c r="A366" s="1086" t="s">
        <v>1153</v>
      </c>
      <c r="B366" s="411" t="s">
        <v>608</v>
      </c>
      <c r="C366" s="1357">
        <v>0</v>
      </c>
      <c r="D366" s="1357"/>
      <c r="E366" s="1179">
        <f aca="true" t="shared" si="14" ref="E366:E371">SUM(C366:D366)</f>
        <v>0</v>
      </c>
      <c r="F366" s="25"/>
      <c r="G366" s="25"/>
      <c r="H366" s="25"/>
      <c r="I366" s="25"/>
      <c r="J366" s="25"/>
    </row>
    <row r="367" spans="1:10" ht="15">
      <c r="A367" s="950" t="s">
        <v>1154</v>
      </c>
      <c r="B367" s="412" t="s">
        <v>1404</v>
      </c>
      <c r="C367" s="1181">
        <v>0</v>
      </c>
      <c r="D367" s="1181"/>
      <c r="E367" s="1176">
        <f t="shared" si="14"/>
        <v>0</v>
      </c>
      <c r="F367" s="25"/>
      <c r="G367" s="25"/>
      <c r="H367" s="25"/>
      <c r="I367" s="25"/>
      <c r="J367" s="25"/>
    </row>
    <row r="368" spans="1:10" ht="15">
      <c r="A368" s="939" t="s">
        <v>1155</v>
      </c>
      <c r="B368" s="411" t="s">
        <v>609</v>
      </c>
      <c r="C368" s="1181">
        <v>3821</v>
      </c>
      <c r="D368" s="1178"/>
      <c r="E368" s="1176">
        <f t="shared" si="14"/>
        <v>3821</v>
      </c>
      <c r="F368" s="25"/>
      <c r="G368" s="25"/>
      <c r="H368" s="25"/>
      <c r="I368" s="25"/>
      <c r="J368" s="25"/>
    </row>
    <row r="369" spans="1:10" ht="15">
      <c r="A369" s="939" t="s">
        <v>1156</v>
      </c>
      <c r="B369" s="413" t="s">
        <v>610</v>
      </c>
      <c r="C369" s="1181">
        <v>0</v>
      </c>
      <c r="D369" s="1181"/>
      <c r="E369" s="1176">
        <f t="shared" si="14"/>
        <v>0</v>
      </c>
      <c r="F369" s="25"/>
      <c r="G369" s="25"/>
      <c r="H369" s="25"/>
      <c r="I369" s="25"/>
      <c r="J369" s="25"/>
    </row>
    <row r="370" spans="1:10" ht="15">
      <c r="A370" s="939" t="s">
        <v>1157</v>
      </c>
      <c r="B370" s="414" t="s">
        <v>594</v>
      </c>
      <c r="C370" s="1178">
        <v>0</v>
      </c>
      <c r="D370" s="1178"/>
      <c r="E370" s="1176">
        <f t="shared" si="14"/>
        <v>0</v>
      </c>
      <c r="F370" s="25"/>
      <c r="G370" s="25"/>
      <c r="H370" s="25"/>
      <c r="I370" s="25"/>
      <c r="J370" s="25"/>
    </row>
    <row r="371" spans="1:10" ht="15.75" thickBot="1">
      <c r="A371" s="889" t="s">
        <v>1158</v>
      </c>
      <c r="B371" s="413" t="s">
        <v>611</v>
      </c>
      <c r="C371" s="1181">
        <v>0</v>
      </c>
      <c r="D371" s="1181"/>
      <c r="E371" s="1176">
        <f t="shared" si="14"/>
        <v>0</v>
      </c>
      <c r="F371" s="25"/>
      <c r="G371" s="25"/>
      <c r="H371" s="25"/>
      <c r="I371" s="25"/>
      <c r="J371" s="25"/>
    </row>
    <row r="372" spans="1:10" ht="15" thickBot="1">
      <c r="A372" s="841" t="s">
        <v>1159</v>
      </c>
      <c r="B372" s="408" t="s">
        <v>612</v>
      </c>
      <c r="C372" s="1356">
        <f>SUM(C366:C371)</f>
        <v>3821</v>
      </c>
      <c r="D372" s="1356">
        <f>SUM(D366:D371)</f>
        <v>0</v>
      </c>
      <c r="E372" s="1180">
        <f>SUM(E366:E371)</f>
        <v>3821</v>
      </c>
      <c r="F372" s="25"/>
      <c r="G372" s="25"/>
      <c r="H372" s="25"/>
      <c r="I372" s="25"/>
      <c r="J372" s="25"/>
    </row>
    <row r="373" spans="1:10" ht="15" thickBot="1">
      <c r="A373" s="944" t="s">
        <v>1160</v>
      </c>
      <c r="B373" s="152"/>
      <c r="C373" s="152"/>
      <c r="D373" s="152"/>
      <c r="E373" s="1262"/>
      <c r="F373" s="25"/>
      <c r="G373" s="25"/>
      <c r="H373" s="25"/>
      <c r="I373" s="25"/>
      <c r="J373" s="25"/>
    </row>
    <row r="374" spans="1:10" ht="15.75" thickBot="1">
      <c r="A374" s="841" t="s">
        <v>1161</v>
      </c>
      <c r="B374" s="410" t="s">
        <v>613</v>
      </c>
      <c r="C374" s="1177">
        <v>2011</v>
      </c>
      <c r="D374" s="1177">
        <v>2012</v>
      </c>
      <c r="E374" s="1175" t="s">
        <v>71</v>
      </c>
      <c r="F374" s="25"/>
      <c r="G374" s="25"/>
      <c r="H374" s="25"/>
      <c r="I374" s="25"/>
      <c r="J374" s="25"/>
    </row>
    <row r="375" spans="1:10" ht="15.75">
      <c r="A375" s="904" t="s">
        <v>1162</v>
      </c>
      <c r="B375" s="759" t="s">
        <v>745</v>
      </c>
      <c r="C375" s="1357">
        <v>0</v>
      </c>
      <c r="D375" s="1178"/>
      <c r="E375" s="1179">
        <f>SUM(C375:D375)</f>
        <v>0</v>
      </c>
      <c r="F375" s="25"/>
      <c r="G375" s="25"/>
      <c r="H375" s="25"/>
      <c r="I375" s="25"/>
      <c r="J375" s="25"/>
    </row>
    <row r="376" spans="1:10" ht="15.75">
      <c r="A376" s="883" t="s">
        <v>1163</v>
      </c>
      <c r="B376" s="760" t="s">
        <v>746</v>
      </c>
      <c r="C376" s="1181">
        <v>0</v>
      </c>
      <c r="D376" s="1181"/>
      <c r="E376" s="1176">
        <f>SUM(C376:D376)</f>
        <v>0</v>
      </c>
      <c r="F376" s="25"/>
      <c r="G376" s="25"/>
      <c r="H376" s="25"/>
      <c r="I376" s="25"/>
      <c r="J376" s="25"/>
    </row>
    <row r="377" spans="1:10" ht="15.75">
      <c r="A377" s="883" t="s">
        <v>1164</v>
      </c>
      <c r="B377" s="760" t="s">
        <v>747</v>
      </c>
      <c r="C377" s="1181">
        <v>0</v>
      </c>
      <c r="D377" s="1181"/>
      <c r="E377" s="1176">
        <f>SUM(C377:D377)</f>
        <v>0</v>
      </c>
      <c r="F377" s="25"/>
      <c r="G377" s="25"/>
      <c r="H377" s="25"/>
      <c r="I377" s="25"/>
      <c r="J377" s="25"/>
    </row>
    <row r="378" spans="1:10" ht="15.75">
      <c r="A378" s="883" t="s">
        <v>1165</v>
      </c>
      <c r="B378" s="760" t="s">
        <v>748</v>
      </c>
      <c r="C378" s="1178">
        <v>0</v>
      </c>
      <c r="D378" s="1181"/>
      <c r="E378" s="1176">
        <f>SUM(C378:D378)</f>
        <v>0</v>
      </c>
      <c r="F378" s="25"/>
      <c r="G378" s="25"/>
      <c r="H378" s="25"/>
      <c r="I378" s="25"/>
      <c r="J378" s="25"/>
    </row>
    <row r="379" spans="1:10" ht="16.5" thickBot="1">
      <c r="A379" s="908" t="s">
        <v>1166</v>
      </c>
      <c r="B379" s="760" t="s">
        <v>749</v>
      </c>
      <c r="C379" s="1358">
        <v>0</v>
      </c>
      <c r="D379" s="1181"/>
      <c r="E379" s="1176">
        <f>SUM(C379:D379)</f>
        <v>0</v>
      </c>
      <c r="F379" s="25"/>
      <c r="G379" s="25"/>
      <c r="H379" s="25"/>
      <c r="I379" s="25"/>
      <c r="J379" s="25"/>
    </row>
    <row r="380" spans="1:10" ht="15" thickBot="1">
      <c r="A380" s="841" t="s">
        <v>1167</v>
      </c>
      <c r="B380" s="415" t="s">
        <v>617</v>
      </c>
      <c r="C380" s="1356">
        <f>SUM(C375:C379)</f>
        <v>0</v>
      </c>
      <c r="D380" s="1356">
        <f>SUM(D375:D379)</f>
        <v>0</v>
      </c>
      <c r="E380" s="1180">
        <f>SUM(E375:E379)</f>
        <v>0</v>
      </c>
      <c r="F380" s="25"/>
      <c r="G380" s="25"/>
      <c r="H380" s="25"/>
      <c r="I380" s="25"/>
      <c r="J380" s="25"/>
    </row>
    <row r="381" spans="1:10" ht="14.25">
      <c r="A381" s="839"/>
      <c r="B381" s="642"/>
      <c r="C381" s="753"/>
      <c r="D381" s="753"/>
      <c r="E381" s="753"/>
      <c r="F381" s="25"/>
      <c r="G381" s="25"/>
      <c r="H381" s="25"/>
      <c r="I381" s="25"/>
      <c r="J381" s="25"/>
    </row>
    <row r="382" spans="1:10" ht="14.25">
      <c r="A382" s="839"/>
      <c r="B382" s="642"/>
      <c r="C382" s="753"/>
      <c r="D382" s="753"/>
      <c r="E382" s="753"/>
      <c r="F382" s="25"/>
      <c r="G382" s="25"/>
      <c r="H382" s="25"/>
      <c r="I382" s="25"/>
      <c r="J382" s="25"/>
    </row>
    <row r="383" spans="1:10" ht="14.25">
      <c r="A383" s="839"/>
      <c r="B383" s="642"/>
      <c r="C383" s="753"/>
      <c r="D383" s="753"/>
      <c r="E383" s="753"/>
      <c r="F383" s="25"/>
      <c r="G383" s="25"/>
      <c r="H383" s="25"/>
      <c r="I383" s="25"/>
      <c r="J383" s="25"/>
    </row>
    <row r="384" spans="1:10" ht="14.25">
      <c r="A384" s="839"/>
      <c r="B384" s="642"/>
      <c r="C384" s="753"/>
      <c r="D384" s="753"/>
      <c r="E384" s="753"/>
      <c r="F384" s="25"/>
      <c r="G384" s="25"/>
      <c r="H384" s="25"/>
      <c r="I384" s="25"/>
      <c r="J384" s="25"/>
    </row>
    <row r="385" spans="1:11" ht="31.5" customHeight="1">
      <c r="A385" s="1595" t="s">
        <v>1443</v>
      </c>
      <c r="B385" s="1595"/>
      <c r="C385" s="1595"/>
      <c r="D385" s="1595"/>
      <c r="E385" s="1595"/>
      <c r="F385" s="1400"/>
      <c r="G385" s="1400"/>
      <c r="H385" s="1400"/>
      <c r="I385" s="1400"/>
      <c r="J385" s="1400"/>
      <c r="K385" s="1400"/>
    </row>
    <row r="386" spans="1:11" ht="15.75">
      <c r="A386" s="1596" t="s">
        <v>1444</v>
      </c>
      <c r="B386" s="1596"/>
      <c r="C386" s="1596"/>
      <c r="D386" s="1596"/>
      <c r="E386" s="1596"/>
      <c r="F386" s="1354"/>
      <c r="G386" s="1354"/>
      <c r="H386" s="1354"/>
      <c r="I386" s="1354"/>
      <c r="J386" s="1354"/>
      <c r="K386" s="1354"/>
    </row>
    <row r="387" spans="2:10" ht="15.75" thickBot="1">
      <c r="B387" s="399"/>
      <c r="C387" s="399"/>
      <c r="D387" s="399"/>
      <c r="E387" s="399" t="s">
        <v>459</v>
      </c>
      <c r="F387" s="25"/>
      <c r="G387" s="25"/>
      <c r="H387" s="25"/>
      <c r="I387" s="25"/>
      <c r="J387" s="25"/>
    </row>
    <row r="388" spans="1:10" ht="27" thickBot="1">
      <c r="A388" s="1134" t="s">
        <v>1148</v>
      </c>
      <c r="B388" s="410" t="s">
        <v>607</v>
      </c>
      <c r="C388" s="1177">
        <v>2011</v>
      </c>
      <c r="D388" s="1177">
        <v>2012</v>
      </c>
      <c r="E388" s="1175" t="s">
        <v>21</v>
      </c>
      <c r="F388" s="25"/>
      <c r="G388" s="25"/>
      <c r="H388" s="25"/>
      <c r="I388" s="25"/>
      <c r="J388" s="25"/>
    </row>
    <row r="389" spans="1:10" ht="13.5" thickBot="1">
      <c r="A389" s="1064" t="s">
        <v>1149</v>
      </c>
      <c r="B389" s="1028" t="s">
        <v>1150</v>
      </c>
      <c r="C389" s="1034" t="s">
        <v>1151</v>
      </c>
      <c r="D389" s="1034" t="s">
        <v>1152</v>
      </c>
      <c r="E389" s="1016" t="s">
        <v>1172</v>
      </c>
      <c r="F389" s="25"/>
      <c r="G389" s="25"/>
      <c r="H389" s="25"/>
      <c r="I389" s="25"/>
      <c r="J389" s="25"/>
    </row>
    <row r="390" spans="1:10" ht="15">
      <c r="A390" s="1086" t="s">
        <v>1153</v>
      </c>
      <c r="B390" s="411" t="s">
        <v>608</v>
      </c>
      <c r="C390" s="1357">
        <v>448</v>
      </c>
      <c r="D390" s="1357"/>
      <c r="E390" s="1179">
        <f aca="true" t="shared" si="15" ref="E390:E395">SUM(C390:D390)</f>
        <v>448</v>
      </c>
      <c r="F390" s="25"/>
      <c r="G390" s="25"/>
      <c r="H390" s="25"/>
      <c r="I390" s="25"/>
      <c r="J390" s="25"/>
    </row>
    <row r="391" spans="1:10" ht="15">
      <c r="A391" s="950" t="s">
        <v>1154</v>
      </c>
      <c r="B391" s="412" t="s">
        <v>1404</v>
      </c>
      <c r="C391" s="1181">
        <v>0</v>
      </c>
      <c r="D391" s="1181"/>
      <c r="E391" s="1176">
        <f t="shared" si="15"/>
        <v>0</v>
      </c>
      <c r="F391" s="25"/>
      <c r="G391" s="25"/>
      <c r="H391" s="25"/>
      <c r="I391" s="25"/>
      <c r="J391" s="25"/>
    </row>
    <row r="392" spans="1:10" ht="15">
      <c r="A392" s="939" t="s">
        <v>1155</v>
      </c>
      <c r="B392" s="411" t="s">
        <v>609</v>
      </c>
      <c r="C392" s="1181">
        <f>17807+787</f>
        <v>18594</v>
      </c>
      <c r="D392" s="1178"/>
      <c r="E392" s="1176">
        <f t="shared" si="15"/>
        <v>18594</v>
      </c>
      <c r="F392" s="25"/>
      <c r="G392" s="25"/>
      <c r="H392" s="25"/>
      <c r="I392" s="25"/>
      <c r="J392" s="25"/>
    </row>
    <row r="393" spans="1:10" ht="15">
      <c r="A393" s="939" t="s">
        <v>1156</v>
      </c>
      <c r="B393" s="413" t="s">
        <v>610</v>
      </c>
      <c r="C393" s="1181">
        <v>0</v>
      </c>
      <c r="D393" s="1181"/>
      <c r="E393" s="1176">
        <f t="shared" si="15"/>
        <v>0</v>
      </c>
      <c r="F393" s="25"/>
      <c r="G393" s="25"/>
      <c r="H393" s="25"/>
      <c r="I393" s="25"/>
      <c r="J393" s="25"/>
    </row>
    <row r="394" spans="1:10" ht="15">
      <c r="A394" s="939" t="s">
        <v>1157</v>
      </c>
      <c r="B394" s="414" t="s">
        <v>594</v>
      </c>
      <c r="C394" s="1178">
        <v>0</v>
      </c>
      <c r="D394" s="1178"/>
      <c r="E394" s="1176">
        <f t="shared" si="15"/>
        <v>0</v>
      </c>
      <c r="F394" s="25"/>
      <c r="G394" s="25"/>
      <c r="H394" s="25"/>
      <c r="I394" s="25"/>
      <c r="J394" s="25"/>
    </row>
    <row r="395" spans="1:10" ht="15.75" thickBot="1">
      <c r="A395" s="889" t="s">
        <v>1158</v>
      </c>
      <c r="B395" s="413" t="s">
        <v>611</v>
      </c>
      <c r="C395" s="1181">
        <v>0</v>
      </c>
      <c r="D395" s="1181"/>
      <c r="E395" s="1176">
        <f t="shared" si="15"/>
        <v>0</v>
      </c>
      <c r="F395" s="25"/>
      <c r="G395" s="25"/>
      <c r="H395" s="25"/>
      <c r="I395" s="25"/>
      <c r="J395" s="25"/>
    </row>
    <row r="396" spans="1:10" ht="15" thickBot="1">
      <c r="A396" s="841" t="s">
        <v>1159</v>
      </c>
      <c r="B396" s="408" t="s">
        <v>612</v>
      </c>
      <c r="C396" s="1356">
        <f>SUM(C390:C395)</f>
        <v>19042</v>
      </c>
      <c r="D396" s="1356">
        <f>SUM(D390:D395)</f>
        <v>0</v>
      </c>
      <c r="E396" s="1180">
        <f>SUM(E390:E395)</f>
        <v>19042</v>
      </c>
      <c r="F396" s="25"/>
      <c r="G396" s="25"/>
      <c r="H396" s="25"/>
      <c r="I396" s="25"/>
      <c r="J396" s="25"/>
    </row>
    <row r="397" spans="1:10" ht="15" thickBot="1">
      <c r="A397" s="944" t="s">
        <v>1160</v>
      </c>
      <c r="B397" s="152"/>
      <c r="C397" s="152"/>
      <c r="D397" s="152"/>
      <c r="E397" s="1262"/>
      <c r="F397" s="25"/>
      <c r="G397" s="25"/>
      <c r="H397" s="25"/>
      <c r="I397" s="25"/>
      <c r="J397" s="25"/>
    </row>
    <row r="398" spans="1:10" ht="15.75" thickBot="1">
      <c r="A398" s="841" t="s">
        <v>1161</v>
      </c>
      <c r="B398" s="410" t="s">
        <v>613</v>
      </c>
      <c r="C398" s="1177">
        <v>2011</v>
      </c>
      <c r="D398" s="1177">
        <v>2012</v>
      </c>
      <c r="E398" s="1175" t="s">
        <v>71</v>
      </c>
      <c r="F398" s="25"/>
      <c r="G398" s="25"/>
      <c r="H398" s="25"/>
      <c r="I398" s="25"/>
      <c r="J398" s="25"/>
    </row>
    <row r="399" spans="1:10" ht="15.75">
      <c r="A399" s="904" t="s">
        <v>1162</v>
      </c>
      <c r="B399" s="759" t="s">
        <v>745</v>
      </c>
      <c r="C399" s="1357">
        <v>230</v>
      </c>
      <c r="D399" s="1178"/>
      <c r="E399" s="1179">
        <f>SUM(C399:D399)</f>
        <v>230</v>
      </c>
      <c r="F399" s="25"/>
      <c r="G399" s="25"/>
      <c r="H399" s="25"/>
      <c r="I399" s="25"/>
      <c r="J399" s="25"/>
    </row>
    <row r="400" spans="1:10" ht="15.75">
      <c r="A400" s="883" t="s">
        <v>1163</v>
      </c>
      <c r="B400" s="760" t="s">
        <v>746</v>
      </c>
      <c r="C400" s="1181">
        <v>60</v>
      </c>
      <c r="D400" s="1181"/>
      <c r="E400" s="1176">
        <f>SUM(C400:D400)</f>
        <v>60</v>
      </c>
      <c r="F400" s="25"/>
      <c r="G400" s="25"/>
      <c r="H400" s="25"/>
      <c r="I400" s="25"/>
      <c r="J400" s="25"/>
    </row>
    <row r="401" spans="1:10" ht="15.75">
      <c r="A401" s="883" t="s">
        <v>1164</v>
      </c>
      <c r="B401" s="760" t="s">
        <v>747</v>
      </c>
      <c r="C401" s="1181">
        <v>945</v>
      </c>
      <c r="D401" s="1181"/>
      <c r="E401" s="1176">
        <f>SUM(C401:D401)</f>
        <v>945</v>
      </c>
      <c r="F401" s="25"/>
      <c r="G401" s="25"/>
      <c r="H401" s="25"/>
      <c r="I401" s="25"/>
      <c r="J401" s="25"/>
    </row>
    <row r="402" spans="1:10" ht="15.75">
      <c r="A402" s="883" t="s">
        <v>1165</v>
      </c>
      <c r="B402" s="760" t="s">
        <v>748</v>
      </c>
      <c r="C402" s="1178">
        <f>'33_sz_ melléklet'!C95</f>
        <v>17807</v>
      </c>
      <c r="D402" s="1181"/>
      <c r="E402" s="1176">
        <f>SUM(C402:D402)</f>
        <v>17807</v>
      </c>
      <c r="F402" s="25"/>
      <c r="G402" s="25"/>
      <c r="H402" s="25"/>
      <c r="I402" s="25"/>
      <c r="J402" s="25"/>
    </row>
    <row r="403" spans="1:10" ht="16.5" thickBot="1">
      <c r="A403" s="908" t="s">
        <v>1166</v>
      </c>
      <c r="B403" s="760" t="s">
        <v>749</v>
      </c>
      <c r="C403" s="1358">
        <v>0</v>
      </c>
      <c r="D403" s="1181"/>
      <c r="E403" s="1176">
        <f>SUM(C403:D403)</f>
        <v>0</v>
      </c>
      <c r="F403" s="25"/>
      <c r="G403" s="25"/>
      <c r="H403" s="25"/>
      <c r="I403" s="25"/>
      <c r="J403" s="25"/>
    </row>
    <row r="404" spans="1:10" ht="15" thickBot="1">
      <c r="A404" s="841" t="s">
        <v>1167</v>
      </c>
      <c r="B404" s="415" t="s">
        <v>617</v>
      </c>
      <c r="C404" s="1356">
        <f>SUM(C399:C403)</f>
        <v>19042</v>
      </c>
      <c r="D404" s="1356">
        <f>SUM(D399:D403)</f>
        <v>0</v>
      </c>
      <c r="E404" s="1180">
        <f>SUM(E399:E403)</f>
        <v>19042</v>
      </c>
      <c r="F404" s="25"/>
      <c r="G404" s="25"/>
      <c r="H404" s="25"/>
      <c r="I404" s="25"/>
      <c r="J404" s="25"/>
    </row>
    <row r="405" spans="1:10" ht="14.25">
      <c r="A405" s="839"/>
      <c r="B405" s="642"/>
      <c r="C405" s="753"/>
      <c r="D405" s="753"/>
      <c r="E405" s="753"/>
      <c r="F405" s="25"/>
      <c r="G405" s="25"/>
      <c r="H405" s="25"/>
      <c r="I405" s="25"/>
      <c r="J405" s="25"/>
    </row>
    <row r="406" spans="1:10" ht="14.25">
      <c r="A406" s="839"/>
      <c r="B406" s="642"/>
      <c r="C406" s="753"/>
      <c r="D406" s="753"/>
      <c r="E406" s="753"/>
      <c r="F406" s="25"/>
      <c r="G406" s="25"/>
      <c r="H406" s="25"/>
      <c r="I406" s="25"/>
      <c r="J406" s="25"/>
    </row>
    <row r="407" spans="1:10" ht="14.25">
      <c r="A407" s="839"/>
      <c r="B407" s="642"/>
      <c r="C407" s="753"/>
      <c r="D407" s="753"/>
      <c r="E407" s="753"/>
      <c r="F407" s="25"/>
      <c r="G407" s="25"/>
      <c r="H407" s="25"/>
      <c r="I407" s="25"/>
      <c r="J407" s="25"/>
    </row>
    <row r="408" spans="1:10" ht="14.25">
      <c r="A408" s="839"/>
      <c r="B408" s="642"/>
      <c r="C408" s="753"/>
      <c r="D408" s="753"/>
      <c r="E408" s="753"/>
      <c r="F408" s="25"/>
      <c r="G408" s="25"/>
      <c r="H408" s="25"/>
      <c r="I408" s="25"/>
      <c r="J408" s="25"/>
    </row>
    <row r="409" spans="1:10" ht="12.75">
      <c r="A409" s="1547" t="s">
        <v>1328</v>
      </c>
      <c r="B409" s="1547"/>
      <c r="C409" s="1547"/>
      <c r="D409" s="1547"/>
      <c r="E409" s="1547"/>
      <c r="F409" s="25"/>
      <c r="G409" s="25"/>
      <c r="H409" s="25"/>
      <c r="I409" s="25"/>
      <c r="J409" s="25"/>
    </row>
    <row r="410" spans="1:10" ht="12.75">
      <c r="A410" s="1562">
        <v>9</v>
      </c>
      <c r="B410" s="1562"/>
      <c r="C410" s="1562"/>
      <c r="D410" s="1562"/>
      <c r="E410" s="1562"/>
      <c r="F410" s="25"/>
      <c r="G410" s="25"/>
      <c r="H410" s="25"/>
      <c r="I410" s="25"/>
      <c r="J410" s="25"/>
    </row>
    <row r="411" spans="1:10" ht="12.75">
      <c r="A411" s="22"/>
      <c r="B411" s="22"/>
      <c r="C411" s="22"/>
      <c r="D411" s="22"/>
      <c r="E411" s="22"/>
      <c r="F411" s="25"/>
      <c r="G411" s="25"/>
      <c r="H411" s="25"/>
      <c r="I411" s="25"/>
      <c r="J411" s="25"/>
    </row>
    <row r="412" spans="1:10" ht="32.25" customHeight="1">
      <c r="A412" s="1595" t="s">
        <v>1549</v>
      </c>
      <c r="B412" s="1595"/>
      <c r="C412" s="1595"/>
      <c r="D412" s="1595"/>
      <c r="E412" s="1595"/>
      <c r="F412" s="25"/>
      <c r="G412" s="25"/>
      <c r="H412" s="25"/>
      <c r="I412" s="25"/>
      <c r="J412" s="25"/>
    </row>
    <row r="413" spans="1:10" ht="15.75">
      <c r="A413" s="1596" t="s">
        <v>1550</v>
      </c>
      <c r="B413" s="1596"/>
      <c r="C413" s="1596"/>
      <c r="D413" s="1596"/>
      <c r="E413" s="1596"/>
      <c r="F413" s="25"/>
      <c r="G413" s="25"/>
      <c r="H413" s="25"/>
      <c r="I413" s="25"/>
      <c r="J413" s="25"/>
    </row>
    <row r="414" spans="2:10" ht="15.75" thickBot="1">
      <c r="B414" s="399"/>
      <c r="C414" s="399"/>
      <c r="D414" s="399"/>
      <c r="E414" s="399" t="s">
        <v>459</v>
      </c>
      <c r="F414" s="25"/>
      <c r="G414" s="25"/>
      <c r="H414" s="25"/>
      <c r="I414" s="25"/>
      <c r="J414" s="25"/>
    </row>
    <row r="415" spans="1:10" ht="27" thickBot="1">
      <c r="A415" s="1134" t="s">
        <v>1148</v>
      </c>
      <c r="B415" s="410" t="s">
        <v>607</v>
      </c>
      <c r="C415" s="1177">
        <v>2011</v>
      </c>
      <c r="D415" s="1177">
        <v>2012</v>
      </c>
      <c r="E415" s="1175" t="s">
        <v>21</v>
      </c>
      <c r="F415" s="25"/>
      <c r="G415" s="25"/>
      <c r="H415" s="25"/>
      <c r="I415" s="25"/>
      <c r="J415" s="25"/>
    </row>
    <row r="416" spans="1:10" ht="13.5" thickBot="1">
      <c r="A416" s="1064" t="s">
        <v>1149</v>
      </c>
      <c r="B416" s="1028" t="s">
        <v>1150</v>
      </c>
      <c r="C416" s="1034" t="s">
        <v>1151</v>
      </c>
      <c r="D416" s="1034" t="s">
        <v>1152</v>
      </c>
      <c r="E416" s="1016" t="s">
        <v>1172</v>
      </c>
      <c r="F416" s="25"/>
      <c r="G416" s="25"/>
      <c r="H416" s="25"/>
      <c r="I416" s="25"/>
      <c r="J416" s="25"/>
    </row>
    <row r="417" spans="1:10" ht="15">
      <c r="A417" s="1086" t="s">
        <v>1153</v>
      </c>
      <c r="B417" s="411" t="s">
        <v>608</v>
      </c>
      <c r="C417" s="1357">
        <v>310</v>
      </c>
      <c r="D417" s="1357"/>
      <c r="E417" s="1179">
        <f aca="true" t="shared" si="16" ref="E417:E422">SUM(C417:D417)</f>
        <v>310</v>
      </c>
      <c r="F417" s="25"/>
      <c r="G417" s="25"/>
      <c r="H417" s="25"/>
      <c r="I417" s="25"/>
      <c r="J417" s="25"/>
    </row>
    <row r="418" spans="1:10" ht="15">
      <c r="A418" s="950" t="s">
        <v>1154</v>
      </c>
      <c r="B418" s="412" t="s">
        <v>1404</v>
      </c>
      <c r="C418" s="1181">
        <v>0</v>
      </c>
      <c r="D418" s="1181"/>
      <c r="E418" s="1176">
        <f t="shared" si="16"/>
        <v>0</v>
      </c>
      <c r="F418" s="25"/>
      <c r="G418" s="25"/>
      <c r="H418" s="25"/>
      <c r="I418" s="25"/>
      <c r="J418" s="25"/>
    </row>
    <row r="419" spans="1:10" ht="15">
      <c r="A419" s="939" t="s">
        <v>1155</v>
      </c>
      <c r="B419" s="411" t="s">
        <v>609</v>
      </c>
      <c r="C419" s="1181">
        <v>2778</v>
      </c>
      <c r="D419" s="1178"/>
      <c r="E419" s="1176">
        <f t="shared" si="16"/>
        <v>2778</v>
      </c>
      <c r="F419" s="25"/>
      <c r="G419" s="25"/>
      <c r="H419" s="25"/>
      <c r="I419" s="25"/>
      <c r="J419" s="25"/>
    </row>
    <row r="420" spans="1:10" ht="15">
      <c r="A420" s="939" t="s">
        <v>1156</v>
      </c>
      <c r="B420" s="413" t="s">
        <v>610</v>
      </c>
      <c r="C420" s="1181">
        <v>0</v>
      </c>
      <c r="D420" s="1181"/>
      <c r="E420" s="1176">
        <f t="shared" si="16"/>
        <v>0</v>
      </c>
      <c r="F420" s="25"/>
      <c r="G420" s="25"/>
      <c r="H420" s="25"/>
      <c r="I420" s="25"/>
      <c r="J420" s="25"/>
    </row>
    <row r="421" spans="1:10" ht="15">
      <c r="A421" s="939" t="s">
        <v>1157</v>
      </c>
      <c r="B421" s="414" t="s">
        <v>594</v>
      </c>
      <c r="C421" s="1178">
        <v>0</v>
      </c>
      <c r="D421" s="1178"/>
      <c r="E421" s="1176">
        <f t="shared" si="16"/>
        <v>0</v>
      </c>
      <c r="F421" s="25"/>
      <c r="G421" s="25"/>
      <c r="H421" s="25"/>
      <c r="I421" s="25"/>
      <c r="J421" s="25"/>
    </row>
    <row r="422" spans="1:10" ht="15.75" thickBot="1">
      <c r="A422" s="889" t="s">
        <v>1158</v>
      </c>
      <c r="B422" s="413" t="s">
        <v>611</v>
      </c>
      <c r="C422" s="1181">
        <v>0</v>
      </c>
      <c r="D422" s="1181"/>
      <c r="E422" s="1176">
        <f t="shared" si="16"/>
        <v>0</v>
      </c>
      <c r="F422" s="25"/>
      <c r="G422" s="25"/>
      <c r="H422" s="25"/>
      <c r="I422" s="25"/>
      <c r="J422" s="25"/>
    </row>
    <row r="423" spans="1:10" ht="15" thickBot="1">
      <c r="A423" s="841" t="s">
        <v>1159</v>
      </c>
      <c r="B423" s="408" t="s">
        <v>612</v>
      </c>
      <c r="C423" s="1356">
        <f>SUM(C417:C422)</f>
        <v>3088</v>
      </c>
      <c r="D423" s="1356">
        <f>SUM(D417:D422)</f>
        <v>0</v>
      </c>
      <c r="E423" s="1180">
        <f>SUM(E417:E422)</f>
        <v>3088</v>
      </c>
      <c r="F423" s="25"/>
      <c r="G423" s="25"/>
      <c r="H423" s="25"/>
      <c r="I423" s="25"/>
      <c r="J423" s="25"/>
    </row>
    <row r="424" spans="1:10" ht="15" thickBot="1">
      <c r="A424" s="944" t="s">
        <v>1160</v>
      </c>
      <c r="B424" s="152"/>
      <c r="C424" s="152"/>
      <c r="D424" s="152"/>
      <c r="E424" s="1262"/>
      <c r="F424" s="25"/>
      <c r="G424" s="25"/>
      <c r="H424" s="25"/>
      <c r="I424" s="25"/>
      <c r="J424" s="25"/>
    </row>
    <row r="425" spans="1:10" ht="15.75" thickBot="1">
      <c r="A425" s="841" t="s">
        <v>1161</v>
      </c>
      <c r="B425" s="410" t="s">
        <v>613</v>
      </c>
      <c r="C425" s="1177">
        <v>2011</v>
      </c>
      <c r="D425" s="1177">
        <v>2012</v>
      </c>
      <c r="E425" s="1175" t="s">
        <v>71</v>
      </c>
      <c r="F425" s="25"/>
      <c r="G425" s="25"/>
      <c r="H425" s="25"/>
      <c r="I425" s="25"/>
      <c r="J425" s="25"/>
    </row>
    <row r="426" spans="1:10" ht="15.75">
      <c r="A426" s="904" t="s">
        <v>1162</v>
      </c>
      <c r="B426" s="759" t="s">
        <v>745</v>
      </c>
      <c r="C426" s="1357">
        <v>2160</v>
      </c>
      <c r="D426" s="1178"/>
      <c r="E426" s="1179">
        <f>SUM(C426:D426)</f>
        <v>2160</v>
      </c>
      <c r="F426" s="25"/>
      <c r="G426" s="25"/>
      <c r="H426" s="25"/>
      <c r="I426" s="25"/>
      <c r="J426" s="25"/>
    </row>
    <row r="427" spans="1:10" ht="15.75">
      <c r="A427" s="883" t="s">
        <v>1163</v>
      </c>
      <c r="B427" s="760" t="s">
        <v>746</v>
      </c>
      <c r="C427" s="1181">
        <v>528</v>
      </c>
      <c r="D427" s="1181"/>
      <c r="E427" s="1176">
        <f>SUM(C427:D427)</f>
        <v>528</v>
      </c>
      <c r="F427" s="25"/>
      <c r="G427" s="25"/>
      <c r="H427" s="25"/>
      <c r="I427" s="25"/>
      <c r="J427" s="25"/>
    </row>
    <row r="428" spans="1:10" ht="15.75">
      <c r="A428" s="883" t="s">
        <v>1164</v>
      </c>
      <c r="B428" s="760" t="s">
        <v>747</v>
      </c>
      <c r="C428" s="1181">
        <v>400</v>
      </c>
      <c r="D428" s="1181"/>
      <c r="E428" s="1176">
        <f>SUM(C428:D428)</f>
        <v>400</v>
      </c>
      <c r="F428" s="25"/>
      <c r="G428" s="25"/>
      <c r="H428" s="25"/>
      <c r="I428" s="25"/>
      <c r="J428" s="25"/>
    </row>
    <row r="429" spans="1:10" ht="15.75">
      <c r="A429" s="883" t="s">
        <v>1165</v>
      </c>
      <c r="B429" s="760" t="s">
        <v>748</v>
      </c>
      <c r="C429" s="1178">
        <f>'33_sz_ melléklet'!C123</f>
        <v>0</v>
      </c>
      <c r="D429" s="1181"/>
      <c r="E429" s="1176">
        <f>SUM(C429:D429)</f>
        <v>0</v>
      </c>
      <c r="F429" s="25"/>
      <c r="G429" s="25"/>
      <c r="H429" s="25"/>
      <c r="I429" s="25"/>
      <c r="J429" s="25"/>
    </row>
    <row r="430" spans="1:10" ht="16.5" thickBot="1">
      <c r="A430" s="908" t="s">
        <v>1166</v>
      </c>
      <c r="B430" s="760" t="s">
        <v>749</v>
      </c>
      <c r="C430" s="1358">
        <v>0</v>
      </c>
      <c r="D430" s="1181"/>
      <c r="E430" s="1176">
        <f>SUM(C430:D430)</f>
        <v>0</v>
      </c>
      <c r="F430" s="25"/>
      <c r="G430" s="25"/>
      <c r="H430" s="25"/>
      <c r="I430" s="25"/>
      <c r="J430" s="25"/>
    </row>
    <row r="431" spans="1:10" ht="15" thickBot="1">
      <c r="A431" s="841" t="s">
        <v>1167</v>
      </c>
      <c r="B431" s="415" t="s">
        <v>617</v>
      </c>
      <c r="C431" s="1356">
        <f>SUM(C426:C430)</f>
        <v>3088</v>
      </c>
      <c r="D431" s="1356">
        <f>SUM(D426:D430)</f>
        <v>0</v>
      </c>
      <c r="E431" s="1180">
        <f>SUM(E426:E430)</f>
        <v>3088</v>
      </c>
      <c r="F431" s="25"/>
      <c r="G431" s="25"/>
      <c r="H431" s="25"/>
      <c r="I431" s="25"/>
      <c r="J431" s="25"/>
    </row>
    <row r="432" spans="1:10" ht="12.75">
      <c r="A432" s="22"/>
      <c r="B432" s="22"/>
      <c r="C432" s="22"/>
      <c r="D432" s="22"/>
      <c r="E432" s="22"/>
      <c r="F432" s="25"/>
      <c r="G432" s="25"/>
      <c r="H432" s="25"/>
      <c r="I432" s="25"/>
      <c r="J432" s="25"/>
    </row>
    <row r="433" spans="1:10" ht="12.75">
      <c r="A433" s="22"/>
      <c r="B433" s="22"/>
      <c r="C433" s="22"/>
      <c r="D433" s="22"/>
      <c r="E433" s="22"/>
      <c r="F433" s="25"/>
      <c r="G433" s="25"/>
      <c r="H433" s="25"/>
      <c r="I433" s="25"/>
      <c r="J433" s="25"/>
    </row>
    <row r="434" spans="1:10" ht="12.75">
      <c r="A434" s="22"/>
      <c r="B434" s="22"/>
      <c r="C434" s="22"/>
      <c r="D434" s="22"/>
      <c r="E434" s="22"/>
      <c r="F434" s="25"/>
      <c r="G434" s="25"/>
      <c r="H434" s="25"/>
      <c r="I434" s="25"/>
      <c r="J434" s="25"/>
    </row>
    <row r="435" spans="1:10" ht="12.75">
      <c r="A435" s="22"/>
      <c r="B435" s="22"/>
      <c r="C435" s="22"/>
      <c r="D435" s="22"/>
      <c r="E435" s="22"/>
      <c r="F435" s="25"/>
      <c r="G435" s="25"/>
      <c r="H435" s="25"/>
      <c r="I435" s="25"/>
      <c r="J435" s="25"/>
    </row>
    <row r="436" spans="1:10" ht="14.25">
      <c r="A436" s="839"/>
      <c r="B436" s="642"/>
      <c r="C436" s="753"/>
      <c r="D436" s="753"/>
      <c r="E436" s="753"/>
      <c r="F436" s="25"/>
      <c r="G436" s="25"/>
      <c r="H436" s="25"/>
      <c r="I436" s="25"/>
      <c r="J436" s="25"/>
    </row>
    <row r="437" spans="1:10" ht="14.25">
      <c r="A437" s="839"/>
      <c r="B437" s="642"/>
      <c r="C437" s="753"/>
      <c r="D437" s="753"/>
      <c r="E437" s="753"/>
      <c r="F437" s="25"/>
      <c r="G437" s="25"/>
      <c r="H437" s="25"/>
      <c r="I437" s="25"/>
      <c r="J437" s="25"/>
    </row>
    <row r="438" spans="2:10" ht="14.25">
      <c r="B438" s="642"/>
      <c r="C438" s="753"/>
      <c r="D438" s="753"/>
      <c r="E438" s="753"/>
      <c r="F438" s="25"/>
      <c r="G438" s="25"/>
      <c r="H438" s="25"/>
      <c r="I438" s="25"/>
      <c r="J438" s="25"/>
    </row>
    <row r="439" spans="2:11" ht="15.75">
      <c r="B439" s="622" t="s">
        <v>614</v>
      </c>
      <c r="C439" s="622"/>
      <c r="D439" s="622"/>
      <c r="E439" s="622"/>
      <c r="F439" s="25"/>
      <c r="G439" s="25"/>
      <c r="H439" s="25"/>
      <c r="I439" s="25"/>
      <c r="J439" s="25"/>
      <c r="K439" s="622"/>
    </row>
    <row r="440" spans="2:11" ht="15.75">
      <c r="B440" s="622"/>
      <c r="C440" s="622"/>
      <c r="D440" s="622"/>
      <c r="E440" s="622"/>
      <c r="F440" s="25"/>
      <c r="G440" s="25"/>
      <c r="H440" s="25"/>
      <c r="I440" s="25"/>
      <c r="J440" s="25"/>
      <c r="K440" s="622"/>
    </row>
    <row r="441" spans="2:11" ht="16.5" thickBot="1">
      <c r="B441" s="622"/>
      <c r="C441" s="622"/>
      <c r="D441" s="622"/>
      <c r="E441" s="622" t="s">
        <v>459</v>
      </c>
      <c r="F441" s="25"/>
      <c r="G441" s="25"/>
      <c r="H441" s="25"/>
      <c r="I441" s="25"/>
      <c r="J441" s="25"/>
      <c r="K441" s="622"/>
    </row>
    <row r="442" spans="1:5" ht="27" thickBot="1">
      <c r="A442" s="1134" t="s">
        <v>1148</v>
      </c>
      <c r="B442" s="1608" t="s">
        <v>615</v>
      </c>
      <c r="C442" s="1609"/>
      <c r="D442" s="409" t="s">
        <v>616</v>
      </c>
      <c r="E442" s="407"/>
    </row>
    <row r="443" spans="1:5" ht="13.5" thickBot="1">
      <c r="A443" s="1064" t="s">
        <v>1149</v>
      </c>
      <c r="B443" s="1618" t="s">
        <v>1150</v>
      </c>
      <c r="C443" s="1619"/>
      <c r="D443" s="1618" t="s">
        <v>1151</v>
      </c>
      <c r="E443" s="1619"/>
    </row>
    <row r="444" spans="1:5" ht="15.75">
      <c r="A444" s="1085" t="s">
        <v>1153</v>
      </c>
      <c r="B444" s="1624" t="s">
        <v>1125</v>
      </c>
      <c r="C444" s="1625"/>
      <c r="D444" s="1626">
        <v>1229</v>
      </c>
      <c r="E444" s="1627"/>
    </row>
    <row r="445" spans="1:5" ht="15.75">
      <c r="A445" s="789" t="s">
        <v>1154</v>
      </c>
      <c r="B445" s="1610" t="s">
        <v>1124</v>
      </c>
      <c r="C445" s="1611"/>
      <c r="D445" s="1612">
        <v>2000</v>
      </c>
      <c r="E445" s="1613"/>
    </row>
    <row r="446" spans="1:5" ht="16.5" thickBot="1">
      <c r="A446" s="786" t="s">
        <v>1155</v>
      </c>
      <c r="B446" s="1614"/>
      <c r="C446" s="1615"/>
      <c r="D446" s="1616"/>
      <c r="E446" s="1617"/>
    </row>
    <row r="447" spans="1:5" ht="16.5" thickBot="1">
      <c r="A447" s="823" t="s">
        <v>1156</v>
      </c>
      <c r="B447" s="1620" t="s">
        <v>71</v>
      </c>
      <c r="C447" s="1621"/>
      <c r="D447" s="1622">
        <f>SUM(D444:D446)</f>
        <v>3229</v>
      </c>
      <c r="E447" s="1623"/>
    </row>
    <row r="448" spans="2:10" ht="14.25">
      <c r="B448" s="642"/>
      <c r="C448" s="152"/>
      <c r="D448" s="152"/>
      <c r="E448" s="152"/>
      <c r="F448" s="25"/>
      <c r="G448" s="25"/>
      <c r="H448" s="25"/>
      <c r="I448" s="25"/>
      <c r="J448" s="25"/>
    </row>
    <row r="449" spans="2:10" ht="14.25">
      <c r="B449" s="642"/>
      <c r="C449" s="152"/>
      <c r="D449" s="152"/>
      <c r="E449" s="152"/>
      <c r="F449" s="25"/>
      <c r="G449" s="25"/>
      <c r="H449" s="25"/>
      <c r="I449" s="25"/>
      <c r="J449" s="25"/>
    </row>
    <row r="450" spans="2:10" ht="14.25">
      <c r="B450" s="642"/>
      <c r="C450" s="152"/>
      <c r="D450" s="152"/>
      <c r="E450" s="152"/>
      <c r="F450" s="25"/>
      <c r="G450" s="25"/>
      <c r="H450" s="25"/>
      <c r="I450" s="25"/>
      <c r="J450" s="25"/>
    </row>
    <row r="451" spans="2:10" ht="14.25">
      <c r="B451" s="642"/>
      <c r="C451" s="152"/>
      <c r="D451" s="152"/>
      <c r="E451" s="152"/>
      <c r="F451" s="25"/>
      <c r="G451" s="25"/>
      <c r="H451" s="25"/>
      <c r="I451" s="25"/>
      <c r="J451" s="25"/>
    </row>
    <row r="452" spans="2:10" ht="14.25">
      <c r="B452" s="642"/>
      <c r="C452" s="152"/>
      <c r="D452" s="152"/>
      <c r="E452" s="152"/>
      <c r="F452" s="25"/>
      <c r="G452" s="25"/>
      <c r="H452" s="25"/>
      <c r="I452" s="25"/>
      <c r="J452" s="25"/>
    </row>
    <row r="453" spans="2:10" ht="14.25">
      <c r="B453" s="642"/>
      <c r="C453" s="152"/>
      <c r="D453" s="152"/>
      <c r="E453" s="152"/>
      <c r="F453" s="25"/>
      <c r="G453" s="25"/>
      <c r="H453" s="25"/>
      <c r="I453" s="25"/>
      <c r="J453" s="25"/>
    </row>
    <row r="454" spans="2:10" ht="14.25">
      <c r="B454" s="642"/>
      <c r="C454" s="152"/>
      <c r="D454" s="152"/>
      <c r="E454" s="152"/>
      <c r="F454" s="25"/>
      <c r="G454" s="25"/>
      <c r="H454" s="25"/>
      <c r="I454" s="25"/>
      <c r="J454" s="25"/>
    </row>
    <row r="455" spans="2:10" ht="14.25">
      <c r="B455" s="642"/>
      <c r="C455" s="152"/>
      <c r="D455" s="152"/>
      <c r="E455" s="152"/>
      <c r="F455" s="25"/>
      <c r="G455" s="25"/>
      <c r="H455" s="25"/>
      <c r="I455" s="25"/>
      <c r="J455" s="25"/>
    </row>
    <row r="456" spans="2:10" ht="14.25">
      <c r="B456" s="642"/>
      <c r="C456" s="152"/>
      <c r="D456" s="152"/>
      <c r="E456" s="152"/>
      <c r="F456" s="25"/>
      <c r="G456" s="25"/>
      <c r="H456" s="25"/>
      <c r="I456" s="25"/>
      <c r="J456" s="25"/>
    </row>
    <row r="457" spans="2:10" ht="14.25">
      <c r="B457" s="642"/>
      <c r="C457" s="152"/>
      <c r="D457" s="152"/>
      <c r="E457" s="152"/>
      <c r="F457" s="25"/>
      <c r="G457" s="25"/>
      <c r="H457" s="25"/>
      <c r="I457" s="25"/>
      <c r="J457" s="25"/>
    </row>
    <row r="458" spans="2:10" ht="14.25">
      <c r="B458" s="642"/>
      <c r="C458" s="152"/>
      <c r="D458" s="152"/>
      <c r="E458" s="152"/>
      <c r="F458" s="25"/>
      <c r="G458" s="25"/>
      <c r="H458" s="25"/>
      <c r="I458" s="25"/>
      <c r="J458" s="25"/>
    </row>
    <row r="459" spans="2:10" ht="14.25">
      <c r="B459" s="642"/>
      <c r="C459" s="152"/>
      <c r="D459" s="152"/>
      <c r="E459" s="152"/>
      <c r="F459" s="25"/>
      <c r="G459" s="25"/>
      <c r="H459" s="25"/>
      <c r="I459" s="25"/>
      <c r="J459" s="25"/>
    </row>
    <row r="460" spans="2:10" ht="14.25">
      <c r="B460" s="642"/>
      <c r="C460" s="152"/>
      <c r="D460" s="152"/>
      <c r="E460" s="152"/>
      <c r="F460" s="25"/>
      <c r="G460" s="25"/>
      <c r="H460" s="25"/>
      <c r="I460" s="25"/>
      <c r="J460" s="25"/>
    </row>
    <row r="461" spans="2:10" ht="14.25">
      <c r="B461" s="642"/>
      <c r="C461" s="152"/>
      <c r="D461" s="152"/>
      <c r="E461" s="152"/>
      <c r="F461" s="25"/>
      <c r="G461" s="25"/>
      <c r="H461" s="25"/>
      <c r="I461" s="25"/>
      <c r="J461" s="25"/>
    </row>
    <row r="462" spans="2:10" ht="14.25">
      <c r="B462" s="642"/>
      <c r="C462" s="152"/>
      <c r="D462" s="152"/>
      <c r="E462" s="152"/>
      <c r="F462" s="25"/>
      <c r="G462" s="25"/>
      <c r="H462" s="25"/>
      <c r="I462" s="25"/>
      <c r="J462" s="25"/>
    </row>
    <row r="463" spans="2:10" ht="14.25">
      <c r="B463" s="642"/>
      <c r="C463" s="152"/>
      <c r="D463" s="152"/>
      <c r="E463" s="152"/>
      <c r="F463" s="25"/>
      <c r="G463" s="25"/>
      <c r="H463" s="25"/>
      <c r="I463" s="25"/>
      <c r="J463" s="25"/>
    </row>
    <row r="464" spans="2:10" ht="14.25">
      <c r="B464" s="642"/>
      <c r="C464" s="152"/>
      <c r="D464" s="152"/>
      <c r="E464" s="152"/>
      <c r="F464" s="25"/>
      <c r="G464" s="25"/>
      <c r="H464" s="25"/>
      <c r="I464" s="25"/>
      <c r="J464" s="25"/>
    </row>
    <row r="465" spans="2:10" ht="14.25">
      <c r="B465" s="642"/>
      <c r="C465" s="152"/>
      <c r="D465" s="152"/>
      <c r="E465" s="152"/>
      <c r="F465" s="25"/>
      <c r="G465" s="25"/>
      <c r="H465" s="25"/>
      <c r="I465" s="25"/>
      <c r="J465" s="25"/>
    </row>
    <row r="466" spans="2:10" ht="14.25">
      <c r="B466" s="642"/>
      <c r="C466" s="152"/>
      <c r="D466" s="152"/>
      <c r="E466" s="152"/>
      <c r="F466" s="25"/>
      <c r="G466" s="25"/>
      <c r="H466" s="25"/>
      <c r="I466" s="25"/>
      <c r="J466" s="25"/>
    </row>
    <row r="467" spans="2:10" ht="14.25">
      <c r="B467" s="642"/>
      <c r="C467" s="152"/>
      <c r="D467" s="152"/>
      <c r="E467" s="152"/>
      <c r="F467" s="25"/>
      <c r="G467" s="25"/>
      <c r="H467" s="25"/>
      <c r="I467" s="25"/>
      <c r="J467" s="25"/>
    </row>
    <row r="468" spans="2:10" ht="14.25">
      <c r="B468" s="642"/>
      <c r="C468" s="152"/>
      <c r="D468" s="152"/>
      <c r="E468" s="152"/>
      <c r="F468" s="25"/>
      <c r="G468" s="25"/>
      <c r="H468" s="25"/>
      <c r="I468" s="25"/>
      <c r="J468" s="25"/>
    </row>
    <row r="469" spans="2:10" ht="14.25">
      <c r="B469" s="642"/>
      <c r="C469" s="152"/>
      <c r="D469" s="152"/>
      <c r="E469" s="152"/>
      <c r="F469" s="25"/>
      <c r="G469" s="25"/>
      <c r="H469" s="25"/>
      <c r="I469" s="25"/>
      <c r="J469" s="25"/>
    </row>
    <row r="470" spans="2:10" ht="14.25">
      <c r="B470" s="642"/>
      <c r="C470" s="152"/>
      <c r="D470" s="152"/>
      <c r="E470" s="152"/>
      <c r="F470" s="25"/>
      <c r="G470" s="25"/>
      <c r="H470" s="25"/>
      <c r="I470" s="25"/>
      <c r="J470" s="25"/>
    </row>
    <row r="471" spans="2:10" ht="14.25">
      <c r="B471" s="642"/>
      <c r="C471" s="152"/>
      <c r="D471" s="152"/>
      <c r="E471" s="152"/>
      <c r="F471" s="25"/>
      <c r="G471" s="25"/>
      <c r="H471" s="25"/>
      <c r="I471" s="25"/>
      <c r="J471" s="25"/>
    </row>
    <row r="472" spans="2:10" ht="14.25">
      <c r="B472" s="642"/>
      <c r="C472" s="152"/>
      <c r="D472" s="152"/>
      <c r="E472" s="152"/>
      <c r="F472" s="25"/>
      <c r="G472" s="25"/>
      <c r="H472" s="25"/>
      <c r="I472" s="25"/>
      <c r="J472" s="25"/>
    </row>
    <row r="473" spans="2:10" ht="14.25">
      <c r="B473" s="642"/>
      <c r="C473" s="152"/>
      <c r="D473" s="152"/>
      <c r="E473" s="152"/>
      <c r="F473" s="25"/>
      <c r="G473" s="25"/>
      <c r="H473" s="25"/>
      <c r="I473" s="25"/>
      <c r="J473" s="25"/>
    </row>
    <row r="478" ht="12.75">
      <c r="A478" s="25"/>
    </row>
    <row r="479" spans="6:10" s="25" customFormat="1" ht="12.75">
      <c r="F479"/>
      <c r="G479"/>
      <c r="H479"/>
      <c r="I479"/>
      <c r="J479"/>
    </row>
    <row r="480" spans="6:10" s="25" customFormat="1" ht="12.75">
      <c r="F480"/>
      <c r="G480"/>
      <c r="H480"/>
      <c r="I480"/>
      <c r="J480"/>
    </row>
    <row r="481" spans="1:10" s="25" customFormat="1" ht="12.75">
      <c r="A481"/>
      <c r="F481"/>
      <c r="G481"/>
      <c r="H481"/>
      <c r="I481"/>
      <c r="J481"/>
    </row>
  </sheetData>
  <sheetProtection/>
  <mergeCells count="66">
    <mergeCell ref="A412:E412"/>
    <mergeCell ref="A413:E413"/>
    <mergeCell ref="B447:C447"/>
    <mergeCell ref="D447:E447"/>
    <mergeCell ref="B444:C444"/>
    <mergeCell ref="D444:E444"/>
    <mergeCell ref="B77:E77"/>
    <mergeCell ref="B445:C445"/>
    <mergeCell ref="D445:E445"/>
    <mergeCell ref="B446:C446"/>
    <mergeCell ref="D446:E446"/>
    <mergeCell ref="B443:C443"/>
    <mergeCell ref="D443:E443"/>
    <mergeCell ref="A101:E101"/>
    <mergeCell ref="A102:E102"/>
    <mergeCell ref="A103:E103"/>
    <mergeCell ref="A1:E1"/>
    <mergeCell ref="A3:E3"/>
    <mergeCell ref="A4:E4"/>
    <mergeCell ref="A5:E5"/>
    <mergeCell ref="A7:E7"/>
    <mergeCell ref="B442:C442"/>
    <mergeCell ref="A8:E8"/>
    <mergeCell ref="A9:E9"/>
    <mergeCell ref="A31:E31"/>
    <mergeCell ref="A30:E30"/>
    <mergeCell ref="A29:E29"/>
    <mergeCell ref="A53:E53"/>
    <mergeCell ref="A54:E54"/>
    <mergeCell ref="A55:C55"/>
    <mergeCell ref="A51:E51"/>
    <mergeCell ref="A52:E52"/>
    <mergeCell ref="A104:E104"/>
    <mergeCell ref="A127:E127"/>
    <mergeCell ref="A128:E128"/>
    <mergeCell ref="A153:E153"/>
    <mergeCell ref="A154:E154"/>
    <mergeCell ref="A156:E156"/>
    <mergeCell ref="A283:E283"/>
    <mergeCell ref="A284:E284"/>
    <mergeCell ref="A209:C209"/>
    <mergeCell ref="A157:E157"/>
    <mergeCell ref="A180:E180"/>
    <mergeCell ref="A181:E181"/>
    <mergeCell ref="A205:E205"/>
    <mergeCell ref="A206:E206"/>
    <mergeCell ref="A208:E208"/>
    <mergeCell ref="A260:E260"/>
    <mergeCell ref="A410:E410"/>
    <mergeCell ref="A308:E308"/>
    <mergeCell ref="A309:E309"/>
    <mergeCell ref="A311:E311"/>
    <mergeCell ref="A312:E312"/>
    <mergeCell ref="A232:E232"/>
    <mergeCell ref="A233:E233"/>
    <mergeCell ref="A256:E256"/>
    <mergeCell ref="A257:E257"/>
    <mergeCell ref="A259:E259"/>
    <mergeCell ref="A385:E385"/>
    <mergeCell ref="A386:E386"/>
    <mergeCell ref="A409:E409"/>
    <mergeCell ref="A335:E335"/>
    <mergeCell ref="A336:E336"/>
    <mergeCell ref="A358:E358"/>
    <mergeCell ref="A359:E359"/>
    <mergeCell ref="A361:E36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547" t="s">
        <v>1329</v>
      </c>
      <c r="B2" s="1547"/>
      <c r="C2" s="1547"/>
      <c r="D2" s="1547"/>
      <c r="E2" s="1547"/>
      <c r="F2" s="1"/>
      <c r="G2" s="1"/>
    </row>
    <row r="3" spans="1:7" ht="12.75">
      <c r="A3" s="1"/>
      <c r="B3" s="1"/>
      <c r="C3" s="1"/>
      <c r="D3" s="1"/>
      <c r="E3" s="52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78" t="s">
        <v>255</v>
      </c>
      <c r="C5" s="1"/>
      <c r="D5" s="1"/>
      <c r="E5" s="1"/>
      <c r="F5" s="1"/>
      <c r="G5" s="1"/>
    </row>
    <row r="6" spans="1:7" ht="15.75">
      <c r="A6" s="1"/>
      <c r="B6" s="178" t="s">
        <v>256</v>
      </c>
      <c r="C6" s="178"/>
      <c r="D6" s="178"/>
      <c r="E6" s="178"/>
      <c r="F6" s="1"/>
      <c r="G6" s="1"/>
    </row>
    <row r="7" spans="1:7" ht="15.75">
      <c r="A7" s="1"/>
      <c r="B7" s="178"/>
      <c r="C7" s="178"/>
      <c r="D7" s="178"/>
      <c r="E7" s="178"/>
      <c r="F7" s="1"/>
      <c r="G7" s="1"/>
    </row>
    <row r="8" spans="1:7" ht="15.75">
      <c r="A8" s="1"/>
      <c r="B8" s="178"/>
      <c r="C8" s="178"/>
      <c r="D8" s="178" t="s">
        <v>590</v>
      </c>
      <c r="E8" s="178"/>
      <c r="F8" s="1"/>
      <c r="G8" s="1"/>
    </row>
    <row r="9" spans="1:7" ht="15.75">
      <c r="A9" s="1"/>
      <c r="B9" s="178"/>
      <c r="C9" s="178"/>
      <c r="D9" s="178"/>
      <c r="E9" s="178"/>
      <c r="F9" s="1"/>
      <c r="G9" s="1"/>
    </row>
    <row r="10" spans="1:7" ht="15.75">
      <c r="A10" s="1"/>
      <c r="B10" s="178"/>
      <c r="C10" s="178"/>
      <c r="D10" s="178"/>
      <c r="E10" s="178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">
      <c r="A12" s="23" t="s">
        <v>257</v>
      </c>
      <c r="B12" s="23"/>
      <c r="C12" s="23"/>
      <c r="D12" s="23"/>
    </row>
    <row r="15" spans="1:6" ht="15.75">
      <c r="A15" s="29" t="s">
        <v>258</v>
      </c>
      <c r="B15" s="29"/>
      <c r="C15" s="29"/>
      <c r="D15" s="29"/>
      <c r="E15" s="29"/>
      <c r="F15" s="1"/>
    </row>
    <row r="16" spans="1:6" ht="15.75">
      <c r="A16" s="29" t="s">
        <v>259</v>
      </c>
      <c r="B16" s="29"/>
      <c r="C16" s="29"/>
      <c r="D16" s="29"/>
      <c r="E16" s="29"/>
      <c r="F16" s="1"/>
    </row>
    <row r="17" spans="1:6" ht="12.75">
      <c r="A17" s="894" t="s">
        <v>260</v>
      </c>
      <c r="B17" s="1"/>
      <c r="C17" s="1"/>
      <c r="D17" s="1"/>
      <c r="E17" s="1"/>
      <c r="F17" s="1"/>
    </row>
    <row r="18" spans="1:6" ht="12.75">
      <c r="A18" s="894"/>
      <c r="B18" s="1"/>
      <c r="C18" s="1"/>
      <c r="D18" s="1"/>
      <c r="E18" s="1"/>
      <c r="F18" s="1"/>
    </row>
    <row r="19" spans="1:6" ht="12.75">
      <c r="A19" s="894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895"/>
      <c r="B21" s="896"/>
      <c r="C21" s="897"/>
      <c r="D21" s="898"/>
      <c r="E21" s="899" t="s">
        <v>261</v>
      </c>
      <c r="F21" s="1"/>
    </row>
    <row r="22" spans="1:6" ht="12.75">
      <c r="A22" s="900" t="s">
        <v>262</v>
      </c>
      <c r="B22" s="1628" t="s">
        <v>263</v>
      </c>
      <c r="C22" s="1629"/>
      <c r="D22" s="1630"/>
      <c r="E22" s="900" t="s">
        <v>264</v>
      </c>
      <c r="F22" s="1"/>
    </row>
    <row r="23" spans="1:6" ht="13.5" thickBot="1">
      <c r="A23" s="751"/>
      <c r="B23" s="438"/>
      <c r="C23" s="396"/>
      <c r="D23" s="901"/>
      <c r="E23" s="241" t="s">
        <v>265</v>
      </c>
      <c r="F23" s="1"/>
    </row>
    <row r="24" spans="1:6" ht="12.75">
      <c r="A24" s="895"/>
      <c r="B24" s="48"/>
      <c r="C24" s="48"/>
      <c r="D24" s="48"/>
      <c r="E24" s="899"/>
      <c r="F24" s="1"/>
    </row>
    <row r="25" spans="1:6" ht="12.75">
      <c r="A25" s="902">
        <v>1</v>
      </c>
      <c r="B25" s="441" t="s">
        <v>266</v>
      </c>
      <c r="C25" s="441"/>
      <c r="D25" s="441"/>
      <c r="E25" s="34"/>
      <c r="F25" s="1"/>
    </row>
    <row r="26" spans="1:6" ht="12.75">
      <c r="A26" s="434">
        <v>2</v>
      </c>
      <c r="B26" s="48" t="s">
        <v>267</v>
      </c>
      <c r="C26" s="48"/>
      <c r="D26" s="442"/>
      <c r="E26" s="38"/>
      <c r="F26" s="1"/>
    </row>
    <row r="27" spans="1:6" ht="12.75">
      <c r="A27" s="902"/>
      <c r="B27" s="441" t="s">
        <v>268</v>
      </c>
      <c r="C27" s="441"/>
      <c r="D27" s="440"/>
      <c r="E27" s="34"/>
      <c r="F27" s="1"/>
    </row>
    <row r="28" spans="1:6" ht="12.75">
      <c r="A28" s="434">
        <v>3</v>
      </c>
      <c r="B28" s="48" t="s">
        <v>269</v>
      </c>
      <c r="C28" s="48"/>
      <c r="D28" s="442"/>
      <c r="E28" s="38"/>
      <c r="F28" s="1"/>
    </row>
    <row r="29" spans="1:6" ht="12.75">
      <c r="A29" s="902"/>
      <c r="B29" s="441" t="s">
        <v>270</v>
      </c>
      <c r="C29" s="441"/>
      <c r="D29" s="440"/>
      <c r="E29" s="34"/>
      <c r="F29" s="1"/>
    </row>
    <row r="30" spans="1:6" ht="12.75">
      <c r="A30" s="902">
        <v>4</v>
      </c>
      <c r="B30" s="441" t="s">
        <v>271</v>
      </c>
      <c r="C30" s="441"/>
      <c r="D30" s="440"/>
      <c r="E30" s="34"/>
      <c r="F30" s="1"/>
    </row>
    <row r="31" spans="1:6" ht="12.75">
      <c r="A31" s="434">
        <v>5</v>
      </c>
      <c r="B31" s="48" t="s">
        <v>272</v>
      </c>
      <c r="C31" s="48"/>
      <c r="D31" s="442"/>
      <c r="E31" s="38"/>
      <c r="F31" s="1"/>
    </row>
    <row r="32" spans="1:6" ht="12.75">
      <c r="A32" s="902"/>
      <c r="B32" s="441" t="s">
        <v>273</v>
      </c>
      <c r="C32" s="441"/>
      <c r="D32" s="440"/>
      <c r="E32" s="34"/>
      <c r="F32" s="1"/>
    </row>
    <row r="33" spans="1:6" ht="12.75">
      <c r="A33" s="903">
        <v>6</v>
      </c>
      <c r="B33" s="8" t="s">
        <v>274</v>
      </c>
      <c r="C33" s="6"/>
      <c r="D33" s="398"/>
      <c r="E33" s="36"/>
      <c r="F33" s="1"/>
    </row>
    <row r="34" spans="1:6" ht="13.5" thickBot="1">
      <c r="A34" s="435">
        <v>7</v>
      </c>
      <c r="B34" s="396" t="s">
        <v>275</v>
      </c>
      <c r="C34" s="396"/>
      <c r="D34" s="901"/>
      <c r="E34" s="354"/>
      <c r="F34" s="1"/>
    </row>
    <row r="35" spans="1:6" ht="16.5" thickBot="1">
      <c r="A35" s="1"/>
      <c r="B35" s="222" t="s">
        <v>71</v>
      </c>
      <c r="C35" s="444"/>
      <c r="D35" s="445"/>
      <c r="E35" s="443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631" t="s">
        <v>1289</v>
      </c>
      <c r="B37" s="1602"/>
      <c r="C37" s="1602"/>
      <c r="D37" s="1602"/>
      <c r="E37" s="1602"/>
      <c r="F37" s="1"/>
    </row>
    <row r="38" spans="1:6" ht="12.75">
      <c r="A38" s="1631" t="s">
        <v>276</v>
      </c>
      <c r="B38" s="1602"/>
      <c r="C38" s="1602"/>
      <c r="D38" s="1602"/>
      <c r="E38" s="1602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602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277</v>
      </c>
      <c r="F43" s="1"/>
    </row>
    <row r="44" spans="1:6" ht="12.75">
      <c r="A44" s="1"/>
      <c r="B44" s="1"/>
      <c r="C44" s="1"/>
      <c r="D44" s="1"/>
      <c r="E44" s="1" t="s">
        <v>278</v>
      </c>
      <c r="F44" s="1"/>
    </row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1">
      <selection activeCell="C44" sqref="C44"/>
    </sheetView>
  </sheetViews>
  <sheetFormatPr defaultColWidth="9.140625" defaultRowHeight="12.75"/>
  <cols>
    <col min="1" max="1" width="6.57421875" style="0" customWidth="1"/>
    <col min="2" max="2" width="31.28125" style="0" customWidth="1"/>
    <col min="3" max="3" width="15.7109375" style="0" customWidth="1"/>
    <col min="4" max="4" width="15.28125" style="0" customWidth="1"/>
    <col min="5" max="5" width="19.00390625" style="0" customWidth="1"/>
  </cols>
  <sheetData>
    <row r="1" spans="1:6" ht="12.75">
      <c r="A1" s="1547" t="s">
        <v>1330</v>
      </c>
      <c r="B1" s="1547"/>
      <c r="C1" s="1547"/>
      <c r="D1" s="1547"/>
      <c r="E1" s="1547"/>
      <c r="F1" s="331"/>
    </row>
    <row r="2" spans="1:6" ht="12.75">
      <c r="A2" s="1"/>
      <c r="B2" s="1"/>
      <c r="C2" s="141"/>
      <c r="D2" s="14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8.75">
      <c r="A4" s="1"/>
      <c r="B4" s="1640" t="s">
        <v>279</v>
      </c>
      <c r="C4" s="1640"/>
      <c r="D4" s="1640"/>
      <c r="E4" s="1640"/>
      <c r="F4" s="1"/>
    </row>
    <row r="5" spans="1:6" ht="18.75">
      <c r="A5" s="1"/>
      <c r="B5" s="1640" t="s">
        <v>591</v>
      </c>
      <c r="C5" s="1640"/>
      <c r="D5" s="1640"/>
      <c r="E5" s="1640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8.75">
      <c r="A8" s="1"/>
      <c r="B8" s="1640" t="s">
        <v>280</v>
      </c>
      <c r="C8" s="1640"/>
      <c r="D8" s="1640"/>
      <c r="E8" s="1640"/>
      <c r="F8" s="1"/>
    </row>
    <row r="9" spans="1:6" ht="18.75">
      <c r="A9" s="1"/>
      <c r="B9" s="395"/>
      <c r="C9" s="395"/>
      <c r="D9" s="395"/>
      <c r="E9" s="395"/>
      <c r="F9" s="1"/>
    </row>
    <row r="10" spans="1:6" ht="13.5" thickBot="1">
      <c r="A10" s="1"/>
      <c r="B10" s="396"/>
      <c r="C10" s="1641" t="s">
        <v>157</v>
      </c>
      <c r="D10" s="1641"/>
      <c r="E10" s="1"/>
      <c r="F10" s="1"/>
    </row>
    <row r="11" spans="1:6" ht="26.25" thickBot="1">
      <c r="A11" s="1134" t="s">
        <v>1148</v>
      </c>
      <c r="B11" s="608" t="s">
        <v>3</v>
      </c>
      <c r="C11" s="1642" t="s">
        <v>576</v>
      </c>
      <c r="D11" s="1642"/>
      <c r="E11" s="177"/>
      <c r="F11" s="1"/>
    </row>
    <row r="12" spans="1:6" ht="13.5" thickBot="1">
      <c r="A12" s="1064" t="s">
        <v>1149</v>
      </c>
      <c r="B12" s="1182" t="s">
        <v>1150</v>
      </c>
      <c r="C12" s="1635" t="s">
        <v>1151</v>
      </c>
      <c r="D12" s="1636"/>
      <c r="E12" s="177"/>
      <c r="F12" s="1"/>
    </row>
    <row r="13" spans="1:6" ht="15.75">
      <c r="A13" s="1085" t="s">
        <v>1153</v>
      </c>
      <c r="B13" s="1367" t="s">
        <v>281</v>
      </c>
      <c r="C13" s="1634">
        <v>210</v>
      </c>
      <c r="D13" s="1634"/>
      <c r="E13" s="29"/>
      <c r="F13" s="1"/>
    </row>
    <row r="14" spans="1:6" ht="15.75">
      <c r="A14" s="789" t="s">
        <v>1154</v>
      </c>
      <c r="B14" s="1368" t="s">
        <v>282</v>
      </c>
      <c r="C14" s="1637">
        <v>210</v>
      </c>
      <c r="D14" s="1637"/>
      <c r="E14" s="29"/>
      <c r="F14" s="1"/>
    </row>
    <row r="15" spans="1:6" ht="15.75">
      <c r="A15" s="786" t="s">
        <v>1155</v>
      </c>
      <c r="B15" s="1369" t="s">
        <v>283</v>
      </c>
      <c r="C15" s="1638">
        <v>0</v>
      </c>
      <c r="D15" s="1638"/>
      <c r="E15" s="29"/>
      <c r="F15" s="1"/>
    </row>
    <row r="16" spans="1:6" ht="16.5" thickBot="1">
      <c r="A16" s="961" t="s">
        <v>1156</v>
      </c>
      <c r="B16" s="1366" t="s">
        <v>1415</v>
      </c>
      <c r="C16" s="1632">
        <v>101</v>
      </c>
      <c r="D16" s="1633"/>
      <c r="E16" s="29"/>
      <c r="F16" s="1"/>
    </row>
    <row r="17" spans="1:6" ht="16.5" thickBot="1">
      <c r="A17" s="841" t="s">
        <v>1157</v>
      </c>
      <c r="B17" s="1087" t="s">
        <v>284</v>
      </c>
      <c r="C17" s="1639">
        <f>SUM(C13:C16)</f>
        <v>521</v>
      </c>
      <c r="D17" s="1639"/>
      <c r="E17" s="178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8.75">
      <c r="A20" s="1"/>
      <c r="B20" s="1640" t="s">
        <v>285</v>
      </c>
      <c r="C20" s="1640"/>
      <c r="D20" s="1640"/>
      <c r="E20" s="1640"/>
      <c r="F20" s="1"/>
    </row>
    <row r="21" spans="1:6" ht="18.75">
      <c r="A21" s="1"/>
      <c r="B21" s="395"/>
      <c r="C21" s="395"/>
      <c r="D21" s="395"/>
      <c r="E21" s="395"/>
      <c r="F21" s="1"/>
    </row>
    <row r="22" spans="1:6" ht="13.5" thickBot="1">
      <c r="A22" s="1"/>
      <c r="B22" s="1"/>
      <c r="C22" s="54"/>
      <c r="D22" s="54"/>
      <c r="E22" s="54" t="s">
        <v>157</v>
      </c>
      <c r="F22" s="1"/>
    </row>
    <row r="23" spans="1:6" ht="27" thickBot="1">
      <c r="A23" s="1134" t="s">
        <v>1148</v>
      </c>
      <c r="B23" s="65" t="s">
        <v>195</v>
      </c>
      <c r="C23" s="383" t="s">
        <v>592</v>
      </c>
      <c r="D23" s="1188" t="s">
        <v>286</v>
      </c>
      <c r="E23" s="1185" t="s">
        <v>71</v>
      </c>
      <c r="F23" s="1"/>
    </row>
    <row r="24" spans="1:6" ht="16.5" thickBot="1">
      <c r="A24" s="1064" t="s">
        <v>1149</v>
      </c>
      <c r="B24" s="1182" t="s">
        <v>1150</v>
      </c>
      <c r="C24" s="1183" t="s">
        <v>1151</v>
      </c>
      <c r="D24" s="1187" t="s">
        <v>1152</v>
      </c>
      <c r="E24" s="1186" t="s">
        <v>1172</v>
      </c>
      <c r="F24" s="1"/>
    </row>
    <row r="25" spans="1:6" ht="14.25" customHeight="1">
      <c r="A25" s="1085" t="s">
        <v>1153</v>
      </c>
      <c r="B25" s="1370" t="s">
        <v>287</v>
      </c>
      <c r="C25" s="105"/>
      <c r="D25" s="106"/>
      <c r="E25" s="105">
        <f>D25+C25</f>
        <v>0</v>
      </c>
      <c r="F25" s="1"/>
    </row>
    <row r="26" spans="1:6" ht="15.75">
      <c r="A26" s="789" t="s">
        <v>1154</v>
      </c>
      <c r="B26" s="1371" t="s">
        <v>288</v>
      </c>
      <c r="C26" s="107"/>
      <c r="D26" s="108"/>
      <c r="E26" s="105">
        <f aca="true" t="shared" si="0" ref="E26:E37">D26+C26</f>
        <v>0</v>
      </c>
      <c r="F26" s="1"/>
    </row>
    <row r="27" spans="1:6" ht="15.75">
      <c r="A27" s="786" t="s">
        <v>1155</v>
      </c>
      <c r="B27" s="1372" t="s">
        <v>289</v>
      </c>
      <c r="C27" s="109"/>
      <c r="D27" s="110"/>
      <c r="E27" s="105">
        <f t="shared" si="0"/>
        <v>0</v>
      </c>
      <c r="F27" s="1"/>
    </row>
    <row r="28" spans="1:6" ht="15.75">
      <c r="A28" s="786" t="s">
        <v>1156</v>
      </c>
      <c r="B28" s="1368" t="s">
        <v>290</v>
      </c>
      <c r="C28" s="109"/>
      <c r="D28" s="110"/>
      <c r="E28" s="105">
        <f t="shared" si="0"/>
        <v>0</v>
      </c>
      <c r="F28" s="1"/>
    </row>
    <row r="29" spans="1:6" ht="15.75">
      <c r="A29" s="786" t="s">
        <v>1157</v>
      </c>
      <c r="B29" s="1368" t="s">
        <v>291</v>
      </c>
      <c r="C29" s="109"/>
      <c r="D29" s="110"/>
      <c r="E29" s="105">
        <f t="shared" si="0"/>
        <v>0</v>
      </c>
      <c r="F29" s="1"/>
    </row>
    <row r="30" spans="1:6" ht="15.75">
      <c r="A30" s="786" t="s">
        <v>1158</v>
      </c>
      <c r="B30" s="1373" t="s">
        <v>1211</v>
      </c>
      <c r="C30" s="109">
        <f>72-40-28</f>
        <v>4</v>
      </c>
      <c r="D30" s="110"/>
      <c r="E30" s="105">
        <f t="shared" si="0"/>
        <v>4</v>
      </c>
      <c r="F30" s="1"/>
    </row>
    <row r="31" spans="1:6" ht="15.75">
      <c r="A31" s="786" t="s">
        <v>1159</v>
      </c>
      <c r="B31" s="1373" t="s">
        <v>292</v>
      </c>
      <c r="C31" s="109"/>
      <c r="D31" s="110"/>
      <c r="E31" s="105">
        <f t="shared" si="0"/>
        <v>0</v>
      </c>
      <c r="F31" s="1"/>
    </row>
    <row r="32" spans="1:6" ht="15.75">
      <c r="A32" s="786" t="s">
        <v>1160</v>
      </c>
      <c r="B32" s="1309" t="s">
        <v>1416</v>
      </c>
      <c r="C32" s="109">
        <v>9</v>
      </c>
      <c r="D32" s="110">
        <v>101</v>
      </c>
      <c r="E32" s="105">
        <f t="shared" si="0"/>
        <v>110</v>
      </c>
      <c r="F32" s="1"/>
    </row>
    <row r="33" spans="1:6" ht="25.5">
      <c r="A33" s="786" t="s">
        <v>1161</v>
      </c>
      <c r="B33" s="1374" t="s">
        <v>293</v>
      </c>
      <c r="C33" s="105"/>
      <c r="D33" s="106">
        <v>210</v>
      </c>
      <c r="E33" s="105">
        <f t="shared" si="0"/>
        <v>210</v>
      </c>
      <c r="F33" s="1"/>
    </row>
    <row r="34" spans="1:6" ht="15.75">
      <c r="A34" s="786" t="s">
        <v>1162</v>
      </c>
      <c r="B34" s="1367" t="s">
        <v>294</v>
      </c>
      <c r="C34" s="105">
        <v>40</v>
      </c>
      <c r="D34" s="106"/>
      <c r="E34" s="105">
        <f t="shared" si="0"/>
        <v>40</v>
      </c>
      <c r="F34" s="1"/>
    </row>
    <row r="35" spans="1:6" ht="15.75">
      <c r="A35" s="786" t="s">
        <v>1163</v>
      </c>
      <c r="B35" s="1368" t="s">
        <v>295</v>
      </c>
      <c r="C35" s="109">
        <f>138+1</f>
        <v>139</v>
      </c>
      <c r="D35" s="110"/>
      <c r="E35" s="109">
        <f t="shared" si="0"/>
        <v>139</v>
      </c>
      <c r="F35" s="1"/>
    </row>
    <row r="36" spans="1:6" ht="16.5" thickBot="1">
      <c r="A36" s="907" t="s">
        <v>1164</v>
      </c>
      <c r="B36" s="1366" t="s">
        <v>1417</v>
      </c>
      <c r="C36" s="112">
        <v>18</v>
      </c>
      <c r="D36" s="113"/>
      <c r="E36" s="112">
        <f t="shared" si="0"/>
        <v>18</v>
      </c>
      <c r="F36" s="1"/>
    </row>
    <row r="37" spans="1:6" ht="16.5" thickBot="1">
      <c r="A37" s="841" t="s">
        <v>1165</v>
      </c>
      <c r="B37" s="1087" t="s">
        <v>296</v>
      </c>
      <c r="C37" s="1291">
        <f>SUM(C25:C36)</f>
        <v>210</v>
      </c>
      <c r="D37" s="1292">
        <f>SUM(D25:D36)</f>
        <v>311</v>
      </c>
      <c r="E37" s="1293">
        <f t="shared" si="0"/>
        <v>521</v>
      </c>
      <c r="F37" s="1"/>
    </row>
    <row r="38" spans="1:6" ht="13.5" thickBot="1">
      <c r="A38" s="1"/>
      <c r="B38" s="1"/>
      <c r="C38" s="1"/>
      <c r="D38" s="1"/>
      <c r="E38" s="1"/>
      <c r="F38" s="1"/>
    </row>
    <row r="39" spans="1:6" ht="27" thickBot="1">
      <c r="A39" s="1134" t="s">
        <v>1148</v>
      </c>
      <c r="B39" s="1189" t="s">
        <v>195</v>
      </c>
      <c r="C39" s="1190" t="s">
        <v>592</v>
      </c>
      <c r="D39" s="1191" t="s">
        <v>286</v>
      </c>
      <c r="E39" s="1193" t="s">
        <v>71</v>
      </c>
      <c r="F39" s="1"/>
    </row>
    <row r="40" spans="1:6" ht="16.5" thickBot="1">
      <c r="A40" s="943" t="s">
        <v>1149</v>
      </c>
      <c r="B40" s="1182" t="s">
        <v>1150</v>
      </c>
      <c r="C40" s="1183" t="s">
        <v>1151</v>
      </c>
      <c r="D40" s="1187" t="s">
        <v>1152</v>
      </c>
      <c r="E40" s="1195" t="s">
        <v>1172</v>
      </c>
      <c r="F40" s="1"/>
    </row>
    <row r="41" spans="1:6" ht="12.75">
      <c r="A41" s="904" t="s">
        <v>1153</v>
      </c>
      <c r="B41" s="45" t="s">
        <v>297</v>
      </c>
      <c r="C41" s="45">
        <v>0</v>
      </c>
      <c r="D41" s="34"/>
      <c r="E41" s="1194">
        <f>SUM(C41:D41)</f>
        <v>0</v>
      </c>
      <c r="F41" s="1"/>
    </row>
    <row r="42" spans="1:6" ht="12.75">
      <c r="A42" s="950" t="s">
        <v>1154</v>
      </c>
      <c r="B42" s="8" t="s">
        <v>298</v>
      </c>
      <c r="C42" s="8">
        <v>8</v>
      </c>
      <c r="D42" s="36"/>
      <c r="E42" s="1192">
        <f>SUM(C42:D42)</f>
        <v>8</v>
      </c>
      <c r="F42" s="1"/>
    </row>
    <row r="43" spans="1:6" ht="13.5" thickBot="1">
      <c r="A43" s="889" t="s">
        <v>1155</v>
      </c>
      <c r="B43" s="17" t="s">
        <v>299</v>
      </c>
      <c r="C43" s="17">
        <v>202</v>
      </c>
      <c r="D43" s="354">
        <f>210+101</f>
        <v>311</v>
      </c>
      <c r="E43" s="496">
        <f>SUM(C43:D43)</f>
        <v>513</v>
      </c>
      <c r="F43" s="1"/>
    </row>
    <row r="44" spans="1:6" s="26" customFormat="1" ht="13.5" thickBot="1">
      <c r="A44" s="1088" t="s">
        <v>1156</v>
      </c>
      <c r="B44" s="876" t="s">
        <v>300</v>
      </c>
      <c r="C44" s="876">
        <f>SUM(C41:C43)</f>
        <v>210</v>
      </c>
      <c r="D44" s="752">
        <f>SUM(D41:D43)</f>
        <v>311</v>
      </c>
      <c r="E44" s="474">
        <f>SUM(C44:D44)</f>
        <v>521</v>
      </c>
      <c r="F44" s="52"/>
    </row>
    <row r="45" spans="1:6" ht="12.75">
      <c r="A45" s="1"/>
      <c r="B45" s="1"/>
      <c r="C45" s="1"/>
      <c r="D45" s="1"/>
      <c r="E45" s="1"/>
      <c r="F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13">
    <mergeCell ref="C17:D17"/>
    <mergeCell ref="B20:E20"/>
    <mergeCell ref="B4:E4"/>
    <mergeCell ref="B5:E5"/>
    <mergeCell ref="B8:E8"/>
    <mergeCell ref="C10:D10"/>
    <mergeCell ref="C11:D11"/>
    <mergeCell ref="C16:D16"/>
    <mergeCell ref="C13:D13"/>
    <mergeCell ref="C12:D12"/>
    <mergeCell ref="A1:E1"/>
    <mergeCell ref="C14:D14"/>
    <mergeCell ref="C15:D1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2">
      <selection activeCell="D28" sqref="D28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547" t="s">
        <v>1331</v>
      </c>
      <c r="B3" s="1602"/>
      <c r="C3" s="1602"/>
      <c r="D3" s="1602"/>
      <c r="E3" s="1602"/>
      <c r="F3" s="1602"/>
      <c r="G3" s="1"/>
      <c r="H3" s="1"/>
      <c r="I3" s="399"/>
      <c r="J3" s="399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573" t="s">
        <v>301</v>
      </c>
      <c r="C6" s="1645"/>
      <c r="D6" s="1645"/>
      <c r="E6" s="1645"/>
      <c r="F6" s="1645"/>
      <c r="G6" s="1645"/>
      <c r="H6" s="1645"/>
      <c r="I6" s="1645"/>
      <c r="J6" s="1645"/>
      <c r="K6" s="1"/>
    </row>
    <row r="7" spans="2:11" ht="12.75">
      <c r="B7" s="1"/>
      <c r="C7" s="1"/>
      <c r="D7" s="52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31" t="s">
        <v>15</v>
      </c>
      <c r="K9" s="1"/>
    </row>
    <row r="10" spans="1:11" ht="13.5" thickBot="1">
      <c r="A10" s="1568" t="s">
        <v>1148</v>
      </c>
      <c r="B10" s="400" t="s">
        <v>302</v>
      </c>
      <c r="C10" s="1646" t="s">
        <v>593</v>
      </c>
      <c r="D10" s="1647"/>
      <c r="E10" s="1648" t="s">
        <v>594</v>
      </c>
      <c r="F10" s="1647"/>
      <c r="G10" s="1649" t="s">
        <v>595</v>
      </c>
      <c r="H10" s="1647"/>
      <c r="I10" s="1648" t="s">
        <v>596</v>
      </c>
      <c r="J10" s="1646"/>
      <c r="K10" s="1643" t="s">
        <v>230</v>
      </c>
    </row>
    <row r="11" spans="1:11" ht="13.5" thickBot="1">
      <c r="A11" s="1554"/>
      <c r="B11" s="402"/>
      <c r="C11" s="401" t="s">
        <v>303</v>
      </c>
      <c r="D11" s="403" t="s">
        <v>304</v>
      </c>
      <c r="E11" s="403" t="s">
        <v>597</v>
      </c>
      <c r="F11" s="403" t="s">
        <v>598</v>
      </c>
      <c r="G11" s="404" t="s">
        <v>599</v>
      </c>
      <c r="H11" s="404" t="s">
        <v>598</v>
      </c>
      <c r="I11" s="403" t="s">
        <v>600</v>
      </c>
      <c r="J11" s="401" t="s">
        <v>601</v>
      </c>
      <c r="K11" s="1644"/>
    </row>
    <row r="12" spans="1:11" ht="13.5" thickBot="1">
      <c r="A12" s="1064" t="s">
        <v>1149</v>
      </c>
      <c r="B12" s="943" t="s">
        <v>1150</v>
      </c>
      <c r="C12" s="943" t="s">
        <v>1151</v>
      </c>
      <c r="D12" s="943" t="s">
        <v>1152</v>
      </c>
      <c r="E12" s="943" t="s">
        <v>1172</v>
      </c>
      <c r="F12" s="943" t="s">
        <v>1197</v>
      </c>
      <c r="G12" s="943" t="s">
        <v>1198</v>
      </c>
      <c r="H12" s="943" t="s">
        <v>1278</v>
      </c>
      <c r="I12" s="943" t="s">
        <v>1279</v>
      </c>
      <c r="J12" s="401" t="s">
        <v>1280</v>
      </c>
      <c r="K12" s="403" t="s">
        <v>1283</v>
      </c>
    </row>
    <row r="13" spans="1:11" ht="12.75">
      <c r="A13" s="1086" t="s">
        <v>1153</v>
      </c>
      <c r="B13" s="405" t="s">
        <v>305</v>
      </c>
      <c r="C13" s="299">
        <v>420960</v>
      </c>
      <c r="D13" s="285">
        <v>458000</v>
      </c>
      <c r="E13" s="299">
        <f>D13-C13</f>
        <v>37040</v>
      </c>
      <c r="F13" s="285"/>
      <c r="G13" s="291">
        <v>0</v>
      </c>
      <c r="H13" s="41">
        <v>0</v>
      </c>
      <c r="I13" s="291">
        <v>0</v>
      </c>
      <c r="J13" s="1263">
        <v>0</v>
      </c>
      <c r="K13" s="285"/>
    </row>
    <row r="14" spans="1:11" ht="12.75">
      <c r="A14" s="950" t="s">
        <v>1154</v>
      </c>
      <c r="B14" s="405" t="s">
        <v>306</v>
      </c>
      <c r="C14" s="299">
        <f>370960+4582</f>
        <v>375542</v>
      </c>
      <c r="D14" s="285">
        <f>376000+4582</f>
        <v>380582</v>
      </c>
      <c r="E14" s="299">
        <v>5040</v>
      </c>
      <c r="F14" s="285"/>
      <c r="G14" s="282">
        <v>0</v>
      </c>
      <c r="H14" s="189">
        <v>0</v>
      </c>
      <c r="I14" s="282">
        <v>0</v>
      </c>
      <c r="J14" s="736">
        <v>0</v>
      </c>
      <c r="K14" s="282"/>
    </row>
    <row r="15" spans="1:11" ht="12.75">
      <c r="A15" s="786" t="s">
        <v>1155</v>
      </c>
      <c r="B15" s="405" t="s">
        <v>307</v>
      </c>
      <c r="C15" s="299">
        <v>590840</v>
      </c>
      <c r="D15" s="285">
        <v>985000</v>
      </c>
      <c r="E15" s="299">
        <v>7789</v>
      </c>
      <c r="F15" s="285">
        <v>3629</v>
      </c>
      <c r="G15" s="291">
        <v>0</v>
      </c>
      <c r="H15" s="41">
        <v>0</v>
      </c>
      <c r="I15" s="291">
        <v>0</v>
      </c>
      <c r="J15" s="482">
        <v>0</v>
      </c>
      <c r="K15" s="282">
        <v>390000</v>
      </c>
    </row>
    <row r="16" spans="1:11" ht="12.75">
      <c r="A16" s="786" t="s">
        <v>1156</v>
      </c>
      <c r="B16" s="405" t="s">
        <v>308</v>
      </c>
      <c r="C16" s="299">
        <v>570960</v>
      </c>
      <c r="D16" s="285">
        <v>685000</v>
      </c>
      <c r="E16" s="299">
        <v>10000</v>
      </c>
      <c r="F16" s="285"/>
      <c r="G16" s="282">
        <v>0</v>
      </c>
      <c r="H16" s="189">
        <v>0</v>
      </c>
      <c r="I16" s="282">
        <v>0</v>
      </c>
      <c r="J16" s="736">
        <v>0</v>
      </c>
      <c r="K16" s="282"/>
    </row>
    <row r="17" spans="1:11" ht="12.75">
      <c r="A17" s="786" t="s">
        <v>1157</v>
      </c>
      <c r="B17" s="405" t="s">
        <v>309</v>
      </c>
      <c r="C17" s="299">
        <v>570960</v>
      </c>
      <c r="D17" s="285">
        <v>458000</v>
      </c>
      <c r="E17" s="299">
        <v>0</v>
      </c>
      <c r="F17" s="285"/>
      <c r="G17" s="291">
        <v>0</v>
      </c>
      <c r="H17" s="41">
        <v>0</v>
      </c>
      <c r="I17" s="291">
        <v>0</v>
      </c>
      <c r="J17" s="482">
        <v>0</v>
      </c>
      <c r="K17" s="282">
        <v>37445</v>
      </c>
    </row>
    <row r="18" spans="1:11" ht="12.75">
      <c r="A18" s="786" t="s">
        <v>1158</v>
      </c>
      <c r="B18" s="405" t="s">
        <v>310</v>
      </c>
      <c r="C18" s="299">
        <v>370960</v>
      </c>
      <c r="D18" s="285">
        <v>458000</v>
      </c>
      <c r="E18" s="299">
        <v>5000</v>
      </c>
      <c r="F18" s="285">
        <v>3629</v>
      </c>
      <c r="G18" s="282">
        <v>0</v>
      </c>
      <c r="H18" s="189">
        <v>0</v>
      </c>
      <c r="I18" s="282">
        <v>0</v>
      </c>
      <c r="J18" s="736">
        <v>0</v>
      </c>
      <c r="K18" s="282"/>
    </row>
    <row r="19" spans="1:11" ht="12.75">
      <c r="A19" s="786" t="s">
        <v>1159</v>
      </c>
      <c r="B19" s="405" t="s">
        <v>311</v>
      </c>
      <c r="C19" s="299">
        <v>771000</v>
      </c>
      <c r="D19" s="285">
        <v>920000</v>
      </c>
      <c r="E19" s="299">
        <v>5000</v>
      </c>
      <c r="F19" s="285"/>
      <c r="G19" s="291">
        <v>0</v>
      </c>
      <c r="H19" s="41">
        <v>0</v>
      </c>
      <c r="I19" s="291">
        <v>0</v>
      </c>
      <c r="J19" s="482">
        <v>0</v>
      </c>
      <c r="K19" s="282">
        <v>149000</v>
      </c>
    </row>
    <row r="20" spans="1:11" ht="12.75">
      <c r="A20" s="786" t="s">
        <v>1160</v>
      </c>
      <c r="B20" s="405" t="s">
        <v>312</v>
      </c>
      <c r="C20" s="299">
        <v>685000</v>
      </c>
      <c r="D20" s="285">
        <v>768000</v>
      </c>
      <c r="E20" s="299">
        <v>2000</v>
      </c>
      <c r="F20" s="285"/>
      <c r="G20" s="282">
        <v>0</v>
      </c>
      <c r="H20" s="189">
        <v>0</v>
      </c>
      <c r="I20" s="282">
        <v>0</v>
      </c>
      <c r="J20" s="736">
        <v>0</v>
      </c>
      <c r="K20" s="282">
        <v>149000</v>
      </c>
    </row>
    <row r="21" spans="1:11" ht="12.75">
      <c r="A21" s="786" t="s">
        <v>1161</v>
      </c>
      <c r="B21" s="405" t="s">
        <v>313</v>
      </c>
      <c r="C21" s="299">
        <v>995900</v>
      </c>
      <c r="D21" s="285">
        <v>1050000</v>
      </c>
      <c r="E21" s="299">
        <v>2000</v>
      </c>
      <c r="F21" s="285">
        <v>3629</v>
      </c>
      <c r="G21" s="291">
        <v>0</v>
      </c>
      <c r="H21" s="41">
        <v>0</v>
      </c>
      <c r="I21" s="291">
        <v>0</v>
      </c>
      <c r="J21" s="482">
        <v>0</v>
      </c>
      <c r="K21" s="282">
        <v>119854</v>
      </c>
    </row>
    <row r="22" spans="1:11" ht="12.75">
      <c r="A22" s="786" t="s">
        <v>1162</v>
      </c>
      <c r="B22" s="405" t="s">
        <v>314</v>
      </c>
      <c r="C22" s="299">
        <v>1070760</v>
      </c>
      <c r="D22" s="285">
        <f>980000+477914</f>
        <v>1457914</v>
      </c>
      <c r="E22" s="299">
        <v>2000</v>
      </c>
      <c r="F22" s="285"/>
      <c r="G22" s="282">
        <v>0</v>
      </c>
      <c r="H22" s="1264">
        <v>0</v>
      </c>
      <c r="I22" s="282">
        <v>0</v>
      </c>
      <c r="J22" s="1265">
        <v>0</v>
      </c>
      <c r="K22" s="282">
        <v>113603</v>
      </c>
    </row>
    <row r="23" spans="1:11" ht="12.75">
      <c r="A23" s="786" t="s">
        <v>1163</v>
      </c>
      <c r="B23" s="405" t="s">
        <v>315</v>
      </c>
      <c r="C23" s="299">
        <f>921080+272990</f>
        <v>1194070</v>
      </c>
      <c r="D23" s="285">
        <v>1089428</v>
      </c>
      <c r="E23" s="299">
        <v>1833</v>
      </c>
      <c r="F23" s="285"/>
      <c r="G23" s="282">
        <v>0</v>
      </c>
      <c r="H23" s="189">
        <v>0</v>
      </c>
      <c r="I23" s="282">
        <v>0</v>
      </c>
      <c r="J23" s="736">
        <v>100572</v>
      </c>
      <c r="K23" s="282"/>
    </row>
    <row r="24" spans="1:11" ht="13.5" thickBot="1">
      <c r="A24" s="907" t="s">
        <v>1164</v>
      </c>
      <c r="B24" s="244" t="s">
        <v>316</v>
      </c>
      <c r="C24" s="299">
        <f>1968173-4026</f>
        <v>1964147</v>
      </c>
      <c r="D24" s="1046">
        <f>1392266+127182+348407-70-8389+37889</f>
        <v>1897285</v>
      </c>
      <c r="E24" s="299">
        <v>0</v>
      </c>
      <c r="F24" s="1046">
        <v>3633</v>
      </c>
      <c r="G24" s="291">
        <v>0</v>
      </c>
      <c r="H24" s="41">
        <v>0</v>
      </c>
      <c r="I24" s="291">
        <f>100572+4026</f>
        <v>104598</v>
      </c>
      <c r="J24" s="482">
        <v>0</v>
      </c>
      <c r="K24" s="287"/>
    </row>
    <row r="25" spans="1:11" ht="13.5" thickBot="1">
      <c r="A25" s="841" t="s">
        <v>1165</v>
      </c>
      <c r="B25" s="362" t="s">
        <v>71</v>
      </c>
      <c r="C25" s="503">
        <f>SUM(C13:C24)</f>
        <v>9581099</v>
      </c>
      <c r="D25" s="289">
        <f aca="true" t="shared" si="0" ref="D25:I25">SUM(D13:D24)</f>
        <v>10607209</v>
      </c>
      <c r="E25" s="503">
        <f t="shared" si="0"/>
        <v>77702</v>
      </c>
      <c r="F25" s="289">
        <f t="shared" si="0"/>
        <v>14520</v>
      </c>
      <c r="G25" s="503">
        <f t="shared" si="0"/>
        <v>0</v>
      </c>
      <c r="H25" s="289">
        <f t="shared" si="0"/>
        <v>0</v>
      </c>
      <c r="I25" s="503">
        <f t="shared" si="0"/>
        <v>104598</v>
      </c>
      <c r="J25" s="493">
        <f>SUM(J13:J24)</f>
        <v>100572</v>
      </c>
      <c r="K25" s="289">
        <f>SUM(K13:K24)</f>
        <v>958902</v>
      </c>
    </row>
    <row r="26" spans="3:5" ht="12.75">
      <c r="C26" s="132"/>
      <c r="D26" s="132"/>
      <c r="E26" s="1316"/>
    </row>
    <row r="27" spans="3:11" ht="12.75">
      <c r="C27" s="132"/>
      <c r="D27" s="132"/>
      <c r="E27" s="132"/>
      <c r="F27" s="132"/>
      <c r="G27" s="132"/>
      <c r="H27" s="132"/>
      <c r="I27" s="132"/>
      <c r="J27" s="132"/>
      <c r="K27" s="132"/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547" t="s">
        <v>1332</v>
      </c>
      <c r="B1" s="1602"/>
      <c r="C1" s="1602"/>
      <c r="D1" s="1602"/>
      <c r="E1" s="1602"/>
      <c r="F1" s="1602"/>
      <c r="G1" s="1650"/>
      <c r="H1" s="1650"/>
      <c r="I1" s="1650"/>
      <c r="J1" s="1650"/>
      <c r="K1" s="1650"/>
      <c r="L1" s="1650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650" t="s">
        <v>317</v>
      </c>
      <c r="C3" s="1650"/>
      <c r="D3" s="1650"/>
      <c r="E3" s="1650"/>
      <c r="F3" s="1650"/>
      <c r="G3" s="1650"/>
      <c r="H3" s="1650"/>
      <c r="I3" s="1650"/>
      <c r="J3" s="1650"/>
      <c r="K3" s="1650"/>
      <c r="L3" s="1650"/>
    </row>
    <row r="4" spans="2:12" ht="12.75">
      <c r="B4" s="1650" t="s">
        <v>318</v>
      </c>
      <c r="C4" s="1650"/>
      <c r="D4" s="1650"/>
      <c r="E4" s="1650"/>
      <c r="F4" s="1650"/>
      <c r="G4" s="1650"/>
      <c r="H4" s="1650"/>
      <c r="I4" s="1650"/>
      <c r="J4" s="1650"/>
      <c r="K4" s="1650"/>
      <c r="L4" s="1650"/>
    </row>
    <row r="5" spans="2:12" ht="13.5" thickBo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 t="s">
        <v>319</v>
      </c>
    </row>
    <row r="6" spans="1:12" ht="13.5" thickBot="1">
      <c r="A6" s="1568" t="s">
        <v>1148</v>
      </c>
      <c r="B6" s="1651" t="s">
        <v>320</v>
      </c>
      <c r="C6" s="1652" t="s">
        <v>321</v>
      </c>
      <c r="D6" s="1652"/>
      <c r="E6" s="1653" t="s">
        <v>322</v>
      </c>
      <c r="F6" s="1653"/>
      <c r="G6" s="1653"/>
      <c r="H6" s="1653"/>
      <c r="I6" s="1653"/>
      <c r="J6" s="1653"/>
      <c r="K6" s="1653"/>
      <c r="L6" s="1654" t="s">
        <v>323</v>
      </c>
    </row>
    <row r="7" spans="1:12" ht="33.75" customHeight="1" thickBot="1">
      <c r="A7" s="1554"/>
      <c r="B7" s="1651"/>
      <c r="C7" s="671" t="s">
        <v>324</v>
      </c>
      <c r="D7" s="671" t="s">
        <v>325</v>
      </c>
      <c r="E7" s="671" t="s">
        <v>326</v>
      </c>
      <c r="F7" s="672" t="s">
        <v>327</v>
      </c>
      <c r="G7" s="672" t="s">
        <v>328</v>
      </c>
      <c r="H7" s="672" t="s">
        <v>329</v>
      </c>
      <c r="I7" s="672" t="s">
        <v>330</v>
      </c>
      <c r="J7" s="672" t="s">
        <v>1227</v>
      </c>
      <c r="K7" s="672" t="s">
        <v>331</v>
      </c>
      <c r="L7" s="1654"/>
    </row>
    <row r="8" spans="1:12" ht="14.25" customHeight="1" thickBot="1">
      <c r="A8" s="1064" t="s">
        <v>1281</v>
      </c>
      <c r="B8" s="1064" t="s">
        <v>1282</v>
      </c>
      <c r="C8" s="1064" t="s">
        <v>1151</v>
      </c>
      <c r="D8" s="1064" t="s">
        <v>1152</v>
      </c>
      <c r="E8" s="1064" t="s">
        <v>1172</v>
      </c>
      <c r="F8" s="1064" t="s">
        <v>1197</v>
      </c>
      <c r="G8" s="1064" t="s">
        <v>1198</v>
      </c>
      <c r="H8" s="1064" t="s">
        <v>1278</v>
      </c>
      <c r="I8" s="1064" t="s">
        <v>1279</v>
      </c>
      <c r="J8" s="1064" t="s">
        <v>1280</v>
      </c>
      <c r="K8" s="1064" t="s">
        <v>1283</v>
      </c>
      <c r="L8" s="1064" t="s">
        <v>1284</v>
      </c>
    </row>
    <row r="9" spans="1:12" ht="43.5" customHeight="1">
      <c r="A9" s="1086" t="s">
        <v>1153</v>
      </c>
      <c r="B9" s="1196" t="s">
        <v>618</v>
      </c>
      <c r="C9" s="114">
        <v>0</v>
      </c>
      <c r="D9" s="115">
        <v>0</v>
      </c>
      <c r="E9" s="115">
        <v>24949</v>
      </c>
      <c r="F9" s="115">
        <v>44120</v>
      </c>
      <c r="G9" s="116">
        <v>35625</v>
      </c>
      <c r="H9" s="117">
        <v>884</v>
      </c>
      <c r="I9" s="117">
        <v>3005480</v>
      </c>
      <c r="J9" s="117"/>
      <c r="K9" s="117">
        <v>121301</v>
      </c>
      <c r="L9" s="117">
        <f>SUM(C9:K9)</f>
        <v>3232359</v>
      </c>
    </row>
    <row r="10" spans="1:12" ht="28.5" customHeight="1">
      <c r="A10" s="950" t="s">
        <v>1154</v>
      </c>
      <c r="B10" s="1197" t="s">
        <v>619</v>
      </c>
      <c r="C10" s="119">
        <f>'37 sz melléklet'!C26</f>
        <v>77701.76733333431</v>
      </c>
      <c r="D10" s="119"/>
      <c r="E10" s="119"/>
      <c r="F10" s="119"/>
      <c r="G10" s="120">
        <v>0</v>
      </c>
      <c r="H10" s="121"/>
      <c r="I10" s="121"/>
      <c r="J10" s="121"/>
      <c r="K10" s="121"/>
      <c r="L10" s="122">
        <f>SUM(C10:K10)</f>
        <v>77701.76733333431</v>
      </c>
    </row>
    <row r="11" spans="1:12" ht="24.75" customHeight="1">
      <c r="A11" s="786" t="s">
        <v>1155</v>
      </c>
      <c r="B11" s="1197" t="s">
        <v>332</v>
      </c>
      <c r="C11" s="123"/>
      <c r="D11" s="119"/>
      <c r="E11" s="119"/>
      <c r="F11" s="119"/>
      <c r="G11" s="120"/>
      <c r="H11" s="121"/>
      <c r="I11" s="121"/>
      <c r="J11" s="121"/>
      <c r="K11" s="121"/>
      <c r="L11" s="122"/>
    </row>
    <row r="12" spans="1:12" ht="12.75">
      <c r="A12" s="786" t="s">
        <v>1156</v>
      </c>
      <c r="B12" s="1198">
        <v>2011</v>
      </c>
      <c r="C12" s="124">
        <v>0</v>
      </c>
      <c r="D12" s="118"/>
      <c r="E12" s="118"/>
      <c r="F12" s="119">
        <v>2940</v>
      </c>
      <c r="G12" s="125">
        <v>2500</v>
      </c>
      <c r="H12" s="126">
        <f>379+5</f>
        <v>384</v>
      </c>
      <c r="I12" s="126">
        <v>0</v>
      </c>
      <c r="J12" s="126"/>
      <c r="K12" s="126">
        <v>8696</v>
      </c>
      <c r="L12" s="122">
        <f aca="true" t="shared" si="0" ref="L12:L26">SUM(C12:K12)</f>
        <v>14520</v>
      </c>
    </row>
    <row r="13" spans="1:12" ht="12.75">
      <c r="A13" s="786" t="s">
        <v>1157</v>
      </c>
      <c r="B13" s="1199">
        <v>2012</v>
      </c>
      <c r="C13" s="127">
        <f>C10</f>
        <v>77701.76733333431</v>
      </c>
      <c r="D13" s="127"/>
      <c r="E13" s="127"/>
      <c r="F13" s="119">
        <v>2940</v>
      </c>
      <c r="G13" s="125">
        <v>2500</v>
      </c>
      <c r="H13" s="126">
        <v>468</v>
      </c>
      <c r="I13" s="126">
        <v>0</v>
      </c>
      <c r="J13" s="126"/>
      <c r="K13" s="126">
        <v>8696</v>
      </c>
      <c r="L13" s="128">
        <f t="shared" si="0"/>
        <v>92305.76733333431</v>
      </c>
    </row>
    <row r="14" spans="1:12" ht="12.75">
      <c r="A14" s="786" t="s">
        <v>1158</v>
      </c>
      <c r="B14" s="1198">
        <v>2013</v>
      </c>
      <c r="C14" s="124">
        <v>0</v>
      </c>
      <c r="D14" s="127">
        <v>0</v>
      </c>
      <c r="E14" s="44">
        <v>1074</v>
      </c>
      <c r="F14" s="119">
        <v>2940</v>
      </c>
      <c r="G14" s="125">
        <v>2500</v>
      </c>
      <c r="H14" s="37">
        <f>37-5</f>
        <v>32</v>
      </c>
      <c r="I14" s="37">
        <v>69113</v>
      </c>
      <c r="J14" s="37"/>
      <c r="K14" s="126">
        <v>8696</v>
      </c>
      <c r="L14" s="37">
        <f t="shared" si="0"/>
        <v>84355</v>
      </c>
    </row>
    <row r="15" spans="1:12" ht="12.75">
      <c r="A15" s="786" t="s">
        <v>1159</v>
      </c>
      <c r="B15" s="1198">
        <v>2014</v>
      </c>
      <c r="C15" s="124">
        <v>0</v>
      </c>
      <c r="D15" s="127">
        <v>0</v>
      </c>
      <c r="E15" s="44">
        <v>1432</v>
      </c>
      <c r="F15" s="119">
        <v>2940</v>
      </c>
      <c r="G15" s="125">
        <v>2500</v>
      </c>
      <c r="H15" s="37">
        <v>0</v>
      </c>
      <c r="I15" s="37">
        <v>76792</v>
      </c>
      <c r="J15" s="37"/>
      <c r="K15" s="126">
        <v>8696</v>
      </c>
      <c r="L15" s="37">
        <f t="shared" si="0"/>
        <v>92360</v>
      </c>
    </row>
    <row r="16" spans="1:12" ht="12.75">
      <c r="A16" s="786" t="s">
        <v>1160</v>
      </c>
      <c r="B16" s="1198">
        <v>2015</v>
      </c>
      <c r="C16" s="124">
        <v>0</v>
      </c>
      <c r="D16" s="127">
        <v>0</v>
      </c>
      <c r="E16" s="44">
        <v>1432</v>
      </c>
      <c r="F16" s="119">
        <v>2940</v>
      </c>
      <c r="G16" s="125">
        <v>2500</v>
      </c>
      <c r="H16" s="37">
        <v>0</v>
      </c>
      <c r="I16" s="37">
        <v>85796</v>
      </c>
      <c r="J16" s="37"/>
      <c r="K16" s="126">
        <v>8696</v>
      </c>
      <c r="L16" s="37">
        <f t="shared" si="0"/>
        <v>101364</v>
      </c>
    </row>
    <row r="17" spans="1:12" ht="12.75">
      <c r="A17" s="786" t="s">
        <v>1161</v>
      </c>
      <c r="B17" s="1198">
        <v>2016</v>
      </c>
      <c r="C17" s="124">
        <v>0</v>
      </c>
      <c r="D17" s="127">
        <v>0</v>
      </c>
      <c r="E17" s="44">
        <v>1432</v>
      </c>
      <c r="F17" s="119">
        <v>2940</v>
      </c>
      <c r="G17" s="125">
        <v>2500</v>
      </c>
      <c r="H17" s="37">
        <v>0</v>
      </c>
      <c r="I17" s="37">
        <v>85796</v>
      </c>
      <c r="J17" s="37"/>
      <c r="K17" s="126">
        <v>8696</v>
      </c>
      <c r="L17" s="37">
        <f t="shared" si="0"/>
        <v>101364</v>
      </c>
    </row>
    <row r="18" spans="1:12" ht="12.75">
      <c r="A18" s="786" t="s">
        <v>1162</v>
      </c>
      <c r="B18" s="1198">
        <v>2017</v>
      </c>
      <c r="C18" s="124">
        <v>0</v>
      </c>
      <c r="D18" s="127">
        <v>0</v>
      </c>
      <c r="E18" s="44">
        <v>1432</v>
      </c>
      <c r="F18" s="119">
        <v>2940</v>
      </c>
      <c r="G18" s="125">
        <v>2500</v>
      </c>
      <c r="H18" s="37">
        <v>0</v>
      </c>
      <c r="I18" s="37">
        <v>88443</v>
      </c>
      <c r="J18" s="37"/>
      <c r="K18" s="126">
        <v>8696</v>
      </c>
      <c r="L18" s="37">
        <f t="shared" si="0"/>
        <v>104011</v>
      </c>
    </row>
    <row r="19" spans="1:12" ht="12.75">
      <c r="A19" s="786" t="s">
        <v>1163</v>
      </c>
      <c r="B19" s="1198">
        <v>2018</v>
      </c>
      <c r="C19" s="124">
        <v>0</v>
      </c>
      <c r="D19" s="127">
        <v>0</v>
      </c>
      <c r="E19" s="44">
        <v>1432</v>
      </c>
      <c r="F19" s="119">
        <v>2940</v>
      </c>
      <c r="G19" s="125">
        <v>2500</v>
      </c>
      <c r="H19" s="37">
        <v>0</v>
      </c>
      <c r="I19" s="37">
        <v>94798</v>
      </c>
      <c r="J19" s="37"/>
      <c r="K19" s="126">
        <v>8696</v>
      </c>
      <c r="L19" s="37">
        <f t="shared" si="0"/>
        <v>110366</v>
      </c>
    </row>
    <row r="20" spans="1:12" ht="12.75">
      <c r="A20" s="786" t="s">
        <v>1164</v>
      </c>
      <c r="B20" s="1198">
        <v>2019</v>
      </c>
      <c r="C20" s="124">
        <v>0</v>
      </c>
      <c r="D20" s="127">
        <v>0</v>
      </c>
      <c r="E20" s="44">
        <v>1432</v>
      </c>
      <c r="F20" s="119">
        <v>2940</v>
      </c>
      <c r="G20" s="125">
        <v>2500</v>
      </c>
      <c r="H20" s="37">
        <v>0</v>
      </c>
      <c r="I20" s="37">
        <v>96387</v>
      </c>
      <c r="J20" s="37"/>
      <c r="K20" s="126">
        <v>8696</v>
      </c>
      <c r="L20" s="37">
        <f t="shared" si="0"/>
        <v>111955</v>
      </c>
    </row>
    <row r="21" spans="1:12" ht="12.75">
      <c r="A21" s="786" t="s">
        <v>1165</v>
      </c>
      <c r="B21" s="1198">
        <v>2020</v>
      </c>
      <c r="C21" s="124">
        <v>0</v>
      </c>
      <c r="D21" s="127">
        <v>0</v>
      </c>
      <c r="E21" s="44">
        <v>1432</v>
      </c>
      <c r="F21" s="119">
        <v>2940</v>
      </c>
      <c r="G21" s="125">
        <v>2500</v>
      </c>
      <c r="H21" s="37">
        <v>0</v>
      </c>
      <c r="I21" s="37">
        <v>97446</v>
      </c>
      <c r="J21" s="37"/>
      <c r="K21" s="126">
        <v>8696</v>
      </c>
      <c r="L21" s="37">
        <f t="shared" si="0"/>
        <v>113014</v>
      </c>
    </row>
    <row r="22" spans="1:12" ht="12.75">
      <c r="A22" s="786" t="s">
        <v>1166</v>
      </c>
      <c r="B22" s="1198">
        <v>2021</v>
      </c>
      <c r="C22" s="124">
        <v>0</v>
      </c>
      <c r="D22" s="127">
        <v>0</v>
      </c>
      <c r="E22" s="44">
        <v>1432</v>
      </c>
      <c r="F22" s="119">
        <v>2940</v>
      </c>
      <c r="G22" s="125">
        <v>2500</v>
      </c>
      <c r="H22" s="37">
        <v>0</v>
      </c>
      <c r="I22" s="37">
        <v>102213</v>
      </c>
      <c r="J22" s="37"/>
      <c r="K22" s="126">
        <v>8696</v>
      </c>
      <c r="L22" s="37">
        <f t="shared" si="0"/>
        <v>117781</v>
      </c>
    </row>
    <row r="23" spans="1:12" ht="12.75">
      <c r="A23" s="786" t="s">
        <v>1167</v>
      </c>
      <c r="B23" s="1198">
        <v>2022</v>
      </c>
      <c r="C23" s="124">
        <v>0</v>
      </c>
      <c r="D23" s="127">
        <v>0</v>
      </c>
      <c r="E23" s="44">
        <v>1432</v>
      </c>
      <c r="F23" s="119">
        <v>2940</v>
      </c>
      <c r="G23" s="125">
        <v>2500</v>
      </c>
      <c r="H23" s="37">
        <v>0</v>
      </c>
      <c r="I23" s="37">
        <v>105390</v>
      </c>
      <c r="J23" s="37"/>
      <c r="K23" s="126">
        <v>8696</v>
      </c>
      <c r="L23" s="37">
        <f t="shared" si="0"/>
        <v>120958</v>
      </c>
    </row>
    <row r="24" spans="1:12" ht="12.75">
      <c r="A24" s="786" t="s">
        <v>1168</v>
      </c>
      <c r="B24" s="1198">
        <v>2023</v>
      </c>
      <c r="C24" s="124">
        <v>0</v>
      </c>
      <c r="D24" s="127">
        <v>0</v>
      </c>
      <c r="E24" s="44">
        <v>1432</v>
      </c>
      <c r="F24" s="119">
        <v>2940</v>
      </c>
      <c r="G24" s="125">
        <v>2500</v>
      </c>
      <c r="H24" s="37">
        <v>0</v>
      </c>
      <c r="I24" s="37">
        <v>108038</v>
      </c>
      <c r="J24" s="37"/>
      <c r="K24" s="126">
        <v>8696</v>
      </c>
      <c r="L24" s="37">
        <f t="shared" si="0"/>
        <v>123606</v>
      </c>
    </row>
    <row r="25" spans="1:12" ht="12.75">
      <c r="A25" s="786" t="s">
        <v>1169</v>
      </c>
      <c r="B25" s="1198">
        <v>2024</v>
      </c>
      <c r="C25" s="124">
        <v>0</v>
      </c>
      <c r="D25" s="127">
        <v>0</v>
      </c>
      <c r="E25" s="44">
        <v>1432</v>
      </c>
      <c r="F25" s="119">
        <v>2940</v>
      </c>
      <c r="G25" s="125">
        <v>2500</v>
      </c>
      <c r="H25" s="37">
        <v>0</v>
      </c>
      <c r="I25" s="37">
        <v>112804</v>
      </c>
      <c r="J25" s="37"/>
      <c r="K25" s="126">
        <v>8253</v>
      </c>
      <c r="L25" s="37">
        <f t="shared" si="0"/>
        <v>127929</v>
      </c>
    </row>
    <row r="26" spans="1:12" ht="12.75">
      <c r="A26" s="786" t="s">
        <v>1170</v>
      </c>
      <c r="B26" s="1199">
        <v>2025</v>
      </c>
      <c r="C26" s="129">
        <v>0</v>
      </c>
      <c r="D26" s="127">
        <v>0</v>
      </c>
      <c r="E26" s="44">
        <v>1432</v>
      </c>
      <c r="F26" s="127">
        <v>2960</v>
      </c>
      <c r="G26" s="18">
        <v>625</v>
      </c>
      <c r="H26" s="43">
        <v>0</v>
      </c>
      <c r="I26" s="43">
        <v>118630</v>
      </c>
      <c r="J26" s="37"/>
      <c r="K26" s="43"/>
      <c r="L26" s="43">
        <f t="shared" si="0"/>
        <v>123647</v>
      </c>
    </row>
    <row r="27" spans="1:12" ht="12.75">
      <c r="A27" s="786" t="s">
        <v>1171</v>
      </c>
      <c r="B27" s="1198">
        <v>2026</v>
      </c>
      <c r="C27" s="124"/>
      <c r="D27" s="118"/>
      <c r="E27" s="44">
        <v>1432</v>
      </c>
      <c r="F27" s="118"/>
      <c r="G27" s="12"/>
      <c r="H27" s="37"/>
      <c r="I27" s="37">
        <v>126045</v>
      </c>
      <c r="J27" s="37"/>
      <c r="K27" s="37"/>
      <c r="L27" s="43">
        <f aca="true" t="shared" si="1" ref="L27:L34">SUM(C27:K27)</f>
        <v>127477</v>
      </c>
    </row>
    <row r="28" spans="1:12" ht="12.75">
      <c r="A28" s="786" t="s">
        <v>1173</v>
      </c>
      <c r="B28" s="1198">
        <v>2027</v>
      </c>
      <c r="C28" s="124"/>
      <c r="D28" s="118"/>
      <c r="E28" s="44">
        <v>1432</v>
      </c>
      <c r="F28" s="118"/>
      <c r="G28" s="12"/>
      <c r="H28" s="37"/>
      <c r="I28" s="37">
        <v>67789</v>
      </c>
      <c r="J28" s="37"/>
      <c r="K28" s="37"/>
      <c r="L28" s="43">
        <f t="shared" si="1"/>
        <v>69221</v>
      </c>
    </row>
    <row r="29" spans="1:12" ht="12.75">
      <c r="A29" s="786" t="s">
        <v>1174</v>
      </c>
      <c r="B29" s="1198">
        <v>2028</v>
      </c>
      <c r="C29" s="124"/>
      <c r="D29" s="118"/>
      <c r="E29" s="44">
        <v>1432</v>
      </c>
      <c r="F29" s="118"/>
      <c r="G29" s="12"/>
      <c r="H29" s="37"/>
      <c r="I29" s="37">
        <v>1570000</v>
      </c>
      <c r="J29" s="37"/>
      <c r="K29" s="37"/>
      <c r="L29" s="43">
        <f t="shared" si="1"/>
        <v>1571432</v>
      </c>
    </row>
    <row r="30" spans="1:12" ht="12.75">
      <c r="A30" s="786" t="s">
        <v>1175</v>
      </c>
      <c r="B30" s="1198">
        <v>2029</v>
      </c>
      <c r="C30" s="124"/>
      <c r="D30" s="118"/>
      <c r="E30" s="44">
        <v>1432</v>
      </c>
      <c r="F30" s="118"/>
      <c r="G30" s="12"/>
      <c r="H30" s="37"/>
      <c r="I30" s="37">
        <v>0</v>
      </c>
      <c r="J30" s="37"/>
      <c r="K30" s="37"/>
      <c r="L30" s="43">
        <f t="shared" si="1"/>
        <v>1432</v>
      </c>
    </row>
    <row r="31" spans="1:12" ht="12.75">
      <c r="A31" s="786" t="s">
        <v>1176</v>
      </c>
      <c r="B31" s="1198">
        <v>2030</v>
      </c>
      <c r="C31" s="124"/>
      <c r="D31" s="118"/>
      <c r="E31" s="44">
        <v>963</v>
      </c>
      <c r="F31" s="118"/>
      <c r="G31" s="12"/>
      <c r="H31" s="37"/>
      <c r="I31" s="37">
        <v>0</v>
      </c>
      <c r="J31" s="37"/>
      <c r="K31" s="37"/>
      <c r="L31" s="43">
        <f t="shared" si="1"/>
        <v>963</v>
      </c>
    </row>
    <row r="32" spans="1:12" ht="12.75">
      <c r="A32" s="786" t="s">
        <v>1177</v>
      </c>
      <c r="B32" s="1198">
        <v>2031</v>
      </c>
      <c r="C32" s="124"/>
      <c r="D32" s="118"/>
      <c r="E32" s="44"/>
      <c r="F32" s="118"/>
      <c r="G32" s="12"/>
      <c r="H32" s="37"/>
      <c r="I32" s="37">
        <v>0</v>
      </c>
      <c r="J32" s="37"/>
      <c r="K32" s="37"/>
      <c r="L32" s="43">
        <f t="shared" si="1"/>
        <v>0</v>
      </c>
    </row>
    <row r="33" spans="1:12" ht="12.75">
      <c r="A33" s="786" t="s">
        <v>1178</v>
      </c>
      <c r="B33" s="1198">
        <v>2032</v>
      </c>
      <c r="C33" s="124"/>
      <c r="D33" s="118"/>
      <c r="E33" s="44"/>
      <c r="F33" s="118"/>
      <c r="G33" s="12"/>
      <c r="H33" s="37"/>
      <c r="I33" s="37">
        <v>0</v>
      </c>
      <c r="J33" s="37"/>
      <c r="K33" s="37"/>
      <c r="L33" s="37">
        <f t="shared" si="1"/>
        <v>0</v>
      </c>
    </row>
    <row r="34" spans="1:12" ht="12.75">
      <c r="A34" s="786" t="s">
        <v>1179</v>
      </c>
      <c r="B34" s="1200">
        <v>2033</v>
      </c>
      <c r="C34" s="673"/>
      <c r="D34" s="673"/>
      <c r="E34" s="673"/>
      <c r="F34" s="673"/>
      <c r="G34" s="674"/>
      <c r="H34" s="675"/>
      <c r="I34" s="130">
        <v>0</v>
      </c>
      <c r="J34" s="675"/>
      <c r="K34" s="675"/>
      <c r="L34" s="130">
        <f t="shared" si="1"/>
        <v>0</v>
      </c>
    </row>
    <row r="35" spans="2:12" ht="12.75">
      <c r="B35" s="131"/>
      <c r="C35" s="24"/>
      <c r="D35" s="24"/>
      <c r="E35" s="24"/>
      <c r="F35" s="24"/>
      <c r="G35" s="24"/>
      <c r="H35" s="24"/>
      <c r="I35" s="24"/>
      <c r="J35" s="24"/>
      <c r="K35" s="24"/>
      <c r="L35" s="41"/>
    </row>
    <row r="36" spans="2:12" ht="12.75">
      <c r="B36" s="131"/>
      <c r="C36" s="24"/>
      <c r="D36" s="24"/>
      <c r="E36" s="24"/>
      <c r="F36" s="24"/>
      <c r="G36" s="24"/>
      <c r="H36" s="24"/>
      <c r="I36" s="24"/>
      <c r="J36" s="24"/>
      <c r="K36" s="24"/>
      <c r="L36" s="41"/>
    </row>
    <row r="37" spans="2:12" ht="12.75">
      <c r="B37" s="131"/>
      <c r="C37" s="24"/>
      <c r="D37" s="24"/>
      <c r="E37" s="24"/>
      <c r="F37" s="24"/>
      <c r="G37" s="24"/>
      <c r="H37" s="24"/>
      <c r="I37" s="24"/>
      <c r="J37" s="24"/>
      <c r="K37" s="24"/>
      <c r="L37" s="41"/>
    </row>
    <row r="38" spans="2:12" ht="12.75">
      <c r="B38" s="131"/>
      <c r="C38" s="24"/>
      <c r="D38" s="24"/>
      <c r="E38" s="24"/>
      <c r="F38" s="24"/>
      <c r="G38" s="24"/>
      <c r="H38" s="24"/>
      <c r="I38" s="24"/>
      <c r="J38" s="24"/>
      <c r="K38" s="24"/>
      <c r="L38" s="41"/>
    </row>
    <row r="39" spans="2:12" ht="12.75">
      <c r="B39" s="25" t="s">
        <v>333</v>
      </c>
      <c r="C39" s="132">
        <f aca="true" t="shared" si="2" ref="C39:L39">SUM(C12:C34)</f>
        <v>77701.76733333431</v>
      </c>
      <c r="D39" s="132">
        <f t="shared" si="2"/>
        <v>0</v>
      </c>
      <c r="E39" s="132">
        <f t="shared" si="2"/>
        <v>24949</v>
      </c>
      <c r="F39" s="132">
        <f t="shared" si="2"/>
        <v>44120</v>
      </c>
      <c r="G39" s="132">
        <f t="shared" si="2"/>
        <v>35625</v>
      </c>
      <c r="H39" s="132">
        <f t="shared" si="2"/>
        <v>884</v>
      </c>
      <c r="I39" s="132">
        <f t="shared" si="2"/>
        <v>3005480</v>
      </c>
      <c r="J39" s="132">
        <f t="shared" si="2"/>
        <v>0</v>
      </c>
      <c r="K39" s="132">
        <f t="shared" si="2"/>
        <v>121301</v>
      </c>
      <c r="L39" s="132">
        <f t="shared" si="2"/>
        <v>3310060.7673333343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450"/>
    </row>
    <row r="2" spans="1:6" ht="12.75">
      <c r="A2" s="1547" t="s">
        <v>1333</v>
      </c>
      <c r="B2" s="1602"/>
      <c r="C2" s="1602"/>
      <c r="D2" s="1602"/>
      <c r="E2" s="1602"/>
      <c r="F2" s="1602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588" t="s">
        <v>334</v>
      </c>
      <c r="C5" s="1588"/>
      <c r="D5" s="1588"/>
    </row>
    <row r="6" spans="2:4" ht="15.75">
      <c r="B6" s="1555" t="s">
        <v>620</v>
      </c>
      <c r="C6" s="1555"/>
      <c r="D6" s="1555"/>
    </row>
    <row r="7" spans="2:4" ht="15.75">
      <c r="B7" s="1555" t="s">
        <v>335</v>
      </c>
      <c r="C7" s="1555"/>
      <c r="D7" s="1555"/>
    </row>
    <row r="8" spans="2:4" ht="15.75">
      <c r="B8" s="53"/>
      <c r="C8" s="53"/>
      <c r="D8" s="53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54" t="s">
        <v>15</v>
      </c>
    </row>
    <row r="13" spans="1:4" ht="26.25" thickBot="1">
      <c r="A13" s="1134" t="s">
        <v>1148</v>
      </c>
      <c r="B13" s="1073" t="s">
        <v>3</v>
      </c>
      <c r="C13" s="1208" t="s">
        <v>336</v>
      </c>
      <c r="D13" s="1209" t="s">
        <v>337</v>
      </c>
    </row>
    <row r="14" spans="1:4" ht="13.5" thickBot="1">
      <c r="A14" s="1064" t="s">
        <v>1149</v>
      </c>
      <c r="B14" s="1182" t="s">
        <v>1150</v>
      </c>
      <c r="C14" s="1183" t="s">
        <v>1151</v>
      </c>
      <c r="D14" s="1187" t="s">
        <v>1152</v>
      </c>
    </row>
    <row r="15" spans="1:4" ht="15.75">
      <c r="A15" s="1086" t="s">
        <v>1153</v>
      </c>
      <c r="B15" s="111" t="s">
        <v>338</v>
      </c>
      <c r="C15" s="451">
        <v>5000</v>
      </c>
      <c r="D15" s="1210" t="s">
        <v>339</v>
      </c>
    </row>
    <row r="16" spans="1:4" ht="15.75">
      <c r="A16" s="950" t="s">
        <v>1154</v>
      </c>
      <c r="B16" s="63" t="s">
        <v>340</v>
      </c>
      <c r="C16" s="452">
        <v>1000</v>
      </c>
      <c r="D16" s="1211" t="s">
        <v>339</v>
      </c>
    </row>
    <row r="17" spans="1:4" ht="15.75">
      <c r="A17" s="883" t="s">
        <v>1155</v>
      </c>
      <c r="B17" s="63" t="s">
        <v>341</v>
      </c>
      <c r="C17" s="452"/>
      <c r="D17" s="1211" t="s">
        <v>339</v>
      </c>
    </row>
    <row r="18" spans="1:4" ht="15.75">
      <c r="A18" s="883" t="s">
        <v>1156</v>
      </c>
      <c r="B18" s="397"/>
      <c r="C18" s="453"/>
      <c r="D18" s="1212"/>
    </row>
    <row r="19" spans="1:4" ht="13.5" thickBot="1">
      <c r="A19" s="889" t="s">
        <v>1157</v>
      </c>
      <c r="B19" s="17"/>
      <c r="C19" s="19"/>
      <c r="D19" s="1213"/>
    </row>
    <row r="20" spans="1:4" ht="16.5" thickBot="1">
      <c r="A20" s="841" t="s">
        <v>1158</v>
      </c>
      <c r="B20" s="1216" t="s">
        <v>133</v>
      </c>
      <c r="C20" s="1214">
        <f>SUM(C15:C18)</f>
        <v>6000</v>
      </c>
      <c r="D20" s="1215"/>
    </row>
    <row r="26" spans="1:6" ht="12.75">
      <c r="A26" s="1547" t="s">
        <v>1334</v>
      </c>
      <c r="B26" s="1602"/>
      <c r="C26" s="1602"/>
      <c r="D26" s="1602"/>
      <c r="E26" s="1602"/>
      <c r="F26" s="1602"/>
    </row>
    <row r="27" spans="2:3" ht="14.25">
      <c r="B27" s="133"/>
      <c r="C27" s="134"/>
    </row>
    <row r="28" spans="2:3" ht="14.25">
      <c r="B28" s="133"/>
      <c r="C28" s="139"/>
    </row>
    <row r="29" spans="2:3" ht="15.75">
      <c r="B29" s="1657" t="s">
        <v>334</v>
      </c>
      <c r="C29" s="1657"/>
    </row>
    <row r="30" spans="2:3" ht="15.75">
      <c r="B30" s="1655" t="s">
        <v>622</v>
      </c>
      <c r="C30" s="1655"/>
    </row>
    <row r="31" spans="2:3" ht="12.75">
      <c r="B31" s="1656"/>
      <c r="C31" s="1656"/>
    </row>
    <row r="32" spans="2:3" ht="13.5" thickBot="1">
      <c r="B32" s="133"/>
      <c r="C32" s="136" t="s">
        <v>15</v>
      </c>
    </row>
    <row r="33" spans="1:4" ht="26.25" thickBot="1">
      <c r="A33" s="1134" t="s">
        <v>1148</v>
      </c>
      <c r="B33" s="1201" t="s">
        <v>358</v>
      </c>
      <c r="C33" s="1202" t="s">
        <v>359</v>
      </c>
      <c r="D33" s="24"/>
    </row>
    <row r="34" spans="1:4" ht="13.5" thickBot="1">
      <c r="A34" s="1064" t="s">
        <v>1149</v>
      </c>
      <c r="B34" s="1182" t="s">
        <v>1150</v>
      </c>
      <c r="C34" s="1203" t="s">
        <v>1151</v>
      </c>
      <c r="D34" s="49"/>
    </row>
    <row r="35" spans="1:3" ht="12.75">
      <c r="A35" s="1086" t="s">
        <v>1153</v>
      </c>
      <c r="B35" s="140" t="s">
        <v>623</v>
      </c>
      <c r="C35" s="1204">
        <v>3092923</v>
      </c>
    </row>
    <row r="36" spans="1:3" ht="12.75">
      <c r="A36" s="950" t="s">
        <v>1154</v>
      </c>
      <c r="B36" s="140" t="s">
        <v>360</v>
      </c>
      <c r="C36" s="1205">
        <v>8841441</v>
      </c>
    </row>
    <row r="37" spans="1:3" ht="12.75">
      <c r="A37" s="883" t="s">
        <v>1155</v>
      </c>
      <c r="B37" s="140" t="s">
        <v>361</v>
      </c>
      <c r="C37" s="1205">
        <v>8841441</v>
      </c>
    </row>
    <row r="38" spans="1:3" ht="13.5" thickBot="1">
      <c r="A38" s="908" t="s">
        <v>1156</v>
      </c>
      <c r="B38" s="1206" t="s">
        <v>624</v>
      </c>
      <c r="C38" s="1207">
        <f>C35+C36-C37</f>
        <v>3092923</v>
      </c>
    </row>
  </sheetData>
  <sheetProtection/>
  <mergeCells count="8">
    <mergeCell ref="B30:C30"/>
    <mergeCell ref="B31:C31"/>
    <mergeCell ref="A2:F2"/>
    <mergeCell ref="A26:F26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5">
      <selection activeCell="C10" sqref="C10"/>
    </sheetView>
  </sheetViews>
  <sheetFormatPr defaultColWidth="9.140625" defaultRowHeight="12.75"/>
  <cols>
    <col min="1" max="1" width="5.421875" style="0" customWidth="1"/>
    <col min="2" max="2" width="37.7109375" style="0" customWidth="1"/>
    <col min="3" max="3" width="14.28125" style="0" customWidth="1"/>
    <col min="4" max="4" width="15.140625" style="0" customWidth="1"/>
    <col min="5" max="5" width="15.7109375" style="0" customWidth="1"/>
  </cols>
  <sheetData>
    <row r="1" spans="1:5" ht="12.75">
      <c r="A1" s="1547" t="s">
        <v>1293</v>
      </c>
      <c r="B1" s="1547"/>
      <c r="C1" s="1547"/>
      <c r="D1" s="1547"/>
      <c r="E1" s="1547"/>
    </row>
    <row r="2" spans="2:5" ht="15.75">
      <c r="B2" s="1555" t="s">
        <v>32</v>
      </c>
      <c r="C2" s="1555"/>
      <c r="D2" s="1555"/>
      <c r="E2" s="1555"/>
    </row>
    <row r="3" spans="2:5" ht="15.75">
      <c r="B3" s="1555" t="s">
        <v>523</v>
      </c>
      <c r="C3" s="1555"/>
      <c r="D3" s="1555"/>
      <c r="E3" s="1555"/>
    </row>
    <row r="4" spans="2:5" ht="13.5" thickBot="1">
      <c r="B4" s="1"/>
      <c r="C4" s="1"/>
      <c r="D4" s="1"/>
      <c r="E4" s="31" t="s">
        <v>33</v>
      </c>
    </row>
    <row r="5" spans="1:5" ht="29.25" customHeight="1" thickBot="1">
      <c r="A5" s="830" t="s">
        <v>1148</v>
      </c>
      <c r="B5" s="826" t="s">
        <v>34</v>
      </c>
      <c r="C5" s="827" t="s">
        <v>35</v>
      </c>
      <c r="D5" s="828" t="s">
        <v>36</v>
      </c>
      <c r="E5" s="829" t="s">
        <v>37</v>
      </c>
    </row>
    <row r="6" spans="1:5" ht="10.5" customHeight="1">
      <c r="A6" s="825" t="s">
        <v>1149</v>
      </c>
      <c r="B6" s="800" t="s">
        <v>1150</v>
      </c>
      <c r="C6" s="797" t="s">
        <v>1151</v>
      </c>
      <c r="D6" s="798" t="s">
        <v>1152</v>
      </c>
      <c r="E6" s="799" t="s">
        <v>1172</v>
      </c>
    </row>
    <row r="7" spans="1:5" ht="12.75">
      <c r="A7" s="789" t="s">
        <v>1153</v>
      </c>
      <c r="B7" s="372" t="s">
        <v>503</v>
      </c>
      <c r="C7" s="736"/>
      <c r="D7" s="282"/>
      <c r="E7" s="272"/>
    </row>
    <row r="8" spans="1:5" ht="12.75">
      <c r="A8" s="786" t="s">
        <v>1154</v>
      </c>
      <c r="B8" s="305" t="s">
        <v>24</v>
      </c>
      <c r="C8" s="736">
        <f>147746+462+828+4987+485+509+476+122+3398</f>
        <v>159013</v>
      </c>
      <c r="D8" s="282">
        <f>198202+5854+629+378+387+36356-8000-3000+10</f>
        <v>230816</v>
      </c>
      <c r="E8" s="272">
        <f>SUM(C8:D8)</f>
        <v>389829</v>
      </c>
    </row>
    <row r="9" spans="1:5" ht="12.75">
      <c r="A9" s="786" t="s">
        <v>1155</v>
      </c>
      <c r="B9" s="305" t="s">
        <v>25</v>
      </c>
      <c r="C9" s="736">
        <f>39166+175+1095+131+137+129+33+439</f>
        <v>41305</v>
      </c>
      <c r="D9" s="282">
        <f>48651+3400+135+102+105+9845-2000+5</f>
        <v>60243</v>
      </c>
      <c r="E9" s="272">
        <f>SUM(C9:D9)</f>
        <v>101548</v>
      </c>
    </row>
    <row r="10" spans="1:5" ht="12.75">
      <c r="A10" s="786" t="s">
        <v>1156</v>
      </c>
      <c r="B10" s="305" t="s">
        <v>26</v>
      </c>
      <c r="C10" s="736">
        <f>123993-462+12655-605-301+7379</f>
        <v>142659</v>
      </c>
      <c r="D10" s="282">
        <f>20152+4233+1861-178+280+800+10000+3000+272</f>
        <v>40420</v>
      </c>
      <c r="E10" s="272">
        <f>SUM(C10:D10)</f>
        <v>183079</v>
      </c>
    </row>
    <row r="11" spans="1:5" ht="12.75">
      <c r="A11" s="786" t="s">
        <v>1157</v>
      </c>
      <c r="B11" s="305" t="s">
        <v>27</v>
      </c>
      <c r="C11" s="736"/>
      <c r="D11" s="282"/>
      <c r="E11" s="272">
        <f>SUM(C11:D11)</f>
        <v>0</v>
      </c>
    </row>
    <row r="12" spans="1:5" ht="12.75">
      <c r="A12" s="786" t="s">
        <v>1158</v>
      </c>
      <c r="B12" s="305" t="s">
        <v>498</v>
      </c>
      <c r="C12" s="736">
        <f>C13+C14+C15+C16</f>
        <v>0</v>
      </c>
      <c r="D12" s="282">
        <f>D13+D14+D15+D16</f>
        <v>0</v>
      </c>
      <c r="E12" s="272">
        <f>E13+E14+E15+E16</f>
        <v>0</v>
      </c>
    </row>
    <row r="13" spans="1:5" ht="12.75">
      <c r="A13" s="786" t="s">
        <v>1159</v>
      </c>
      <c r="B13" s="305" t="s">
        <v>492</v>
      </c>
      <c r="C13" s="736"/>
      <c r="D13" s="282"/>
      <c r="E13" s="272">
        <f>C13+D13</f>
        <v>0</v>
      </c>
    </row>
    <row r="14" spans="1:5" ht="12.75">
      <c r="A14" s="786" t="s">
        <v>1160</v>
      </c>
      <c r="B14" s="254" t="s">
        <v>493</v>
      </c>
      <c r="C14" s="736"/>
      <c r="D14" s="282"/>
      <c r="E14" s="272">
        <f>C14+D14</f>
        <v>0</v>
      </c>
    </row>
    <row r="15" spans="1:5" ht="12.75">
      <c r="A15" s="786" t="s">
        <v>1161</v>
      </c>
      <c r="B15" s="305" t="s">
        <v>494</v>
      </c>
      <c r="C15" s="736"/>
      <c r="D15" s="282"/>
      <c r="E15" s="272">
        <f>C15+D15</f>
        <v>0</v>
      </c>
    </row>
    <row r="16" spans="1:5" s="26" customFormat="1" ht="12.75">
      <c r="A16" s="786" t="s">
        <v>1162</v>
      </c>
      <c r="B16" s="305" t="s">
        <v>495</v>
      </c>
      <c r="C16" s="485"/>
      <c r="D16" s="286"/>
      <c r="E16" s="272">
        <f>C16+D16</f>
        <v>0</v>
      </c>
    </row>
    <row r="17" spans="1:5" ht="13.5" thickBot="1">
      <c r="A17" s="786" t="s">
        <v>1163</v>
      </c>
      <c r="B17" s="647" t="s">
        <v>496</v>
      </c>
      <c r="C17" s="737"/>
      <c r="D17" s="287"/>
      <c r="E17" s="272">
        <f>C17+D17</f>
        <v>0</v>
      </c>
    </row>
    <row r="18" spans="1:5" ht="13.5" thickBot="1">
      <c r="A18" s="786" t="s">
        <v>1164</v>
      </c>
      <c r="B18" s="248" t="s">
        <v>28</v>
      </c>
      <c r="C18" s="497">
        <f>C8+C9+C10+C11+C12+C17</f>
        <v>342977</v>
      </c>
      <c r="D18" s="284">
        <f>D8+D9+D10+D11+D12+D17</f>
        <v>331479</v>
      </c>
      <c r="E18" s="521">
        <f>E8+E9+E10+E11+E12+E17</f>
        <v>674456</v>
      </c>
    </row>
    <row r="19" spans="1:5" ht="6" customHeight="1">
      <c r="A19" s="786"/>
      <c r="B19" s="268"/>
      <c r="C19" s="738"/>
      <c r="D19" s="285"/>
      <c r="E19" s="274"/>
    </row>
    <row r="20" spans="1:5" ht="12.75">
      <c r="A20" s="786" t="s">
        <v>1165</v>
      </c>
      <c r="B20" s="372" t="s">
        <v>504</v>
      </c>
      <c r="C20" s="736"/>
      <c r="D20" s="282"/>
      <c r="E20" s="272"/>
    </row>
    <row r="21" spans="1:5" ht="12.75">
      <c r="A21" s="786" t="s">
        <v>1166</v>
      </c>
      <c r="B21" s="305" t="s">
        <v>29</v>
      </c>
      <c r="C21" s="736">
        <f>'33_sz_ melléklet'!C10</f>
        <v>17750</v>
      </c>
      <c r="D21" s="282">
        <f>'33_sz_ melléklet'!C15</f>
        <v>2897</v>
      </c>
      <c r="E21" s="272">
        <f>SUM(C21:D21)</f>
        <v>20647</v>
      </c>
    </row>
    <row r="22" spans="1:5" ht="12.75">
      <c r="A22" s="786" t="s">
        <v>1167</v>
      </c>
      <c r="B22" s="305" t="s">
        <v>38</v>
      </c>
      <c r="C22" s="736">
        <f>'32_sz_ melléklet'!C13</f>
        <v>1924</v>
      </c>
      <c r="D22" s="282">
        <f>'32_sz_ melléklet'!C16</f>
        <v>27012</v>
      </c>
      <c r="E22" s="272">
        <f>SUM(C22:D22)</f>
        <v>28936</v>
      </c>
    </row>
    <row r="23" spans="1:5" s="26" customFormat="1" ht="12.75">
      <c r="A23" s="786" t="s">
        <v>1168</v>
      </c>
      <c r="B23" s="305" t="s">
        <v>497</v>
      </c>
      <c r="C23" s="485">
        <f>C24+C25+C26</f>
        <v>0</v>
      </c>
      <c r="D23" s="286">
        <f>D24+D25+D26</f>
        <v>0</v>
      </c>
      <c r="E23" s="275">
        <f>E24+E25+E26</f>
        <v>0</v>
      </c>
    </row>
    <row r="24" spans="1:5" ht="12.75">
      <c r="A24" s="786" t="s">
        <v>1169</v>
      </c>
      <c r="B24" s="305" t="s">
        <v>499</v>
      </c>
      <c r="C24" s="736"/>
      <c r="D24" s="282"/>
      <c r="E24" s="272">
        <f>D24+C24</f>
        <v>0</v>
      </c>
    </row>
    <row r="25" spans="1:5" ht="12.75">
      <c r="A25" s="786" t="s">
        <v>1170</v>
      </c>
      <c r="B25" s="305" t="s">
        <v>562</v>
      </c>
      <c r="C25" s="736"/>
      <c r="D25" s="282"/>
      <c r="E25" s="272">
        <f>D25+C25</f>
        <v>0</v>
      </c>
    </row>
    <row r="26" spans="1:5" ht="12.75">
      <c r="A26" s="786" t="s">
        <v>1171</v>
      </c>
      <c r="B26" s="305" t="s">
        <v>500</v>
      </c>
      <c r="C26" s="736"/>
      <c r="D26" s="282"/>
      <c r="E26" s="272">
        <f>D26+C26</f>
        <v>0</v>
      </c>
    </row>
    <row r="27" spans="1:5" ht="12.75">
      <c r="A27" s="786" t="s">
        <v>1173</v>
      </c>
      <c r="B27" s="305" t="s">
        <v>501</v>
      </c>
      <c r="C27" s="736"/>
      <c r="D27" s="282"/>
      <c r="E27" s="272">
        <f>D27+C27</f>
        <v>0</v>
      </c>
    </row>
    <row r="28" spans="1:5" s="26" customFormat="1" ht="13.5" thickBot="1">
      <c r="A28" s="786" t="s">
        <v>1174</v>
      </c>
      <c r="B28" s="647" t="s">
        <v>502</v>
      </c>
      <c r="C28" s="739">
        <f>-C11</f>
        <v>0</v>
      </c>
      <c r="D28" s="283">
        <f>-D11</f>
        <v>0</v>
      </c>
      <c r="E28" s="273">
        <f>-E11</f>
        <v>0</v>
      </c>
    </row>
    <row r="29" spans="1:5" ht="13.5" thickBot="1">
      <c r="A29" s="786" t="s">
        <v>1175</v>
      </c>
      <c r="B29" s="248" t="s">
        <v>30</v>
      </c>
      <c r="C29" s="497">
        <f>C21+C22+C23+C27+C28</f>
        <v>19674</v>
      </c>
      <c r="D29" s="284">
        <f>D21+D22+D23+D27+D28</f>
        <v>29909</v>
      </c>
      <c r="E29" s="521">
        <f>E21+E22+E23+E27+E28</f>
        <v>49583</v>
      </c>
    </row>
    <row r="30" spans="1:5" ht="6" customHeight="1">
      <c r="A30" s="786"/>
      <c r="B30" s="268"/>
      <c r="C30" s="738"/>
      <c r="D30" s="285"/>
      <c r="E30" s="274"/>
    </row>
    <row r="31" spans="1:5" ht="25.5">
      <c r="A31" s="786" t="s">
        <v>1176</v>
      </c>
      <c r="B31" s="252" t="s">
        <v>505</v>
      </c>
      <c r="C31" s="736"/>
      <c r="D31" s="282"/>
      <c r="E31" s="272"/>
    </row>
    <row r="32" spans="1:5" ht="12.75">
      <c r="A32" s="786" t="s">
        <v>1177</v>
      </c>
      <c r="B32" s="254" t="s">
        <v>506</v>
      </c>
      <c r="C32" s="736"/>
      <c r="D32" s="282"/>
      <c r="E32" s="272">
        <f>D32+C32</f>
        <v>0</v>
      </c>
    </row>
    <row r="33" spans="1:5" ht="12.75">
      <c r="A33" s="786" t="s">
        <v>1178</v>
      </c>
      <c r="B33" s="254" t="s">
        <v>507</v>
      </c>
      <c r="C33" s="485"/>
      <c r="D33" s="286"/>
      <c r="E33" s="272">
        <f>D33+C33</f>
        <v>0</v>
      </c>
    </row>
    <row r="34" spans="1:5" ht="13.5" thickBot="1">
      <c r="A34" s="786" t="s">
        <v>1179</v>
      </c>
      <c r="B34" s="728" t="s">
        <v>508</v>
      </c>
      <c r="C34" s="737"/>
      <c r="D34" s="287"/>
      <c r="E34" s="272">
        <f>D34+C34</f>
        <v>0</v>
      </c>
    </row>
    <row r="35" spans="1:5" ht="25.5" customHeight="1" thickBot="1">
      <c r="A35" s="786" t="s">
        <v>1180</v>
      </c>
      <c r="B35" s="269" t="s">
        <v>509</v>
      </c>
      <c r="C35" s="497">
        <f>C32+C33+C34</f>
        <v>0</v>
      </c>
      <c r="D35" s="284">
        <f>D32+D33+D34</f>
        <v>0</v>
      </c>
      <c r="E35" s="521">
        <f>E32+E33+E34</f>
        <v>0</v>
      </c>
    </row>
    <row r="36" spans="1:5" ht="5.25" customHeight="1">
      <c r="A36" s="786"/>
      <c r="B36" s="268"/>
      <c r="C36" s="738"/>
      <c r="D36" s="285"/>
      <c r="E36" s="274"/>
    </row>
    <row r="37" spans="1:5" ht="12.75">
      <c r="A37" s="786" t="s">
        <v>1181</v>
      </c>
      <c r="B37" s="372" t="s">
        <v>510</v>
      </c>
      <c r="C37" s="736"/>
      <c r="D37" s="282"/>
      <c r="E37" s="272"/>
    </row>
    <row r="38" spans="1:5" ht="12.75">
      <c r="A38" s="786" t="s">
        <v>1182</v>
      </c>
      <c r="B38" s="305" t="s">
        <v>511</v>
      </c>
      <c r="C38" s="485"/>
      <c r="D38" s="286"/>
      <c r="E38" s="275">
        <f>D38+C38</f>
        <v>0</v>
      </c>
    </row>
    <row r="39" spans="1:5" ht="12.75">
      <c r="A39" s="786" t="s">
        <v>1183</v>
      </c>
      <c r="B39" s="305" t="s">
        <v>52</v>
      </c>
      <c r="C39" s="736"/>
      <c r="D39" s="282"/>
      <c r="E39" s="275">
        <f>D39+C39</f>
        <v>0</v>
      </c>
    </row>
    <row r="40" spans="1:5" ht="12.75">
      <c r="A40" s="786" t="s">
        <v>1184</v>
      </c>
      <c r="B40" s="213" t="s">
        <v>1288</v>
      </c>
      <c r="C40" s="736"/>
      <c r="D40" s="282"/>
      <c r="E40" s="275">
        <f>D40+C40</f>
        <v>0</v>
      </c>
    </row>
    <row r="41" spans="1:5" ht="13.5" thickBot="1">
      <c r="A41" s="786" t="s">
        <v>1185</v>
      </c>
      <c r="B41" s="647" t="s">
        <v>513</v>
      </c>
      <c r="C41" s="737"/>
      <c r="D41" s="287"/>
      <c r="E41" s="275">
        <f>D41+C41</f>
        <v>0</v>
      </c>
    </row>
    <row r="42" spans="1:5" ht="13.5" thickBot="1">
      <c r="A42" s="786" t="s">
        <v>1186</v>
      </c>
      <c r="B42" s="248" t="s">
        <v>516</v>
      </c>
      <c r="C42" s="497">
        <f>C38+C39+C40+C41</f>
        <v>0</v>
      </c>
      <c r="D42" s="284">
        <f>D38+D39+D40+D41</f>
        <v>0</v>
      </c>
      <c r="E42" s="521">
        <f>E38+E39+E40+E41</f>
        <v>0</v>
      </c>
    </row>
    <row r="43" spans="1:5" ht="7.5" customHeight="1">
      <c r="A43" s="786"/>
      <c r="B43" s="268"/>
      <c r="C43" s="740"/>
      <c r="D43" s="288"/>
      <c r="E43" s="277"/>
    </row>
    <row r="44" spans="1:5" ht="25.5" customHeight="1">
      <c r="A44" s="786" t="s">
        <v>1187</v>
      </c>
      <c r="B44" s="729" t="s">
        <v>512</v>
      </c>
      <c r="C44" s="485">
        <f>C42+C35+C29+C18</f>
        <v>362651</v>
      </c>
      <c r="D44" s="286">
        <f>D42+D35+D29+D18</f>
        <v>361388</v>
      </c>
      <c r="E44" s="275">
        <f>E42+E35+E29+E18</f>
        <v>724039</v>
      </c>
    </row>
    <row r="45" spans="1:5" s="26" customFormat="1" ht="7.5" customHeight="1">
      <c r="A45" s="786"/>
      <c r="B45" s="730"/>
      <c r="C45" s="741"/>
      <c r="D45" s="286"/>
      <c r="E45" s="275"/>
    </row>
    <row r="46" spans="1:5" ht="12.75" customHeight="1">
      <c r="A46" s="786" t="s">
        <v>1188</v>
      </c>
      <c r="B46" s="731" t="s">
        <v>519</v>
      </c>
      <c r="C46" s="742"/>
      <c r="D46" s="282"/>
      <c r="E46" s="272"/>
    </row>
    <row r="47" spans="1:5" ht="12.75">
      <c r="A47" s="786" t="s">
        <v>1189</v>
      </c>
      <c r="B47" s="260" t="s">
        <v>514</v>
      </c>
      <c r="C47" s="736"/>
      <c r="D47" s="282"/>
      <c r="E47" s="272">
        <f>D47+C47</f>
        <v>0</v>
      </c>
    </row>
    <row r="48" spans="1:5" s="25" customFormat="1" ht="13.5" thickBot="1">
      <c r="A48" s="786" t="s">
        <v>1190</v>
      </c>
      <c r="B48" s="261" t="s">
        <v>515</v>
      </c>
      <c r="C48" s="737"/>
      <c r="D48" s="287"/>
      <c r="E48" s="272">
        <f>D48+C48</f>
        <v>0</v>
      </c>
    </row>
    <row r="49" spans="1:5" s="25" customFormat="1" ht="13.5" thickBot="1">
      <c r="A49" s="786" t="s">
        <v>1191</v>
      </c>
      <c r="B49" s="262" t="s">
        <v>517</v>
      </c>
      <c r="C49" s="493">
        <f>C47+C48</f>
        <v>0</v>
      </c>
      <c r="D49" s="289">
        <f>D47+D48</f>
        <v>0</v>
      </c>
      <c r="E49" s="474">
        <f>E47+E48</f>
        <v>0</v>
      </c>
    </row>
    <row r="50" spans="1:5" ht="5.25" customHeight="1">
      <c r="A50" s="786"/>
      <c r="B50" s="732"/>
      <c r="C50" s="740"/>
      <c r="D50" s="288"/>
      <c r="E50" s="277"/>
    </row>
    <row r="51" spans="1:5" ht="21.75">
      <c r="A51" s="786" t="s">
        <v>1192</v>
      </c>
      <c r="B51" s="648" t="s">
        <v>518</v>
      </c>
      <c r="C51" s="736"/>
      <c r="D51" s="282"/>
      <c r="E51" s="272"/>
    </row>
    <row r="52" spans="1:5" ht="12.75">
      <c r="A52" s="786" t="s">
        <v>1193</v>
      </c>
      <c r="B52" s="733" t="s">
        <v>520</v>
      </c>
      <c r="C52" s="485"/>
      <c r="D52" s="286"/>
      <c r="E52" s="275">
        <f>D52+C52</f>
        <v>0</v>
      </c>
    </row>
    <row r="53" spans="1:5" ht="13.5" thickBot="1">
      <c r="A53" s="786" t="s">
        <v>1194</v>
      </c>
      <c r="B53" s="734" t="s">
        <v>521</v>
      </c>
      <c r="C53" s="743"/>
      <c r="D53" s="745"/>
      <c r="E53" s="275">
        <f>D53+C53</f>
        <v>0</v>
      </c>
    </row>
    <row r="54" spans="1:5" ht="13.5" thickBot="1">
      <c r="A54" s="786" t="s">
        <v>1195</v>
      </c>
      <c r="B54" s="248" t="s">
        <v>522</v>
      </c>
      <c r="C54" s="744">
        <f>C52+C53</f>
        <v>0</v>
      </c>
      <c r="D54" s="343">
        <f>D52+D53</f>
        <v>0</v>
      </c>
      <c r="E54" s="747">
        <f>E52+E53</f>
        <v>0</v>
      </c>
    </row>
    <row r="55" spans="1:5" ht="9" customHeight="1" thickBot="1">
      <c r="A55" s="786"/>
      <c r="B55" s="247"/>
      <c r="C55" s="607"/>
      <c r="D55" s="746"/>
      <c r="E55" s="735"/>
    </row>
    <row r="56" spans="1:5" ht="18" customHeight="1" thickBot="1">
      <c r="A56" s="823" t="s">
        <v>1196</v>
      </c>
      <c r="B56" s="262" t="s">
        <v>31</v>
      </c>
      <c r="C56" s="493">
        <f>C44+C49+C54</f>
        <v>362651</v>
      </c>
      <c r="D56" s="289">
        <f>D44+D49+D54</f>
        <v>361388</v>
      </c>
      <c r="E56" s="474">
        <f>E44+E49+E54</f>
        <v>724039</v>
      </c>
    </row>
    <row r="57" ht="6" customHeight="1"/>
    <row r="59" ht="15.75" customHeight="1"/>
    <row r="60" ht="24.75" customHeight="1"/>
    <row r="70" s="26" customFormat="1" ht="12.75"/>
    <row r="77" s="26" customFormat="1" ht="12.75"/>
    <row r="82" s="26" customFormat="1" ht="12.75"/>
    <row r="87" s="26" customFormat="1" ht="12.75"/>
    <row r="92" s="26" customFormat="1" ht="12.75"/>
    <row r="97" s="26" customFormat="1" ht="12.75"/>
    <row r="98" ht="12" customHeight="1"/>
    <row r="99" s="26" customFormat="1" ht="12.75"/>
    <row r="100" ht="11.25" customHeight="1"/>
    <row r="104" s="26" customFormat="1" ht="12.75"/>
    <row r="105" ht="9.75" customHeight="1"/>
    <row r="106" s="26" customFormat="1" ht="15" customHeight="1"/>
  </sheetData>
  <sheetProtection/>
  <mergeCells count="3">
    <mergeCell ref="B2:E2"/>
    <mergeCell ref="B3:E3"/>
    <mergeCell ref="A1:E1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1547" t="s">
        <v>1335</v>
      </c>
      <c r="B1" s="1602"/>
      <c r="C1" s="1602"/>
      <c r="D1" s="1602"/>
      <c r="E1" s="1602"/>
      <c r="F1" s="1602"/>
    </row>
    <row r="2" spans="2:3" ht="12" customHeight="1">
      <c r="B2" s="133"/>
      <c r="C2" s="134"/>
    </row>
    <row r="3" spans="2:6" ht="15.75">
      <c r="B3" s="1657" t="s">
        <v>334</v>
      </c>
      <c r="C3" s="1657"/>
      <c r="D3" s="60"/>
      <c r="E3" s="60"/>
      <c r="F3" s="60"/>
    </row>
    <row r="4" spans="2:6" ht="15.75">
      <c r="B4" s="1655" t="s">
        <v>621</v>
      </c>
      <c r="C4" s="1655"/>
      <c r="D4" s="21"/>
      <c r="E4" s="21"/>
      <c r="F4" s="21"/>
    </row>
    <row r="5" spans="2:3" ht="12.75">
      <c r="B5" s="135"/>
      <c r="C5" s="136"/>
    </row>
    <row r="6" spans="2:3" ht="13.5" thickBot="1">
      <c r="B6" s="135"/>
      <c r="C6" s="137" t="s">
        <v>15</v>
      </c>
    </row>
    <row r="7" spans="1:3" ht="12.75">
      <c r="A7" s="1568" t="s">
        <v>1148</v>
      </c>
      <c r="B7" s="1659" t="s">
        <v>342</v>
      </c>
      <c r="C7" s="1661" t="s">
        <v>343</v>
      </c>
    </row>
    <row r="8" spans="1:3" ht="13.5" thickBot="1">
      <c r="A8" s="1554"/>
      <c r="B8" s="1660"/>
      <c r="C8" s="1662"/>
    </row>
    <row r="9" spans="1:3" ht="13.5" thickBot="1">
      <c r="A9" s="1064" t="s">
        <v>1281</v>
      </c>
      <c r="B9" s="1182" t="s">
        <v>1150</v>
      </c>
      <c r="C9" s="1203" t="s">
        <v>1151</v>
      </c>
    </row>
    <row r="10" spans="1:3" ht="15.75">
      <c r="A10" s="1085" t="s">
        <v>1153</v>
      </c>
      <c r="B10" s="1254" t="s">
        <v>344</v>
      </c>
      <c r="C10" s="454"/>
    </row>
    <row r="11" spans="1:3" ht="15.75">
      <c r="A11" s="789" t="s">
        <v>1154</v>
      </c>
      <c r="B11" s="1254" t="s">
        <v>639</v>
      </c>
      <c r="C11" s="454"/>
    </row>
    <row r="12" spans="1:3" ht="15.75">
      <c r="A12" s="786" t="s">
        <v>1155</v>
      </c>
      <c r="B12" s="1254" t="s">
        <v>640</v>
      </c>
      <c r="C12" s="454"/>
    </row>
    <row r="13" spans="1:3" ht="15.75">
      <c r="A13" s="786" t="s">
        <v>1156</v>
      </c>
      <c r="B13" s="1254" t="s">
        <v>641</v>
      </c>
      <c r="C13" s="454"/>
    </row>
    <row r="14" spans="1:3" ht="15.75">
      <c r="A14" s="786" t="s">
        <v>1157</v>
      </c>
      <c r="B14" s="1255" t="s">
        <v>345</v>
      </c>
      <c r="C14" s="455"/>
    </row>
    <row r="15" spans="1:3" ht="15.75">
      <c r="A15" s="786" t="s">
        <v>1158</v>
      </c>
      <c r="B15" s="1256" t="s">
        <v>346</v>
      </c>
      <c r="C15" s="456">
        <v>1000</v>
      </c>
    </row>
    <row r="16" spans="1:3" ht="15.75">
      <c r="A16" s="786" t="s">
        <v>1159</v>
      </c>
      <c r="B16" s="1255" t="s">
        <v>642</v>
      </c>
      <c r="C16" s="456"/>
    </row>
    <row r="17" spans="1:3" ht="15.75">
      <c r="A17" s="786" t="s">
        <v>1160</v>
      </c>
      <c r="B17" s="1257" t="s">
        <v>643</v>
      </c>
      <c r="C17" s="456">
        <v>6000</v>
      </c>
    </row>
    <row r="18" spans="1:3" ht="15.75">
      <c r="A18" s="786" t="s">
        <v>1161</v>
      </c>
      <c r="B18" s="1257" t="s">
        <v>644</v>
      </c>
      <c r="C18" s="456">
        <v>5000</v>
      </c>
    </row>
    <row r="19" spans="1:3" ht="15.75">
      <c r="A19" s="786" t="s">
        <v>1162</v>
      </c>
      <c r="B19" s="1257" t="s">
        <v>645</v>
      </c>
      <c r="C19" s="456">
        <v>2000</v>
      </c>
    </row>
    <row r="20" spans="1:3" ht="15.75">
      <c r="A20" s="786" t="s">
        <v>1163</v>
      </c>
      <c r="B20" s="1257" t="s">
        <v>347</v>
      </c>
      <c r="C20" s="456"/>
    </row>
    <row r="21" spans="1:3" ht="17.25" customHeight="1">
      <c r="A21" s="786" t="s">
        <v>1164</v>
      </c>
      <c r="B21" s="1258" t="s">
        <v>348</v>
      </c>
      <c r="C21" s="456"/>
    </row>
    <row r="22" spans="1:3" ht="16.5" customHeight="1">
      <c r="A22" s="786" t="s">
        <v>1165</v>
      </c>
      <c r="B22" s="1258" t="s">
        <v>349</v>
      </c>
      <c r="C22" s="456"/>
    </row>
    <row r="23" spans="1:3" ht="26.25">
      <c r="A23" s="786" t="s">
        <v>1166</v>
      </c>
      <c r="B23" s="1258" t="s">
        <v>350</v>
      </c>
      <c r="C23" s="456"/>
    </row>
    <row r="24" spans="1:3" ht="15.75">
      <c r="A24" s="786" t="s">
        <v>1167</v>
      </c>
      <c r="B24" s="1258" t="s">
        <v>351</v>
      </c>
      <c r="C24" s="456"/>
    </row>
    <row r="25" spans="1:3" ht="16.5" thickBot="1">
      <c r="A25" s="823" t="s">
        <v>1168</v>
      </c>
      <c r="B25" s="1259" t="s">
        <v>352</v>
      </c>
      <c r="C25" s="457">
        <f>SUM(C10:C24)</f>
        <v>14000</v>
      </c>
    </row>
    <row r="26" spans="2:3" ht="12.75">
      <c r="B26" s="133"/>
      <c r="C26" s="133"/>
    </row>
    <row r="27" spans="2:3" ht="12.75">
      <c r="B27" s="1658" t="s">
        <v>353</v>
      </c>
      <c r="C27" s="1658"/>
    </row>
    <row r="28" spans="2:3" ht="12.75">
      <c r="B28" s="1658" t="s">
        <v>354</v>
      </c>
      <c r="C28" s="1658"/>
    </row>
    <row r="29" spans="2:3" ht="13.5" customHeight="1">
      <c r="B29" s="1658" t="s">
        <v>355</v>
      </c>
      <c r="C29" s="1658"/>
    </row>
    <row r="30" spans="2:3" ht="13.5" customHeight="1">
      <c r="B30" s="138"/>
      <c r="C30" s="138"/>
    </row>
    <row r="31" spans="2:3" ht="12.75">
      <c r="B31" s="133"/>
      <c r="C31" s="133"/>
    </row>
    <row r="32" spans="2:3" ht="12.75">
      <c r="B32" s="133" t="s">
        <v>356</v>
      </c>
      <c r="C32" s="133"/>
    </row>
    <row r="33" spans="2:3" ht="12.75">
      <c r="B33" s="133" t="s">
        <v>357</v>
      </c>
      <c r="C33" s="133"/>
    </row>
    <row r="34" spans="2:3" ht="12.75">
      <c r="B34" s="133"/>
      <c r="C34" s="133"/>
    </row>
    <row r="35" spans="2:3" ht="12.75">
      <c r="B35" s="133"/>
      <c r="C35" s="133"/>
    </row>
    <row r="36" spans="2:3" ht="12.75">
      <c r="B36" s="133"/>
      <c r="C36" s="133"/>
    </row>
  </sheetData>
  <sheetProtection/>
  <mergeCells count="9">
    <mergeCell ref="A7:A8"/>
    <mergeCell ref="A1:F1"/>
    <mergeCell ref="B29:C29"/>
    <mergeCell ref="B3:C3"/>
    <mergeCell ref="B4:C4"/>
    <mergeCell ref="B7:B8"/>
    <mergeCell ref="C7:C8"/>
    <mergeCell ref="B27:C27"/>
    <mergeCell ref="B28:C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D16" sqref="D16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547" t="s">
        <v>1336</v>
      </c>
      <c r="C1" s="1602"/>
      <c r="D1" s="1602"/>
      <c r="E1" s="1602"/>
      <c r="F1" s="1602"/>
      <c r="G1" s="1602"/>
    </row>
    <row r="2" spans="1:7" ht="15.75">
      <c r="A2" s="1573" t="s">
        <v>362</v>
      </c>
      <c r="B2" s="1562"/>
      <c r="C2" s="1562"/>
      <c r="D2" s="1562"/>
      <c r="E2" s="1562"/>
      <c r="F2" s="1562"/>
      <c r="G2" s="1562"/>
    </row>
    <row r="3" spans="1:7" ht="12.75">
      <c r="A3" s="1561" t="s">
        <v>1462</v>
      </c>
      <c r="B3" s="1602"/>
      <c r="C3" s="1602"/>
      <c r="D3" s="1602"/>
      <c r="E3" s="1602"/>
      <c r="F3" s="1602"/>
      <c r="G3" s="1602"/>
    </row>
    <row r="4" spans="1:7" ht="12.75">
      <c r="A4" s="1607" t="s">
        <v>626</v>
      </c>
      <c r="B4" s="1562"/>
      <c r="C4" s="1562"/>
      <c r="D4" s="1562"/>
      <c r="E4" s="1562"/>
      <c r="F4" s="1562"/>
      <c r="G4" s="1562"/>
    </row>
    <row r="5" spans="2:7" ht="13.5" thickBot="1">
      <c r="B5" s="1"/>
      <c r="C5" s="1"/>
      <c r="D5" s="1"/>
      <c r="E5" s="1"/>
      <c r="F5" s="1"/>
      <c r="G5" s="31" t="s">
        <v>15</v>
      </c>
    </row>
    <row r="6" spans="1:7" ht="13.5" thickBot="1">
      <c r="A6" s="1592" t="s">
        <v>1148</v>
      </c>
      <c r="B6" s="1665" t="s">
        <v>363</v>
      </c>
      <c r="C6" s="1667" t="s">
        <v>364</v>
      </c>
      <c r="D6" s="1218" t="s">
        <v>365</v>
      </c>
      <c r="E6" s="1219" t="s">
        <v>245</v>
      </c>
      <c r="F6" s="1218" t="s">
        <v>366</v>
      </c>
      <c r="G6" s="1220" t="s">
        <v>367</v>
      </c>
    </row>
    <row r="7" spans="1:7" ht="13.5" thickBot="1">
      <c r="A7" s="1593"/>
      <c r="B7" s="1666"/>
      <c r="C7" s="1666"/>
      <c r="D7" s="434" t="s">
        <v>368</v>
      </c>
      <c r="E7" s="329" t="s">
        <v>369</v>
      </c>
      <c r="F7" s="434" t="s">
        <v>370</v>
      </c>
      <c r="G7" s="1221" t="s">
        <v>371</v>
      </c>
    </row>
    <row r="8" spans="1:7" ht="13.5" thickBot="1">
      <c r="A8" s="1593"/>
      <c r="B8" s="1666"/>
      <c r="C8" s="1666"/>
      <c r="D8" s="434" t="s">
        <v>372</v>
      </c>
      <c r="E8" s="329" t="s">
        <v>373</v>
      </c>
      <c r="F8" s="434" t="s">
        <v>373</v>
      </c>
      <c r="G8" s="1221" t="s">
        <v>374</v>
      </c>
    </row>
    <row r="9" spans="1:7" ht="13.5" thickBot="1">
      <c r="A9" s="943" t="s">
        <v>1281</v>
      </c>
      <c r="B9" s="1182" t="s">
        <v>1150</v>
      </c>
      <c r="C9" s="1203" t="s">
        <v>1151</v>
      </c>
      <c r="D9" s="1217" t="s">
        <v>1152</v>
      </c>
      <c r="E9" s="863" t="s">
        <v>1172</v>
      </c>
      <c r="F9" s="1217" t="s">
        <v>1197</v>
      </c>
      <c r="G9" s="864" t="s">
        <v>1198</v>
      </c>
    </row>
    <row r="10" spans="1:7" ht="12.75">
      <c r="A10" s="904" t="s">
        <v>1153</v>
      </c>
      <c r="B10" s="45" t="s">
        <v>375</v>
      </c>
      <c r="C10" s="34" t="s">
        <v>376</v>
      </c>
      <c r="D10" s="35"/>
      <c r="E10" s="40"/>
      <c r="F10" s="35"/>
      <c r="G10" s="479"/>
    </row>
    <row r="11" spans="1:7" ht="12.75">
      <c r="A11" s="950" t="s">
        <v>1154</v>
      </c>
      <c r="B11" s="8" t="s">
        <v>375</v>
      </c>
      <c r="C11" s="437" t="s">
        <v>377</v>
      </c>
      <c r="D11" s="12">
        <v>121301</v>
      </c>
      <c r="E11" s="42"/>
      <c r="F11" s="12"/>
      <c r="G11" s="481"/>
    </row>
    <row r="12" spans="1:7" ht="12.75">
      <c r="A12" s="883" t="s">
        <v>1155</v>
      </c>
      <c r="B12" s="8" t="s">
        <v>375</v>
      </c>
      <c r="C12" s="34" t="s">
        <v>378</v>
      </c>
      <c r="D12" s="35">
        <v>35625</v>
      </c>
      <c r="E12" s="40"/>
      <c r="F12" s="35"/>
      <c r="G12" s="479"/>
    </row>
    <row r="13" spans="1:7" ht="12.75">
      <c r="A13" s="883" t="s">
        <v>1156</v>
      </c>
      <c r="B13" s="8" t="s">
        <v>375</v>
      </c>
      <c r="C13" s="437" t="s">
        <v>379</v>
      </c>
      <c r="D13" s="12">
        <v>44120</v>
      </c>
      <c r="E13" s="42"/>
      <c r="F13" s="18"/>
      <c r="G13" s="496"/>
    </row>
    <row r="14" spans="1:7" ht="12.75">
      <c r="A14" s="883" t="s">
        <v>1157</v>
      </c>
      <c r="B14" s="8" t="s">
        <v>375</v>
      </c>
      <c r="C14" s="437" t="s">
        <v>1457</v>
      </c>
      <c r="D14" s="12">
        <v>24949</v>
      </c>
      <c r="E14" s="42"/>
      <c r="F14" s="12"/>
      <c r="G14" s="481"/>
    </row>
    <row r="15" spans="1:7" ht="12.75">
      <c r="A15" s="883" t="s">
        <v>1158</v>
      </c>
      <c r="B15" s="8" t="s">
        <v>1458</v>
      </c>
      <c r="C15" s="36" t="s">
        <v>1459</v>
      </c>
      <c r="D15" s="36">
        <v>884</v>
      </c>
      <c r="E15" s="6"/>
      <c r="F15" s="36"/>
      <c r="G15" s="1192"/>
    </row>
    <row r="16" spans="1:7" ht="12.75">
      <c r="A16" s="883" t="s">
        <v>1159</v>
      </c>
      <c r="B16" s="8" t="s">
        <v>1460</v>
      </c>
      <c r="C16" s="437" t="s">
        <v>1461</v>
      </c>
      <c r="D16" s="12">
        <v>3005480</v>
      </c>
      <c r="E16" s="42"/>
      <c r="F16" s="12"/>
      <c r="G16" s="481"/>
    </row>
    <row r="17" spans="1:7" ht="12.75">
      <c r="A17" s="883" t="s">
        <v>1160</v>
      </c>
      <c r="B17" s="8"/>
      <c r="C17" s="437"/>
      <c r="D17" s="12"/>
      <c r="E17" s="42"/>
      <c r="F17" s="12"/>
      <c r="G17" s="481"/>
    </row>
    <row r="18" spans="1:7" ht="13.5" thickBot="1">
      <c r="A18" s="889" t="s">
        <v>1161</v>
      </c>
      <c r="B18" s="17"/>
      <c r="C18" s="437"/>
      <c r="D18" s="12"/>
      <c r="E18" s="42"/>
      <c r="F18" s="12"/>
      <c r="G18" s="481"/>
    </row>
    <row r="19" spans="1:7" ht="13.5" thickBot="1">
      <c r="A19" s="1450" t="s">
        <v>1162</v>
      </c>
      <c r="B19" s="1451" t="s">
        <v>71</v>
      </c>
      <c r="C19" s="1449" t="s">
        <v>380</v>
      </c>
      <c r="D19" s="183">
        <f>SUM(D10:D18)</f>
        <v>3232359</v>
      </c>
      <c r="E19" s="503">
        <f>SUM(E10:E18)</f>
        <v>0</v>
      </c>
      <c r="F19" s="183">
        <f>SUM(F10:F18)</f>
        <v>0</v>
      </c>
      <c r="G19" s="474">
        <f>SUM(G10:G18)</f>
        <v>0</v>
      </c>
    </row>
    <row r="20" spans="2:7" ht="12.75">
      <c r="B20" s="48"/>
      <c r="C20" s="329"/>
      <c r="D20" s="41"/>
      <c r="E20" s="41"/>
      <c r="F20" s="41"/>
      <c r="G20" s="41"/>
    </row>
    <row r="21" spans="2:7" ht="12.75">
      <c r="B21" s="1547" t="s">
        <v>1337</v>
      </c>
      <c r="C21" s="1602"/>
      <c r="D21" s="1602"/>
      <c r="E21" s="1602"/>
      <c r="F21" s="1602"/>
      <c r="G21" s="1602"/>
    </row>
    <row r="22" spans="1:7" ht="15.75">
      <c r="A22" s="1555" t="s">
        <v>381</v>
      </c>
      <c r="B22" s="1562"/>
      <c r="C22" s="1562"/>
      <c r="D22" s="1562"/>
      <c r="E22" s="1562"/>
      <c r="F22" s="1562"/>
      <c r="G22" s="1562"/>
    </row>
    <row r="23" spans="1:7" ht="12.75">
      <c r="A23" s="1561" t="s">
        <v>382</v>
      </c>
      <c r="B23" s="1562"/>
      <c r="C23" s="1562"/>
      <c r="D23" s="1562"/>
      <c r="E23" s="1562"/>
      <c r="F23" s="1562"/>
      <c r="G23" s="1562"/>
    </row>
    <row r="24" spans="1:7" ht="12.75">
      <c r="A24" s="1561" t="s">
        <v>625</v>
      </c>
      <c r="B24" s="1602"/>
      <c r="C24" s="1602"/>
      <c r="D24" s="1602"/>
      <c r="E24" s="1602"/>
      <c r="F24" s="1602"/>
      <c r="G24" s="1602"/>
    </row>
    <row r="25" spans="2:7" ht="13.5" thickBot="1">
      <c r="B25" s="1"/>
      <c r="C25" s="52"/>
      <c r="D25" s="52"/>
      <c r="E25" s="52"/>
      <c r="F25" s="1"/>
      <c r="G25" s="31" t="s">
        <v>15</v>
      </c>
    </row>
    <row r="26" spans="1:7" ht="13.5" thickBot="1">
      <c r="A26" s="1592" t="s">
        <v>1148</v>
      </c>
      <c r="B26" s="1663" t="s">
        <v>383</v>
      </c>
      <c r="C26" s="1663"/>
      <c r="D26" s="1218" t="s">
        <v>384</v>
      </c>
      <c r="E26" s="1219" t="s">
        <v>385</v>
      </c>
      <c r="F26" s="1218" t="s">
        <v>386</v>
      </c>
      <c r="G26" s="1220" t="s">
        <v>387</v>
      </c>
    </row>
    <row r="27" spans="1:7" ht="13.5" thickBot="1">
      <c r="A27" s="1593"/>
      <c r="B27" s="1664"/>
      <c r="C27" s="1664"/>
      <c r="D27" s="434" t="s">
        <v>368</v>
      </c>
      <c r="E27" s="329" t="s">
        <v>388</v>
      </c>
      <c r="F27" s="434" t="s">
        <v>389</v>
      </c>
      <c r="G27" s="1221" t="s">
        <v>390</v>
      </c>
    </row>
    <row r="28" spans="1:7" ht="13.5" thickBot="1">
      <c r="A28" s="1593"/>
      <c r="B28" s="1664"/>
      <c r="C28" s="1664"/>
      <c r="D28" s="435" t="s">
        <v>391</v>
      </c>
      <c r="E28" s="436" t="s">
        <v>392</v>
      </c>
      <c r="F28" s="435" t="s">
        <v>373</v>
      </c>
      <c r="G28" s="1222" t="s">
        <v>393</v>
      </c>
    </row>
    <row r="29" spans="1:7" ht="13.5" thickBot="1">
      <c r="A29" s="943" t="s">
        <v>1281</v>
      </c>
      <c r="B29" s="1668" t="s">
        <v>1150</v>
      </c>
      <c r="C29" s="1669"/>
      <c r="D29" s="1217" t="s">
        <v>1151</v>
      </c>
      <c r="E29" s="863" t="s">
        <v>1152</v>
      </c>
      <c r="F29" s="1217" t="s">
        <v>1172</v>
      </c>
      <c r="G29" s="864" t="s">
        <v>1197</v>
      </c>
    </row>
    <row r="30" spans="1:7" ht="12.75">
      <c r="A30" s="904" t="s">
        <v>1153</v>
      </c>
      <c r="B30" s="45" t="s">
        <v>1463</v>
      </c>
      <c r="C30" s="440"/>
      <c r="D30" s="35">
        <v>990</v>
      </c>
      <c r="E30" s="40"/>
      <c r="F30" s="35"/>
      <c r="G30" s="479"/>
    </row>
    <row r="31" spans="1:7" ht="12.75">
      <c r="A31" s="904" t="s">
        <v>1154</v>
      </c>
      <c r="B31" s="45" t="s">
        <v>338</v>
      </c>
      <c r="C31" s="440"/>
      <c r="D31" s="35">
        <v>877</v>
      </c>
      <c r="E31" s="40"/>
      <c r="F31" s="35"/>
      <c r="G31" s="479"/>
    </row>
    <row r="32" spans="1:7" ht="12.75">
      <c r="A32" s="904" t="s">
        <v>1155</v>
      </c>
      <c r="B32" s="45" t="s">
        <v>1464</v>
      </c>
      <c r="C32" s="440"/>
      <c r="D32" s="35">
        <v>334</v>
      </c>
      <c r="E32" s="40"/>
      <c r="F32" s="35"/>
      <c r="G32" s="479"/>
    </row>
    <row r="33" spans="1:7" ht="12.75">
      <c r="A33" s="904" t="s">
        <v>1156</v>
      </c>
      <c r="B33" s="45" t="s">
        <v>1465</v>
      </c>
      <c r="C33" s="440"/>
      <c r="D33" s="35">
        <v>20358</v>
      </c>
      <c r="E33" s="40"/>
      <c r="F33" s="35"/>
      <c r="G33" s="479"/>
    </row>
    <row r="34" spans="1:7" ht="12.75">
      <c r="A34" s="904" t="s">
        <v>1157</v>
      </c>
      <c r="B34" s="45" t="s">
        <v>1466</v>
      </c>
      <c r="C34" s="440"/>
      <c r="D34" s="35">
        <v>2313</v>
      </c>
      <c r="E34" s="40"/>
      <c r="F34" s="35"/>
      <c r="G34" s="479"/>
    </row>
    <row r="35" spans="1:7" ht="13.5" thickBot="1">
      <c r="A35" s="944" t="s">
        <v>1158</v>
      </c>
      <c r="B35" s="223" t="s">
        <v>1467</v>
      </c>
      <c r="C35" s="442"/>
      <c r="D35" s="39">
        <v>24</v>
      </c>
      <c r="E35" s="41"/>
      <c r="F35" s="39"/>
      <c r="G35" s="278"/>
    </row>
    <row r="36" spans="1:7" ht="13.5" thickBot="1">
      <c r="A36" s="1452" t="s">
        <v>1159</v>
      </c>
      <c r="B36" s="876" t="s">
        <v>1468</v>
      </c>
      <c r="C36" s="1453"/>
      <c r="D36" s="183">
        <f>SUM(D30:D35)</f>
        <v>24896</v>
      </c>
      <c r="E36" s="183">
        <f>SUM(E30:E35)</f>
        <v>0</v>
      </c>
      <c r="F36" s="183">
        <f>SUM(F30:F35)</f>
        <v>0</v>
      </c>
      <c r="G36" s="474"/>
    </row>
    <row r="37" spans="1:7" ht="12.75">
      <c r="A37" s="904" t="s">
        <v>1160</v>
      </c>
      <c r="B37" s="45" t="s">
        <v>340</v>
      </c>
      <c r="C37" s="440"/>
      <c r="D37" s="35">
        <v>2132</v>
      </c>
      <c r="E37" s="40"/>
      <c r="F37" s="35"/>
      <c r="G37" s="479"/>
    </row>
    <row r="38" spans="1:7" ht="13.5" thickBot="1">
      <c r="A38" s="944" t="s">
        <v>1161</v>
      </c>
      <c r="B38" s="13" t="s">
        <v>1469</v>
      </c>
      <c r="C38" s="804"/>
      <c r="D38" s="14">
        <f>SUM(D37)</f>
        <v>2132</v>
      </c>
      <c r="E38" s="14">
        <f>SUM(E37)</f>
        <v>0</v>
      </c>
      <c r="F38" s="14">
        <f>SUM(F37)</f>
        <v>0</v>
      </c>
      <c r="G38" s="14">
        <f>SUM(G37)</f>
        <v>0</v>
      </c>
    </row>
    <row r="39" spans="1:7" ht="13.5" thickBot="1">
      <c r="A39" s="893" t="s">
        <v>1162</v>
      </c>
      <c r="B39" s="890" t="s">
        <v>71</v>
      </c>
      <c r="C39" s="1454"/>
      <c r="D39" s="891">
        <f>D38+D36</f>
        <v>27028</v>
      </c>
      <c r="E39" s="891">
        <f>E38+E36</f>
        <v>0</v>
      </c>
      <c r="F39" s="891">
        <f>F38+F36</f>
        <v>0</v>
      </c>
      <c r="G39" s="891">
        <f>G38+G36</f>
        <v>0</v>
      </c>
    </row>
  </sheetData>
  <sheetProtection/>
  <mergeCells count="14">
    <mergeCell ref="B29:C29"/>
    <mergeCell ref="B1:G1"/>
    <mergeCell ref="B21:G21"/>
    <mergeCell ref="A22:G22"/>
    <mergeCell ref="A23:G23"/>
    <mergeCell ref="A24:G24"/>
    <mergeCell ref="A3:G3"/>
    <mergeCell ref="B26:C28"/>
    <mergeCell ref="B6:B8"/>
    <mergeCell ref="C6:C8"/>
    <mergeCell ref="A2:G2"/>
    <mergeCell ref="A4:G4"/>
    <mergeCell ref="A6:A8"/>
    <mergeCell ref="A26:A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7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57421875" style="0" customWidth="1"/>
    <col min="2" max="2" width="13.57421875" style="0" customWidth="1"/>
    <col min="3" max="3" width="16.57421875" style="0" customWidth="1"/>
    <col min="4" max="4" width="9.57421875" style="0" customWidth="1"/>
  </cols>
  <sheetData>
    <row r="2" spans="1:13" ht="12.75">
      <c r="A2" s="1547" t="s">
        <v>1345</v>
      </c>
      <c r="B2" s="1602"/>
      <c r="C2" s="1602"/>
      <c r="D2" s="1602"/>
      <c r="E2" s="1602"/>
      <c r="F2" s="1602"/>
      <c r="G2" s="1"/>
      <c r="H2" s="1"/>
      <c r="I2" s="1"/>
      <c r="J2" s="1"/>
      <c r="K2" s="14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640" t="s">
        <v>334</v>
      </c>
      <c r="C4" s="1640"/>
      <c r="D4" s="1640"/>
      <c r="E4" s="1640"/>
      <c r="F4" s="1640"/>
      <c r="G4" s="1640"/>
      <c r="H4" s="1640"/>
      <c r="I4" s="1640"/>
      <c r="J4" s="1640"/>
      <c r="K4" s="1640"/>
      <c r="L4" s="1640"/>
      <c r="M4" s="1640"/>
    </row>
    <row r="5" spans="2:13" ht="18.75">
      <c r="B5" s="1670" t="s">
        <v>394</v>
      </c>
      <c r="C5" s="1670"/>
      <c r="D5" s="1670"/>
      <c r="E5" s="1670"/>
      <c r="F5" s="1670"/>
      <c r="G5" s="1670"/>
      <c r="H5" s="1670"/>
      <c r="I5" s="1670"/>
      <c r="J5" s="1670"/>
      <c r="K5" s="1670"/>
      <c r="L5" s="1670"/>
      <c r="M5" s="1670"/>
    </row>
    <row r="6" spans="2:6" ht="18">
      <c r="B6" s="142"/>
      <c r="C6" s="142"/>
      <c r="D6" s="142"/>
      <c r="E6" s="142"/>
      <c r="F6" s="142"/>
    </row>
    <row r="7" spans="2:6" ht="18">
      <c r="B7" s="142"/>
      <c r="C7" s="142"/>
      <c r="D7" s="142"/>
      <c r="E7" s="142"/>
      <c r="F7" s="142"/>
    </row>
    <row r="8" spans="8:12" ht="13.5" thickBot="1">
      <c r="H8" s="1671"/>
      <c r="I8" s="1671"/>
      <c r="J8" s="1671"/>
      <c r="K8" s="1671"/>
      <c r="L8" s="59" t="s">
        <v>157</v>
      </c>
    </row>
    <row r="9" spans="1:14" ht="15" thickBot="1">
      <c r="A9" s="1568" t="s">
        <v>1148</v>
      </c>
      <c r="B9" s="1672" t="s">
        <v>395</v>
      </c>
      <c r="C9" s="1674" t="s">
        <v>364</v>
      </c>
      <c r="D9" s="1676" t="s">
        <v>627</v>
      </c>
      <c r="E9" s="1678" t="s">
        <v>396</v>
      </c>
      <c r="F9" s="1678"/>
      <c r="G9" s="1678"/>
      <c r="H9" s="1678"/>
      <c r="I9" s="1678"/>
      <c r="J9" s="1678"/>
      <c r="K9" s="1678"/>
      <c r="L9" s="1678"/>
      <c r="M9" s="1678"/>
      <c r="N9" s="1679"/>
    </row>
    <row r="10" spans="1:14" ht="32.25" customHeight="1" thickBot="1">
      <c r="A10" s="1554"/>
      <c r="B10" s="1673"/>
      <c r="C10" s="1675"/>
      <c r="D10" s="1677"/>
      <c r="E10" s="1223">
        <v>2011</v>
      </c>
      <c r="F10" s="1223">
        <v>2012</v>
      </c>
      <c r="G10" s="1223">
        <v>2013</v>
      </c>
      <c r="H10" s="1223">
        <v>2014</v>
      </c>
      <c r="I10" s="1224">
        <v>2015</v>
      </c>
      <c r="J10" s="1225">
        <v>2016</v>
      </c>
      <c r="K10" s="49">
        <v>2017</v>
      </c>
      <c r="L10" s="1226">
        <v>2018</v>
      </c>
      <c r="M10" s="1227">
        <v>2019</v>
      </c>
      <c r="N10" s="1235">
        <v>2020</v>
      </c>
    </row>
    <row r="11" spans="1:14" ht="18" customHeight="1" thickBot="1">
      <c r="A11" s="1064" t="s">
        <v>1149</v>
      </c>
      <c r="B11" s="943" t="s">
        <v>1282</v>
      </c>
      <c r="C11" s="943" t="s">
        <v>1151</v>
      </c>
      <c r="D11" s="943" t="s">
        <v>1152</v>
      </c>
      <c r="E11" s="943" t="s">
        <v>1172</v>
      </c>
      <c r="F11" s="943" t="s">
        <v>1197</v>
      </c>
      <c r="G11" s="943" t="s">
        <v>1198</v>
      </c>
      <c r="H11" s="943" t="s">
        <v>1278</v>
      </c>
      <c r="I11" s="943" t="s">
        <v>1279</v>
      </c>
      <c r="J11" s="943" t="s">
        <v>1280</v>
      </c>
      <c r="K11" s="943" t="s">
        <v>1283</v>
      </c>
      <c r="L11" s="943" t="s">
        <v>1284</v>
      </c>
      <c r="M11" s="1234" t="s">
        <v>1285</v>
      </c>
      <c r="N11" s="1184" t="s">
        <v>1286</v>
      </c>
    </row>
    <row r="12" spans="1:14" ht="31.5" customHeight="1">
      <c r="A12" s="1086" t="s">
        <v>1153</v>
      </c>
      <c r="B12" s="363" t="s">
        <v>397</v>
      </c>
      <c r="C12" s="1228" t="s">
        <v>398</v>
      </c>
      <c r="D12" s="146">
        <v>24949</v>
      </c>
      <c r="E12" s="1229">
        <v>0</v>
      </c>
      <c r="F12" s="1229">
        <v>0</v>
      </c>
      <c r="G12" s="1229">
        <v>1074</v>
      </c>
      <c r="H12" s="1229">
        <v>1432</v>
      </c>
      <c r="I12" s="1230">
        <v>1432</v>
      </c>
      <c r="J12" s="1229">
        <v>1432</v>
      </c>
      <c r="K12" s="1231">
        <v>1432</v>
      </c>
      <c r="L12" s="1232">
        <v>1432</v>
      </c>
      <c r="M12" s="1233">
        <v>1432</v>
      </c>
      <c r="N12" s="1236">
        <v>1432</v>
      </c>
    </row>
    <row r="13" spans="1:14" ht="31.5" customHeight="1">
      <c r="A13" s="883" t="s">
        <v>1154</v>
      </c>
      <c r="B13" s="144" t="s">
        <v>397</v>
      </c>
      <c r="C13" s="145" t="s">
        <v>399</v>
      </c>
      <c r="D13" s="150">
        <v>35625</v>
      </c>
      <c r="E13" s="147">
        <v>2500</v>
      </c>
      <c r="F13" s="147">
        <v>2500</v>
      </c>
      <c r="G13" s="147">
        <v>2500</v>
      </c>
      <c r="H13" s="147">
        <v>2500</v>
      </c>
      <c r="I13" s="148">
        <v>2500</v>
      </c>
      <c r="J13" s="147">
        <v>2500</v>
      </c>
      <c r="K13" s="149">
        <v>2500</v>
      </c>
      <c r="L13" s="156">
        <v>2500</v>
      </c>
      <c r="M13" s="429">
        <v>2500</v>
      </c>
      <c r="N13" s="1237">
        <v>2500</v>
      </c>
    </row>
    <row r="14" spans="1:14" ht="26.25" customHeight="1">
      <c r="A14" s="883" t="s">
        <v>1155</v>
      </c>
      <c r="B14" s="144" t="s">
        <v>397</v>
      </c>
      <c r="C14" s="145" t="s">
        <v>400</v>
      </c>
      <c r="D14" s="150">
        <v>121301</v>
      </c>
      <c r="E14" s="147">
        <v>8696</v>
      </c>
      <c r="F14" s="147">
        <v>8696</v>
      </c>
      <c r="G14" s="147">
        <v>8696</v>
      </c>
      <c r="H14" s="147">
        <v>8696</v>
      </c>
      <c r="I14" s="148">
        <v>8696</v>
      </c>
      <c r="J14" s="147">
        <v>8696</v>
      </c>
      <c r="K14" s="149">
        <v>8696</v>
      </c>
      <c r="L14" s="156">
        <v>8696</v>
      </c>
      <c r="M14" s="430">
        <v>8696</v>
      </c>
      <c r="N14" s="1238">
        <v>8696</v>
      </c>
    </row>
    <row r="15" spans="1:14" ht="24.75" customHeight="1">
      <c r="A15" s="883" t="s">
        <v>1156</v>
      </c>
      <c r="B15" s="151" t="s">
        <v>401</v>
      </c>
      <c r="C15" s="145" t="s">
        <v>402</v>
      </c>
      <c r="D15" s="150">
        <v>884</v>
      </c>
      <c r="E15" s="147">
        <v>384</v>
      </c>
      <c r="F15" s="147">
        <v>468</v>
      </c>
      <c r="G15" s="147">
        <v>32</v>
      </c>
      <c r="H15" s="147">
        <v>0</v>
      </c>
      <c r="I15" s="148">
        <v>0</v>
      </c>
      <c r="J15" s="147">
        <v>0</v>
      </c>
      <c r="K15" s="149">
        <v>0</v>
      </c>
      <c r="L15" s="156">
        <v>0</v>
      </c>
      <c r="M15" s="430">
        <v>0</v>
      </c>
      <c r="N15" s="1238">
        <v>0</v>
      </c>
    </row>
    <row r="16" spans="1:14" ht="18.75" customHeight="1">
      <c r="A16" s="883" t="s">
        <v>1157</v>
      </c>
      <c r="B16" s="144" t="s">
        <v>397</v>
      </c>
      <c r="C16" s="145" t="s">
        <v>403</v>
      </c>
      <c r="D16" s="150">
        <v>44120</v>
      </c>
      <c r="E16" s="147">
        <v>2940</v>
      </c>
      <c r="F16" s="147">
        <v>2940</v>
      </c>
      <c r="G16" s="147">
        <v>2940</v>
      </c>
      <c r="H16" s="147">
        <v>2940</v>
      </c>
      <c r="I16" s="147">
        <v>2940</v>
      </c>
      <c r="J16" s="147">
        <v>2940</v>
      </c>
      <c r="K16" s="147">
        <v>2940</v>
      </c>
      <c r="L16" s="148">
        <v>2940</v>
      </c>
      <c r="M16" s="430">
        <v>2940</v>
      </c>
      <c r="N16" s="1238">
        <v>2940</v>
      </c>
    </row>
    <row r="17" spans="1:14" ht="19.5" customHeight="1" thickBot="1">
      <c r="A17" s="889" t="s">
        <v>1158</v>
      </c>
      <c r="B17" s="144" t="s">
        <v>404</v>
      </c>
      <c r="C17" s="145" t="s">
        <v>405</v>
      </c>
      <c r="D17" s="150">
        <v>3005480</v>
      </c>
      <c r="E17" s="147"/>
      <c r="F17" s="147"/>
      <c r="G17" s="42">
        <v>69113</v>
      </c>
      <c r="H17" s="55">
        <v>76792</v>
      </c>
      <c r="I17" s="42">
        <v>85796</v>
      </c>
      <c r="J17" s="55">
        <v>85796</v>
      </c>
      <c r="K17" s="55">
        <v>88443</v>
      </c>
      <c r="L17" s="42">
        <v>94798</v>
      </c>
      <c r="M17" s="431">
        <v>96387</v>
      </c>
      <c r="N17" s="481">
        <v>97446</v>
      </c>
    </row>
    <row r="18" spans="1:14" ht="24.75" customHeight="1" thickBot="1">
      <c r="A18" s="841" t="s">
        <v>1159</v>
      </c>
      <c r="B18" s="1245" t="s">
        <v>133</v>
      </c>
      <c r="C18" s="1239" t="s">
        <v>406</v>
      </c>
      <c r="D18" s="1240">
        <f>SUM(D12:D17)</f>
        <v>3232359</v>
      </c>
      <c r="E18" s="1241">
        <f aca="true" t="shared" si="0" ref="E18:L18">SUM(E12:E17)</f>
        <v>14520</v>
      </c>
      <c r="F18" s="1241">
        <f t="shared" si="0"/>
        <v>14604</v>
      </c>
      <c r="G18" s="1241">
        <f t="shared" si="0"/>
        <v>84355</v>
      </c>
      <c r="H18" s="1241">
        <f t="shared" si="0"/>
        <v>92360</v>
      </c>
      <c r="I18" s="1241">
        <f t="shared" si="0"/>
        <v>101364</v>
      </c>
      <c r="J18" s="1241">
        <f t="shared" si="0"/>
        <v>101364</v>
      </c>
      <c r="K18" s="1241">
        <f t="shared" si="0"/>
        <v>104011</v>
      </c>
      <c r="L18" s="1242">
        <f t="shared" si="0"/>
        <v>110366</v>
      </c>
      <c r="M18" s="1243">
        <f>SUM(M12:M17)</f>
        <v>111955</v>
      </c>
      <c r="N18" s="1244">
        <f>SUM(N12:N17)</f>
        <v>113014</v>
      </c>
    </row>
    <row r="19" spans="2:13" ht="14.25">
      <c r="B19" s="56"/>
      <c r="C19" s="152"/>
      <c r="D19" s="153"/>
      <c r="E19" s="153"/>
      <c r="F19" s="153"/>
      <c r="G19" s="153"/>
      <c r="H19" s="153"/>
      <c r="I19" s="153"/>
      <c r="J19" s="153"/>
      <c r="K19" s="153"/>
      <c r="L19" s="153"/>
      <c r="M19" s="153"/>
    </row>
    <row r="20" spans="2:13" ht="14.25">
      <c r="B20" s="56"/>
      <c r="C20" s="152"/>
      <c r="D20" s="153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2:13" ht="14.25">
      <c r="B21" s="56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2:13" ht="14.25">
      <c r="B22" s="56"/>
      <c r="C22" s="152"/>
      <c r="D22" s="153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2:13" ht="14.25">
      <c r="B23" s="56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2:13" ht="14.25">
      <c r="B24" s="56"/>
      <c r="C24" s="152"/>
      <c r="D24" s="153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2:13" ht="14.25">
      <c r="B25" s="56"/>
      <c r="C25" s="152"/>
      <c r="D25" s="153"/>
      <c r="E25" s="153"/>
      <c r="F25" s="153"/>
      <c r="G25" s="153"/>
      <c r="H25" s="153"/>
      <c r="I25" s="153"/>
      <c r="J25" s="153"/>
      <c r="K25" s="153"/>
      <c r="L25" s="153"/>
      <c r="M25" s="153"/>
    </row>
    <row r="26" spans="2:13" ht="14.25">
      <c r="B26" s="56"/>
      <c r="C26" s="152"/>
      <c r="D26" s="153"/>
      <c r="E26" s="153"/>
      <c r="F26" s="153"/>
      <c r="G26" s="153"/>
      <c r="H26" s="153"/>
      <c r="I26" s="153"/>
      <c r="J26" s="153"/>
      <c r="K26" s="153"/>
      <c r="L26" s="153"/>
      <c r="M26" s="153"/>
    </row>
    <row r="27" spans="2:13" ht="14.25">
      <c r="B27" s="56"/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  <row r="28" spans="2:13" ht="14.25">
      <c r="B28" s="56"/>
      <c r="C28" s="152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  <row r="29" spans="1:13" ht="14.25">
      <c r="A29" s="1547" t="s">
        <v>1338</v>
      </c>
      <c r="B29" s="1602"/>
      <c r="C29" s="1602"/>
      <c r="D29" s="1602"/>
      <c r="E29" s="1602"/>
      <c r="F29" s="1602"/>
      <c r="G29" s="153"/>
      <c r="H29" s="153"/>
      <c r="I29" s="153"/>
      <c r="J29" s="153"/>
      <c r="K29" s="153"/>
      <c r="L29" s="153"/>
      <c r="M29" s="153"/>
    </row>
    <row r="30" spans="2:14" ht="12.75">
      <c r="B30" s="1680">
        <v>2</v>
      </c>
      <c r="C30" s="1680"/>
      <c r="D30" s="1680"/>
      <c r="E30" s="1680"/>
      <c r="F30" s="1680"/>
      <c r="G30" s="1680"/>
      <c r="H30" s="1680"/>
      <c r="I30" s="1680"/>
      <c r="J30" s="1680"/>
      <c r="K30" s="1680"/>
      <c r="L30" s="1680"/>
      <c r="M30" s="1680"/>
      <c r="N30" s="1680"/>
    </row>
    <row r="31" spans="2:13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640" t="s">
        <v>334</v>
      </c>
      <c r="C34" s="1640"/>
      <c r="D34" s="1640"/>
      <c r="E34" s="1640"/>
      <c r="F34" s="1640"/>
      <c r="G34" s="1640"/>
      <c r="H34" s="1640"/>
      <c r="I34" s="1640"/>
      <c r="J34" s="1640"/>
      <c r="K34" s="1640"/>
      <c r="L34" s="1640"/>
      <c r="M34" s="1640"/>
    </row>
    <row r="35" spans="2:13" ht="18.75">
      <c r="B35" s="1670" t="s">
        <v>394</v>
      </c>
      <c r="C35" s="1670"/>
      <c r="D35" s="1670"/>
      <c r="E35" s="1670"/>
      <c r="F35" s="1670"/>
      <c r="G35" s="1670"/>
      <c r="H35" s="1670"/>
      <c r="I35" s="1670"/>
      <c r="J35" s="1670"/>
      <c r="K35" s="1670"/>
      <c r="L35" s="1670"/>
      <c r="M35" s="1670"/>
    </row>
    <row r="36" spans="2:6" ht="18">
      <c r="B36" s="142"/>
      <c r="C36" s="142"/>
      <c r="D36" s="142"/>
      <c r="E36" s="142"/>
      <c r="F36" s="142"/>
    </row>
    <row r="37" spans="8:14" ht="13.5" thickBot="1">
      <c r="H37" s="1671"/>
      <c r="I37" s="1671"/>
      <c r="J37" s="1671"/>
      <c r="K37" s="1671"/>
      <c r="L37" s="59" t="s">
        <v>157</v>
      </c>
      <c r="N37" s="24"/>
    </row>
    <row r="38" spans="1:14" ht="15" thickBot="1">
      <c r="A38" s="1568" t="s">
        <v>1148</v>
      </c>
      <c r="B38" s="1681" t="s">
        <v>395</v>
      </c>
      <c r="C38" s="1683" t="s">
        <v>364</v>
      </c>
      <c r="D38" s="1676" t="s">
        <v>627</v>
      </c>
      <c r="E38" s="1685" t="s">
        <v>396</v>
      </c>
      <c r="F38" s="1685"/>
      <c r="G38" s="1685"/>
      <c r="H38" s="1685"/>
      <c r="I38" s="1685"/>
      <c r="J38" s="1685"/>
      <c r="K38" s="1685"/>
      <c r="L38" s="1685"/>
      <c r="M38" s="1685"/>
      <c r="N38" s="1686"/>
    </row>
    <row r="39" spans="1:14" ht="35.25" customHeight="1" thickBot="1">
      <c r="A39" s="1554"/>
      <c r="B39" s="1682"/>
      <c r="C39" s="1684"/>
      <c r="D39" s="1684"/>
      <c r="E39" s="154">
        <v>2021</v>
      </c>
      <c r="F39" s="154">
        <v>2022</v>
      </c>
      <c r="G39" s="154">
        <v>2023</v>
      </c>
      <c r="H39" s="154">
        <v>2024</v>
      </c>
      <c r="I39" s="155">
        <v>2025</v>
      </c>
      <c r="J39" s="154">
        <v>2026</v>
      </c>
      <c r="K39" s="143">
        <v>2027</v>
      </c>
      <c r="L39" s="676">
        <v>2028</v>
      </c>
      <c r="M39" s="677" t="s">
        <v>407</v>
      </c>
      <c r="N39" s="1246" t="s">
        <v>408</v>
      </c>
    </row>
    <row r="40" spans="1:14" ht="18" customHeight="1" thickBot="1">
      <c r="A40" s="1064" t="s">
        <v>1149</v>
      </c>
      <c r="B40" s="943" t="s">
        <v>1282</v>
      </c>
      <c r="C40" s="943" t="s">
        <v>1151</v>
      </c>
      <c r="D40" s="943" t="s">
        <v>1152</v>
      </c>
      <c r="E40" s="943" t="s">
        <v>1172</v>
      </c>
      <c r="F40" s="943" t="s">
        <v>1197</v>
      </c>
      <c r="G40" s="943" t="s">
        <v>1198</v>
      </c>
      <c r="H40" s="943" t="s">
        <v>1278</v>
      </c>
      <c r="I40" s="943" t="s">
        <v>1279</v>
      </c>
      <c r="J40" s="943" t="s">
        <v>1280</v>
      </c>
      <c r="K40" s="943" t="s">
        <v>1283</v>
      </c>
      <c r="L40" s="943" t="s">
        <v>1284</v>
      </c>
      <c r="M40" s="1234" t="s">
        <v>1285</v>
      </c>
      <c r="N40" s="1184" t="s">
        <v>1286</v>
      </c>
    </row>
    <row r="41" spans="1:14" ht="39" customHeight="1">
      <c r="A41" s="1086" t="s">
        <v>1153</v>
      </c>
      <c r="B41" s="418" t="s">
        <v>397</v>
      </c>
      <c r="C41" s="145" t="s">
        <v>398</v>
      </c>
      <c r="D41" s="150">
        <f aca="true" t="shared" si="1" ref="D41:D46">D12</f>
        <v>24949</v>
      </c>
      <c r="E41" s="147">
        <v>1432</v>
      </c>
      <c r="F41" s="147">
        <v>1432</v>
      </c>
      <c r="G41" s="147">
        <v>1432</v>
      </c>
      <c r="H41" s="147">
        <v>1432</v>
      </c>
      <c r="I41" s="147">
        <v>1432</v>
      </c>
      <c r="J41" s="147">
        <v>1432</v>
      </c>
      <c r="K41" s="147">
        <v>1432</v>
      </c>
      <c r="L41" s="148">
        <v>1432</v>
      </c>
      <c r="M41" s="416">
        <v>1432</v>
      </c>
      <c r="N41" s="1247">
        <v>963</v>
      </c>
    </row>
    <row r="42" spans="1:14" ht="33" customHeight="1">
      <c r="A42" s="883" t="s">
        <v>1154</v>
      </c>
      <c r="B42" s="418" t="s">
        <v>397</v>
      </c>
      <c r="C42" s="145" t="s">
        <v>399</v>
      </c>
      <c r="D42" s="150">
        <f t="shared" si="1"/>
        <v>35625</v>
      </c>
      <c r="E42" s="147">
        <v>2500</v>
      </c>
      <c r="F42" s="147">
        <v>2500</v>
      </c>
      <c r="G42" s="147">
        <v>2500</v>
      </c>
      <c r="H42" s="147">
        <v>2500</v>
      </c>
      <c r="I42" s="148">
        <v>625</v>
      </c>
      <c r="J42" s="147">
        <v>0</v>
      </c>
      <c r="K42" s="147">
        <v>0</v>
      </c>
      <c r="L42" s="148">
        <v>0</v>
      </c>
      <c r="M42" s="417">
        <v>0</v>
      </c>
      <c r="N42" s="1248">
        <v>0</v>
      </c>
    </row>
    <row r="43" spans="1:14" ht="23.25" customHeight="1">
      <c r="A43" s="883" t="s">
        <v>1155</v>
      </c>
      <c r="B43" s="418" t="s">
        <v>397</v>
      </c>
      <c r="C43" s="145" t="s">
        <v>400</v>
      </c>
      <c r="D43" s="150">
        <f t="shared" si="1"/>
        <v>121301</v>
      </c>
      <c r="E43" s="150">
        <v>8696</v>
      </c>
      <c r="F43" s="150">
        <v>8696</v>
      </c>
      <c r="G43" s="150">
        <v>8696</v>
      </c>
      <c r="H43" s="150">
        <v>8253</v>
      </c>
      <c r="I43" s="156">
        <v>0</v>
      </c>
      <c r="J43" s="150">
        <v>0</v>
      </c>
      <c r="K43" s="150">
        <v>0</v>
      </c>
      <c r="L43" s="156">
        <v>0</v>
      </c>
      <c r="M43" s="417">
        <v>0</v>
      </c>
      <c r="N43" s="1248">
        <v>0</v>
      </c>
    </row>
    <row r="44" spans="1:14" ht="30.75" customHeight="1">
      <c r="A44" s="883" t="s">
        <v>1156</v>
      </c>
      <c r="B44" s="419" t="s">
        <v>401</v>
      </c>
      <c r="C44" s="145" t="s">
        <v>402</v>
      </c>
      <c r="D44" s="150">
        <f t="shared" si="1"/>
        <v>884</v>
      </c>
      <c r="E44" s="147">
        <v>0</v>
      </c>
      <c r="F44" s="147">
        <v>0</v>
      </c>
      <c r="G44" s="147">
        <v>0</v>
      </c>
      <c r="H44" s="147">
        <v>0</v>
      </c>
      <c r="I44" s="148">
        <v>0</v>
      </c>
      <c r="J44" s="147">
        <v>0</v>
      </c>
      <c r="K44" s="147">
        <v>0</v>
      </c>
      <c r="L44" s="148">
        <v>0</v>
      </c>
      <c r="M44" s="417">
        <v>0</v>
      </c>
      <c r="N44" s="1248">
        <v>0</v>
      </c>
    </row>
    <row r="45" spans="1:14" ht="21" customHeight="1">
      <c r="A45" s="883" t="s">
        <v>1157</v>
      </c>
      <c r="B45" s="418" t="s">
        <v>397</v>
      </c>
      <c r="C45" s="145" t="s">
        <v>403</v>
      </c>
      <c r="D45" s="150">
        <f t="shared" si="1"/>
        <v>44120</v>
      </c>
      <c r="E45" s="150">
        <v>2940</v>
      </c>
      <c r="F45" s="150">
        <v>2940</v>
      </c>
      <c r="G45" s="150">
        <v>2940</v>
      </c>
      <c r="H45" s="150">
        <v>2940</v>
      </c>
      <c r="I45" s="156">
        <v>2960</v>
      </c>
      <c r="J45" s="150">
        <v>0</v>
      </c>
      <c r="K45" s="150">
        <v>0</v>
      </c>
      <c r="L45" s="156">
        <v>0</v>
      </c>
      <c r="M45" s="417">
        <v>0</v>
      </c>
      <c r="N45" s="1248">
        <v>0</v>
      </c>
    </row>
    <row r="46" spans="1:14" ht="21.75" customHeight="1" thickBot="1">
      <c r="A46" s="889" t="s">
        <v>1158</v>
      </c>
      <c r="B46" s="418" t="s">
        <v>404</v>
      </c>
      <c r="C46" s="145" t="s">
        <v>405</v>
      </c>
      <c r="D46" s="150">
        <f t="shared" si="1"/>
        <v>3005480</v>
      </c>
      <c r="E46" s="42">
        <v>102213</v>
      </c>
      <c r="F46" s="55">
        <v>105390</v>
      </c>
      <c r="G46" s="55">
        <v>108038</v>
      </c>
      <c r="H46" s="42">
        <v>112804</v>
      </c>
      <c r="I46" s="55">
        <v>118630</v>
      </c>
      <c r="J46" s="55">
        <v>126045</v>
      </c>
      <c r="K46" s="55">
        <v>67789</v>
      </c>
      <c r="L46" s="42">
        <v>1570000</v>
      </c>
      <c r="M46" s="417">
        <v>0</v>
      </c>
      <c r="N46" s="1248">
        <v>0</v>
      </c>
    </row>
    <row r="47" spans="1:14" ht="23.25" customHeight="1" thickBot="1">
      <c r="A47" s="841" t="s">
        <v>1159</v>
      </c>
      <c r="B47" s="420" t="s">
        <v>133</v>
      </c>
      <c r="C47" s="421" t="s">
        <v>406</v>
      </c>
      <c r="D47" s="422">
        <f>SUM(D41:D46)</f>
        <v>3232359</v>
      </c>
      <c r="E47" s="423">
        <f aca="true" t="shared" si="2" ref="E47:M47">SUM(E41:E46)</f>
        <v>117781</v>
      </c>
      <c r="F47" s="423">
        <f t="shared" si="2"/>
        <v>120958</v>
      </c>
      <c r="G47" s="423">
        <f t="shared" si="2"/>
        <v>123606</v>
      </c>
      <c r="H47" s="423">
        <f t="shared" si="2"/>
        <v>127929</v>
      </c>
      <c r="I47" s="423">
        <f t="shared" si="2"/>
        <v>123647</v>
      </c>
      <c r="J47" s="423">
        <f t="shared" si="2"/>
        <v>127477</v>
      </c>
      <c r="K47" s="424">
        <f t="shared" si="2"/>
        <v>69221</v>
      </c>
      <c r="L47" s="425">
        <f t="shared" si="2"/>
        <v>1571432</v>
      </c>
      <c r="M47" s="426">
        <f t="shared" si="2"/>
        <v>1432</v>
      </c>
      <c r="N47" s="1249">
        <f>SUM(N41:N46)</f>
        <v>963</v>
      </c>
    </row>
    <row r="48" ht="12.75">
      <c r="N48" s="24"/>
    </row>
    <row r="49" ht="12.75">
      <c r="N49" s="24"/>
    </row>
    <row r="50" ht="12.75">
      <c r="N50" s="24"/>
    </row>
    <row r="51" ht="12.75">
      <c r="N51" s="24"/>
    </row>
    <row r="52" ht="12.75">
      <c r="N52" s="24"/>
    </row>
    <row r="53" ht="12.75">
      <c r="N53" s="24"/>
    </row>
    <row r="55" spans="1:6" ht="12.75">
      <c r="A55" s="1547" t="s">
        <v>1338</v>
      </c>
      <c r="B55" s="1602"/>
      <c r="C55" s="1602"/>
      <c r="D55" s="1602"/>
      <c r="E55" s="1602"/>
      <c r="F55" s="1602"/>
    </row>
    <row r="56" spans="2:14" ht="12.75">
      <c r="B56" s="1680">
        <v>3</v>
      </c>
      <c r="C56" s="1680"/>
      <c r="D56" s="1680"/>
      <c r="E56" s="1680"/>
      <c r="F56" s="1680"/>
      <c r="G56" s="1680"/>
      <c r="H56" s="1680"/>
      <c r="I56" s="1680"/>
      <c r="J56" s="1680"/>
      <c r="K56" s="1680"/>
      <c r="L56" s="1680"/>
      <c r="M56" s="1680"/>
      <c r="N56" s="1680"/>
    </row>
    <row r="57" spans="2:13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9" spans="5:11" ht="12.75">
      <c r="E59" s="74"/>
      <c r="K59" s="74"/>
    </row>
    <row r="61" spans="2:13" ht="18">
      <c r="B61" s="1687" t="s">
        <v>334</v>
      </c>
      <c r="C61" s="1687"/>
      <c r="D61" s="1687"/>
      <c r="E61" s="1687"/>
      <c r="F61" s="1687"/>
      <c r="G61" s="1687"/>
      <c r="H61" s="1687"/>
      <c r="I61" s="1687"/>
      <c r="J61" s="1687"/>
      <c r="K61" s="1687"/>
      <c r="L61" s="1687"/>
      <c r="M61" s="1687"/>
    </row>
    <row r="62" spans="2:13" ht="18">
      <c r="B62" s="1688" t="s">
        <v>394</v>
      </c>
      <c r="C62" s="1688"/>
      <c r="D62" s="1688"/>
      <c r="E62" s="1688"/>
      <c r="F62" s="1688"/>
      <c r="G62" s="1688"/>
      <c r="H62" s="1688"/>
      <c r="I62" s="1688"/>
      <c r="J62" s="1688"/>
      <c r="K62" s="1688"/>
      <c r="L62" s="1688"/>
      <c r="M62" s="1688"/>
    </row>
    <row r="63" spans="2:6" ht="18">
      <c r="B63" s="142"/>
      <c r="C63" s="142"/>
      <c r="D63" s="142"/>
      <c r="E63" s="142"/>
      <c r="F63" s="142"/>
    </row>
    <row r="64" spans="8:14" ht="13.5" thickBot="1">
      <c r="H64" s="1671"/>
      <c r="I64" s="1671"/>
      <c r="J64" s="1671"/>
      <c r="K64" s="1671"/>
      <c r="L64" s="59" t="s">
        <v>157</v>
      </c>
      <c r="N64" s="24"/>
    </row>
    <row r="65" spans="1:14" ht="15" customHeight="1" thickBot="1">
      <c r="A65" s="1568" t="s">
        <v>1148</v>
      </c>
      <c r="B65" s="1681" t="s">
        <v>395</v>
      </c>
      <c r="C65" s="1683" t="s">
        <v>364</v>
      </c>
      <c r="D65" s="1676" t="s">
        <v>629</v>
      </c>
      <c r="E65" s="1678" t="s">
        <v>396</v>
      </c>
      <c r="F65" s="1678"/>
      <c r="G65" s="1678"/>
      <c r="H65" s="1678"/>
      <c r="I65" s="1678"/>
      <c r="J65" s="1678"/>
      <c r="K65" s="1678"/>
      <c r="L65" s="1678"/>
      <c r="M65" s="1678"/>
      <c r="N65" s="1689"/>
    </row>
    <row r="66" spans="1:14" ht="39" customHeight="1" thickBot="1">
      <c r="A66" s="1554"/>
      <c r="B66" s="1682"/>
      <c r="C66" s="1684"/>
      <c r="D66" s="1684"/>
      <c r="E66" s="154" t="s">
        <v>409</v>
      </c>
      <c r="F66" s="154" t="s">
        <v>410</v>
      </c>
      <c r="G66" s="154" t="s">
        <v>411</v>
      </c>
      <c r="H66" s="154" t="s">
        <v>412</v>
      </c>
      <c r="I66" s="154" t="s">
        <v>413</v>
      </c>
      <c r="J66" s="154" t="s">
        <v>414</v>
      </c>
      <c r="K66" s="154" t="s">
        <v>415</v>
      </c>
      <c r="L66" s="154" t="s">
        <v>416</v>
      </c>
      <c r="M66" s="155" t="s">
        <v>417</v>
      </c>
      <c r="N66" s="428" t="s">
        <v>628</v>
      </c>
    </row>
    <row r="67" spans="1:14" ht="19.5" customHeight="1" thickBot="1">
      <c r="A67" s="1064" t="s">
        <v>1149</v>
      </c>
      <c r="B67" s="943" t="s">
        <v>1282</v>
      </c>
      <c r="C67" s="943" t="s">
        <v>1151</v>
      </c>
      <c r="D67" s="943" t="s">
        <v>1152</v>
      </c>
      <c r="E67" s="943" t="s">
        <v>1172</v>
      </c>
      <c r="F67" s="943" t="s">
        <v>1197</v>
      </c>
      <c r="G67" s="943" t="s">
        <v>1198</v>
      </c>
      <c r="H67" s="943" t="s">
        <v>1278</v>
      </c>
      <c r="I67" s="943" t="s">
        <v>1279</v>
      </c>
      <c r="J67" s="943" t="s">
        <v>1280</v>
      </c>
      <c r="K67" s="943" t="s">
        <v>1283</v>
      </c>
      <c r="L67" s="943" t="s">
        <v>1284</v>
      </c>
      <c r="M67" s="1234" t="s">
        <v>1285</v>
      </c>
      <c r="N67" s="1184" t="s">
        <v>1286</v>
      </c>
    </row>
    <row r="68" spans="1:14" ht="38.25" customHeight="1">
      <c r="A68" s="1086" t="s">
        <v>1153</v>
      </c>
      <c r="B68" s="418" t="s">
        <v>397</v>
      </c>
      <c r="C68" s="145" t="s">
        <v>398</v>
      </c>
      <c r="D68" s="150">
        <f>D12</f>
        <v>24949</v>
      </c>
      <c r="E68" s="147"/>
      <c r="F68" s="147">
        <v>0</v>
      </c>
      <c r="G68" s="147">
        <v>0</v>
      </c>
      <c r="H68" s="147">
        <v>0</v>
      </c>
      <c r="I68" s="147">
        <v>0</v>
      </c>
      <c r="J68" s="147">
        <v>0</v>
      </c>
      <c r="K68" s="147">
        <v>0</v>
      </c>
      <c r="L68" s="147">
        <v>0</v>
      </c>
      <c r="M68" s="148">
        <v>0</v>
      </c>
      <c r="N68" s="232">
        <v>0</v>
      </c>
    </row>
    <row r="69" spans="1:14" ht="34.5" customHeight="1">
      <c r="A69" s="883" t="s">
        <v>1154</v>
      </c>
      <c r="B69" s="418" t="s">
        <v>397</v>
      </c>
      <c r="C69" s="145" t="s">
        <v>399</v>
      </c>
      <c r="D69" s="150">
        <f>D13</f>
        <v>35625</v>
      </c>
      <c r="E69" s="150"/>
      <c r="F69" s="150">
        <v>0</v>
      </c>
      <c r="G69" s="150">
        <v>0</v>
      </c>
      <c r="H69" s="150">
        <v>0</v>
      </c>
      <c r="I69" s="150">
        <v>0</v>
      </c>
      <c r="J69" s="150">
        <v>0</v>
      </c>
      <c r="K69" s="150">
        <v>0</v>
      </c>
      <c r="L69" s="150">
        <v>0</v>
      </c>
      <c r="M69" s="156">
        <v>0</v>
      </c>
      <c r="N69" s="232">
        <v>0</v>
      </c>
    </row>
    <row r="70" spans="1:14" ht="29.25" customHeight="1">
      <c r="A70" s="883" t="s">
        <v>1155</v>
      </c>
      <c r="B70" s="418" t="s">
        <v>397</v>
      </c>
      <c r="C70" s="145" t="s">
        <v>400</v>
      </c>
      <c r="D70" s="150">
        <f>D14</f>
        <v>121301</v>
      </c>
      <c r="E70" s="150"/>
      <c r="F70" s="150">
        <v>0</v>
      </c>
      <c r="G70" s="150">
        <v>0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6">
        <v>0</v>
      </c>
      <c r="N70" s="232">
        <v>0</v>
      </c>
    </row>
    <row r="71" spans="1:14" ht="29.25" customHeight="1">
      <c r="A71" s="883" t="s">
        <v>1156</v>
      </c>
      <c r="B71" s="419" t="s">
        <v>401</v>
      </c>
      <c r="C71" s="145" t="s">
        <v>402</v>
      </c>
      <c r="D71" s="150">
        <f>D15</f>
        <v>884</v>
      </c>
      <c r="E71" s="150"/>
      <c r="F71" s="147">
        <v>0</v>
      </c>
      <c r="G71" s="147">
        <v>0</v>
      </c>
      <c r="H71" s="147">
        <v>0</v>
      </c>
      <c r="I71" s="147">
        <v>0</v>
      </c>
      <c r="J71" s="148">
        <v>0</v>
      </c>
      <c r="K71" s="147">
        <v>0</v>
      </c>
      <c r="L71" s="147">
        <v>0</v>
      </c>
      <c r="M71" s="148">
        <v>0</v>
      </c>
      <c r="N71" s="232">
        <v>0</v>
      </c>
    </row>
    <row r="72" spans="1:14" ht="21.75" customHeight="1">
      <c r="A72" s="883" t="s">
        <v>1157</v>
      </c>
      <c r="B72" s="418" t="s">
        <v>397</v>
      </c>
      <c r="C72" s="145" t="s">
        <v>403</v>
      </c>
      <c r="D72" s="146">
        <f>D16</f>
        <v>44120</v>
      </c>
      <c r="E72" s="150"/>
      <c r="F72" s="150">
        <v>0</v>
      </c>
      <c r="G72" s="150">
        <v>0</v>
      </c>
      <c r="H72" s="150">
        <v>0</v>
      </c>
      <c r="I72" s="150">
        <v>0</v>
      </c>
      <c r="J72" s="150">
        <v>0</v>
      </c>
      <c r="K72" s="150">
        <v>0</v>
      </c>
      <c r="L72" s="150">
        <v>0</v>
      </c>
      <c r="M72" s="156">
        <v>0</v>
      </c>
      <c r="N72" s="232">
        <v>0</v>
      </c>
    </row>
    <row r="73" spans="1:14" ht="24" customHeight="1" thickBot="1">
      <c r="A73" s="889" t="s">
        <v>1158</v>
      </c>
      <c r="B73" s="418" t="s">
        <v>404</v>
      </c>
      <c r="C73" s="145" t="s">
        <v>405</v>
      </c>
      <c r="D73" s="150">
        <v>3005480</v>
      </c>
      <c r="E73" s="150"/>
      <c r="F73" s="150">
        <v>0</v>
      </c>
      <c r="G73" s="150">
        <v>0</v>
      </c>
      <c r="H73" s="150">
        <v>0</v>
      </c>
      <c r="I73" s="150">
        <v>0</v>
      </c>
      <c r="J73" s="150">
        <v>0</v>
      </c>
      <c r="K73" s="150">
        <v>0</v>
      </c>
      <c r="L73" s="150">
        <v>0</v>
      </c>
      <c r="M73" s="156">
        <v>0</v>
      </c>
      <c r="N73" s="232">
        <v>0</v>
      </c>
    </row>
    <row r="74" spans="1:14" ht="24" customHeight="1" thickBot="1">
      <c r="A74" s="841" t="s">
        <v>1159</v>
      </c>
      <c r="B74" s="420" t="s">
        <v>133</v>
      </c>
      <c r="C74" s="421" t="s">
        <v>406</v>
      </c>
      <c r="D74" s="422">
        <f>SUM(D68:D73)</f>
        <v>3232359</v>
      </c>
      <c r="E74" s="423">
        <f aca="true" t="shared" si="3" ref="E74:M74">SUM(E68:E73)</f>
        <v>0</v>
      </c>
      <c r="F74" s="423">
        <f t="shared" si="3"/>
        <v>0</v>
      </c>
      <c r="G74" s="423">
        <f t="shared" si="3"/>
        <v>0</v>
      </c>
      <c r="H74" s="423">
        <f t="shared" si="3"/>
        <v>0</v>
      </c>
      <c r="I74" s="423">
        <f t="shared" si="3"/>
        <v>0</v>
      </c>
      <c r="J74" s="423">
        <f t="shared" si="3"/>
        <v>0</v>
      </c>
      <c r="K74" s="423">
        <f t="shared" si="3"/>
        <v>0</v>
      </c>
      <c r="L74" s="424">
        <f t="shared" si="3"/>
        <v>0</v>
      </c>
      <c r="M74" s="425">
        <f t="shared" si="3"/>
        <v>0</v>
      </c>
      <c r="N74" s="427">
        <f>SUM(N68:N73)</f>
        <v>0</v>
      </c>
    </row>
  </sheetData>
  <sheetProtection/>
  <mergeCells count="29">
    <mergeCell ref="B61:M61"/>
    <mergeCell ref="B62:M62"/>
    <mergeCell ref="H64:K64"/>
    <mergeCell ref="B65:B66"/>
    <mergeCell ref="C65:C66"/>
    <mergeCell ref="D65:D66"/>
    <mergeCell ref="E65:N65"/>
    <mergeCell ref="H37:K37"/>
    <mergeCell ref="B38:B39"/>
    <mergeCell ref="C38:C39"/>
    <mergeCell ref="D38:D39"/>
    <mergeCell ref="E38:N38"/>
    <mergeCell ref="B56:N56"/>
    <mergeCell ref="C9:C10"/>
    <mergeCell ref="D9:D10"/>
    <mergeCell ref="E9:N9"/>
    <mergeCell ref="B30:N30"/>
    <mergeCell ref="B34:M34"/>
    <mergeCell ref="B35:M35"/>
    <mergeCell ref="A2:F2"/>
    <mergeCell ref="A29:F29"/>
    <mergeCell ref="A38:A39"/>
    <mergeCell ref="A9:A10"/>
    <mergeCell ref="A65:A66"/>
    <mergeCell ref="A55:F55"/>
    <mergeCell ref="B4:M4"/>
    <mergeCell ref="B5:M5"/>
    <mergeCell ref="H8:K8"/>
    <mergeCell ref="B9:B10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6.421875" style="0" customWidth="1"/>
    <col min="2" max="2" width="45.00390625" style="0" customWidth="1"/>
    <col min="3" max="3" width="17.8515625" style="0" customWidth="1"/>
    <col min="4" max="4" width="18.140625" style="0" customWidth="1"/>
  </cols>
  <sheetData>
    <row r="1" spans="1:6" ht="12.75">
      <c r="A1" s="1547" t="s">
        <v>1339</v>
      </c>
      <c r="B1" s="1602"/>
      <c r="C1" s="1602"/>
      <c r="D1" s="1602"/>
      <c r="E1" s="1602"/>
      <c r="F1" s="1602"/>
    </row>
    <row r="2" spans="2:4" ht="15">
      <c r="B2" s="1"/>
      <c r="C2" s="1"/>
      <c r="D2" s="399"/>
    </row>
    <row r="3" spans="2:4" ht="15.75">
      <c r="B3" s="1588" t="s">
        <v>334</v>
      </c>
      <c r="C3" s="1588"/>
      <c r="D3" s="1588"/>
    </row>
    <row r="4" spans="2:4" ht="15.75">
      <c r="B4" s="1555" t="s">
        <v>418</v>
      </c>
      <c r="C4" s="1555"/>
      <c r="D4" s="1555"/>
    </row>
    <row r="5" spans="2:4" ht="15.75">
      <c r="B5" s="1555" t="s">
        <v>254</v>
      </c>
      <c r="C5" s="1555"/>
      <c r="D5" s="1555"/>
    </row>
    <row r="6" spans="2:4" ht="15.75">
      <c r="B6" s="53"/>
      <c r="C6" s="53"/>
      <c r="D6" s="53"/>
    </row>
    <row r="7" spans="2:4" ht="13.5" thickBot="1">
      <c r="B7" s="1"/>
      <c r="C7" s="1"/>
      <c r="D7" s="103" t="s">
        <v>33</v>
      </c>
    </row>
    <row r="8" spans="1:4" ht="16.5" thickBot="1">
      <c r="A8" s="1568" t="s">
        <v>1148</v>
      </c>
      <c r="B8" s="1690" t="s">
        <v>419</v>
      </c>
      <c r="C8" s="1250" t="s">
        <v>420</v>
      </c>
      <c r="D8" s="1251"/>
    </row>
    <row r="9" spans="1:4" ht="13.5" thickBot="1">
      <c r="A9" s="1554"/>
      <c r="B9" s="1691"/>
      <c r="C9" s="1289" t="s">
        <v>474</v>
      </c>
      <c r="D9" s="1290" t="s">
        <v>421</v>
      </c>
    </row>
    <row r="10" spans="1:4" ht="13.5" thickBot="1">
      <c r="A10" s="943" t="s">
        <v>1281</v>
      </c>
      <c r="B10" s="1282" t="s">
        <v>1150</v>
      </c>
      <c r="C10" s="1283" t="s">
        <v>1151</v>
      </c>
      <c r="D10" s="864" t="s">
        <v>1152</v>
      </c>
    </row>
    <row r="11" spans="1:4" ht="15.75">
      <c r="A11" s="1085" t="s">
        <v>1153</v>
      </c>
      <c r="B11" s="1457" t="s">
        <v>344</v>
      </c>
      <c r="C11" s="1460"/>
      <c r="D11" s="1461"/>
    </row>
    <row r="12" spans="1:4" ht="15.75">
      <c r="A12" s="789" t="s">
        <v>1154</v>
      </c>
      <c r="B12" s="1254" t="s">
        <v>639</v>
      </c>
      <c r="C12" s="1460"/>
      <c r="D12" s="1461"/>
    </row>
    <row r="13" spans="1:4" ht="15.75">
      <c r="A13" s="786" t="s">
        <v>1155</v>
      </c>
      <c r="B13" s="1254" t="s">
        <v>640</v>
      </c>
      <c r="C13" s="1460">
        <v>71</v>
      </c>
      <c r="D13" s="1461"/>
    </row>
    <row r="14" spans="1:4" ht="15.75">
      <c r="A14" s="786" t="s">
        <v>1156</v>
      </c>
      <c r="B14" s="1254" t="s">
        <v>641</v>
      </c>
      <c r="C14" s="1460">
        <v>14</v>
      </c>
      <c r="D14" s="1461"/>
    </row>
    <row r="15" spans="1:4" ht="15.75">
      <c r="A15" s="786" t="s">
        <v>1157</v>
      </c>
      <c r="B15" s="1458" t="s">
        <v>345</v>
      </c>
      <c r="C15" s="1460"/>
      <c r="D15" s="1461"/>
    </row>
    <row r="16" spans="1:4" ht="15.75">
      <c r="A16" s="786" t="s">
        <v>1158</v>
      </c>
      <c r="B16" s="1455" t="s">
        <v>1470</v>
      </c>
      <c r="C16" s="1460">
        <v>1000</v>
      </c>
      <c r="D16" s="1461"/>
    </row>
    <row r="17" spans="1:4" ht="15.75">
      <c r="A17" s="786" t="s">
        <v>1159</v>
      </c>
      <c r="B17" s="1458" t="s">
        <v>642</v>
      </c>
      <c r="C17" s="1460"/>
      <c r="D17" s="1461"/>
    </row>
    <row r="18" spans="1:4" ht="18" customHeight="1">
      <c r="A18" s="786" t="s">
        <v>1160</v>
      </c>
      <c r="B18" s="1257" t="s">
        <v>643</v>
      </c>
      <c r="C18" s="1460">
        <v>6000</v>
      </c>
      <c r="D18" s="1461"/>
    </row>
    <row r="19" spans="1:4" ht="15.75">
      <c r="A19" s="786" t="s">
        <v>1161</v>
      </c>
      <c r="B19" s="1258" t="s">
        <v>644</v>
      </c>
      <c r="C19" s="1460">
        <v>5000</v>
      </c>
      <c r="D19" s="1461"/>
    </row>
    <row r="20" spans="1:4" ht="31.5">
      <c r="A20" s="786" t="s">
        <v>1162</v>
      </c>
      <c r="B20" s="1456" t="s">
        <v>1475</v>
      </c>
      <c r="C20" s="1460">
        <v>2000</v>
      </c>
      <c r="D20" s="1461"/>
    </row>
    <row r="21" spans="1:4" ht="15.75">
      <c r="A21" s="786" t="s">
        <v>1163</v>
      </c>
      <c r="B21" s="1459" t="s">
        <v>1476</v>
      </c>
      <c r="C21" s="1460"/>
      <c r="D21" s="1461"/>
    </row>
    <row r="22" spans="1:4" ht="25.5">
      <c r="A22" s="786" t="s">
        <v>1164</v>
      </c>
      <c r="B22" s="1258" t="s">
        <v>1471</v>
      </c>
      <c r="C22" s="1460"/>
      <c r="D22" s="1461"/>
    </row>
    <row r="23" spans="1:4" ht="25.5">
      <c r="A23" s="786" t="s">
        <v>1165</v>
      </c>
      <c r="B23" s="1258" t="s">
        <v>1472</v>
      </c>
      <c r="C23" s="1460"/>
      <c r="D23" s="1461"/>
    </row>
    <row r="24" spans="1:4" ht="25.5">
      <c r="A24" s="786" t="s">
        <v>1166</v>
      </c>
      <c r="B24" s="1258" t="s">
        <v>1473</v>
      </c>
      <c r="C24" s="1460"/>
      <c r="D24" s="1461"/>
    </row>
    <row r="25" spans="1:4" ht="26.25" thickBot="1">
      <c r="A25" s="907" t="s">
        <v>1167</v>
      </c>
      <c r="B25" s="1258" t="s">
        <v>1474</v>
      </c>
      <c r="C25" s="1460"/>
      <c r="D25" s="1461"/>
    </row>
    <row r="26" spans="1:4" ht="16.5" thickBot="1">
      <c r="A26" s="841" t="s">
        <v>1168</v>
      </c>
      <c r="B26" s="1216" t="s">
        <v>71</v>
      </c>
      <c r="C26" s="1462">
        <f>SUM(C11:C25)</f>
        <v>14085</v>
      </c>
      <c r="D26" s="1463"/>
    </row>
    <row r="27" spans="2:4" ht="12.75">
      <c r="B27" s="56"/>
      <c r="C27" s="48"/>
      <c r="D27" s="1"/>
    </row>
    <row r="28" spans="2:4" ht="12.75">
      <c r="B28" s="56"/>
      <c r="C28" s="48"/>
      <c r="D28" s="1"/>
    </row>
    <row r="29" spans="1:6" ht="12.75">
      <c r="A29" s="1547" t="s">
        <v>1340</v>
      </c>
      <c r="B29" s="1547"/>
      <c r="C29" s="1547"/>
      <c r="D29" s="1547"/>
      <c r="E29" s="331"/>
      <c r="F29" s="331"/>
    </row>
    <row r="30" spans="2:4" ht="12.75">
      <c r="B30" s="1"/>
      <c r="C30" s="1"/>
      <c r="D30" s="1"/>
    </row>
    <row r="31" spans="2:4" ht="15.75">
      <c r="B31" s="1588" t="s">
        <v>334</v>
      </c>
      <c r="C31" s="1588"/>
      <c r="D31" s="1588"/>
    </row>
    <row r="32" spans="2:4" ht="15.75">
      <c r="B32" s="1555" t="s">
        <v>422</v>
      </c>
      <c r="C32" s="1555"/>
      <c r="D32" s="1555"/>
    </row>
    <row r="33" spans="2:4" ht="15.75">
      <c r="B33" s="1555" t="s">
        <v>254</v>
      </c>
      <c r="C33" s="1555"/>
      <c r="D33" s="1555"/>
    </row>
    <row r="34" spans="2:4" ht="12.75">
      <c r="B34" s="1"/>
      <c r="C34" s="1"/>
      <c r="D34" s="1"/>
    </row>
    <row r="35" spans="2:4" ht="13.5" thickBot="1">
      <c r="B35" s="1"/>
      <c r="C35" s="1"/>
      <c r="D35" s="103" t="s">
        <v>423</v>
      </c>
    </row>
    <row r="36" spans="1:4" ht="16.5" thickBot="1">
      <c r="A36" s="1568" t="s">
        <v>1148</v>
      </c>
      <c r="B36" s="1690" t="s">
        <v>3</v>
      </c>
      <c r="C36" s="1250" t="s">
        <v>420</v>
      </c>
      <c r="D36" s="1252"/>
    </row>
    <row r="37" spans="1:4" ht="13.5" thickBot="1">
      <c r="A37" s="1554"/>
      <c r="B37" s="1691"/>
      <c r="C37" s="1289" t="s">
        <v>474</v>
      </c>
      <c r="D37" s="1290" t="s">
        <v>424</v>
      </c>
    </row>
    <row r="38" spans="1:4" ht="13.5" thickBot="1">
      <c r="A38" s="943" t="s">
        <v>1281</v>
      </c>
      <c r="B38" s="1282" t="s">
        <v>1150</v>
      </c>
      <c r="C38" s="1283" t="s">
        <v>1151</v>
      </c>
      <c r="D38" s="864" t="s">
        <v>1152</v>
      </c>
    </row>
    <row r="39" spans="1:4" ht="15.75">
      <c r="A39" s="1086" t="s">
        <v>1153</v>
      </c>
      <c r="B39" s="433" t="s">
        <v>630</v>
      </c>
      <c r="C39" s="1464">
        <v>3092923</v>
      </c>
      <c r="D39" s="1467"/>
    </row>
    <row r="40" spans="1:4" ht="15.75">
      <c r="A40" s="883" t="s">
        <v>1154</v>
      </c>
      <c r="B40" s="432" t="s">
        <v>425</v>
      </c>
      <c r="C40" s="1465">
        <f>'1_sz_ melléklet'!C34</f>
        <v>10722301</v>
      </c>
      <c r="D40" s="1468"/>
    </row>
    <row r="41" spans="1:4" ht="15.75">
      <c r="A41" s="883" t="s">
        <v>1155</v>
      </c>
      <c r="B41" s="432" t="s">
        <v>426</v>
      </c>
      <c r="C41" s="1465">
        <f>'1_sz_ melléklet'!E34</f>
        <v>10722301</v>
      </c>
      <c r="D41" s="1468"/>
    </row>
    <row r="42" spans="1:4" ht="16.5" thickBot="1">
      <c r="A42" s="908" t="s">
        <v>1156</v>
      </c>
      <c r="B42" s="1253" t="s">
        <v>631</v>
      </c>
      <c r="C42" s="1466">
        <f>C39+C40-C41</f>
        <v>3092923</v>
      </c>
      <c r="D42" s="1469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</sheetData>
  <sheetProtection/>
  <mergeCells count="12">
    <mergeCell ref="B8:B9"/>
    <mergeCell ref="B31:D31"/>
    <mergeCell ref="B32:D32"/>
    <mergeCell ref="A36:A37"/>
    <mergeCell ref="A29:D29"/>
    <mergeCell ref="A8:A9"/>
    <mergeCell ref="A1:F1"/>
    <mergeCell ref="B33:D33"/>
    <mergeCell ref="B36:B37"/>
    <mergeCell ref="B3:D3"/>
    <mergeCell ref="B4:D4"/>
    <mergeCell ref="B5:D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547" t="s">
        <v>1341</v>
      </c>
      <c r="C1" s="1602"/>
      <c r="D1" s="1602"/>
      <c r="E1" s="1602"/>
      <c r="F1" s="1602"/>
      <c r="G1" s="1602"/>
      <c r="H1" s="1547"/>
      <c r="I1" s="1602"/>
      <c r="J1" s="1602"/>
      <c r="K1" s="1602"/>
      <c r="L1" s="1602"/>
      <c r="M1" s="1602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2:14" ht="15.75">
      <c r="B2" s="1588" t="s">
        <v>427</v>
      </c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</row>
    <row r="3" spans="2:14" ht="12" customHeight="1" thickBot="1">
      <c r="B3" s="1"/>
      <c r="C3" s="1692" t="s">
        <v>157</v>
      </c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</row>
    <row r="4" spans="1:14" ht="26.25" customHeight="1" thickBot="1">
      <c r="A4" s="1134" t="s">
        <v>1148</v>
      </c>
      <c r="B4" s="1276" t="s">
        <v>3</v>
      </c>
      <c r="C4" s="1266" t="s">
        <v>428</v>
      </c>
      <c r="D4" s="1266" t="s">
        <v>429</v>
      </c>
      <c r="E4" s="1266" t="s">
        <v>430</v>
      </c>
      <c r="F4" s="1266" t="s">
        <v>431</v>
      </c>
      <c r="G4" s="1266" t="s">
        <v>432</v>
      </c>
      <c r="H4" s="1266" t="s">
        <v>433</v>
      </c>
      <c r="I4" s="1266" t="s">
        <v>434</v>
      </c>
      <c r="J4" s="1273" t="s">
        <v>435</v>
      </c>
      <c r="K4" s="1273" t="s">
        <v>436</v>
      </c>
      <c r="L4" s="1273" t="s">
        <v>437</v>
      </c>
      <c r="M4" s="1269" t="s">
        <v>438</v>
      </c>
      <c r="N4" s="1272" t="s">
        <v>445</v>
      </c>
    </row>
    <row r="5" spans="1:14" ht="12.75" customHeight="1" thickBot="1">
      <c r="A5" s="1064" t="s">
        <v>1149</v>
      </c>
      <c r="B5" s="943" t="s">
        <v>1282</v>
      </c>
      <c r="C5" s="943" t="s">
        <v>1151</v>
      </c>
      <c r="D5" s="943" t="s">
        <v>1152</v>
      </c>
      <c r="E5" s="943" t="s">
        <v>1172</v>
      </c>
      <c r="F5" s="943" t="s">
        <v>1197</v>
      </c>
      <c r="G5" s="943" t="s">
        <v>1198</v>
      </c>
      <c r="H5" s="943" t="s">
        <v>1278</v>
      </c>
      <c r="I5" s="943" t="s">
        <v>1279</v>
      </c>
      <c r="J5" s="1027" t="s">
        <v>1280</v>
      </c>
      <c r="K5" s="1027" t="s">
        <v>1283</v>
      </c>
      <c r="L5" s="1027" t="s">
        <v>1284</v>
      </c>
      <c r="M5" s="1027" t="s">
        <v>1285</v>
      </c>
      <c r="N5" s="1187" t="s">
        <v>1286</v>
      </c>
    </row>
    <row r="6" spans="1:14" ht="26.25" customHeight="1">
      <c r="A6" s="1085" t="s">
        <v>1153</v>
      </c>
      <c r="B6" s="1277" t="s">
        <v>439</v>
      </c>
      <c r="C6" s="159"/>
      <c r="D6" s="159">
        <v>2000</v>
      </c>
      <c r="E6" s="159">
        <v>2000</v>
      </c>
      <c r="F6" s="159">
        <v>2000</v>
      </c>
      <c r="G6" s="159">
        <v>490000</v>
      </c>
      <c r="H6" s="159"/>
      <c r="I6" s="159"/>
      <c r="J6" s="1268"/>
      <c r="K6" s="1268"/>
      <c r="L6" s="1268"/>
      <c r="M6" s="1270"/>
      <c r="N6" s="1271"/>
    </row>
    <row r="7" spans="1:14" ht="27.75" customHeight="1">
      <c r="A7" s="786" t="s">
        <v>1154</v>
      </c>
      <c r="B7" s="1277" t="s">
        <v>440</v>
      </c>
      <c r="C7" s="159"/>
      <c r="D7" s="159">
        <v>11500</v>
      </c>
      <c r="E7" s="159">
        <v>11500</v>
      </c>
      <c r="F7" s="159">
        <v>11500</v>
      </c>
      <c r="G7" s="159">
        <v>11500</v>
      </c>
      <c r="H7" s="159">
        <v>11500</v>
      </c>
      <c r="I7" s="159">
        <v>11500</v>
      </c>
      <c r="J7" s="159">
        <v>11500</v>
      </c>
      <c r="K7" s="159">
        <v>11500</v>
      </c>
      <c r="L7" s="159">
        <v>11500</v>
      </c>
      <c r="M7" s="446">
        <v>11500</v>
      </c>
      <c r="N7" s="449">
        <v>11500</v>
      </c>
    </row>
    <row r="8" spans="1:14" ht="37.5" customHeight="1">
      <c r="A8" s="786" t="s">
        <v>1155</v>
      </c>
      <c r="B8" s="1278" t="s">
        <v>441</v>
      </c>
      <c r="C8" s="160"/>
      <c r="D8" s="160">
        <v>1438</v>
      </c>
      <c r="E8" s="160">
        <v>1437</v>
      </c>
      <c r="F8" s="160">
        <v>1437</v>
      </c>
      <c r="G8" s="160">
        <v>1437</v>
      </c>
      <c r="H8" s="160">
        <v>1437</v>
      </c>
      <c r="I8" s="160"/>
      <c r="J8" s="160"/>
      <c r="K8" s="160"/>
      <c r="L8" s="160"/>
      <c r="M8" s="447"/>
      <c r="N8" s="232"/>
    </row>
    <row r="9" spans="1:14" ht="24.75" customHeight="1">
      <c r="A9" s="786" t="s">
        <v>1156</v>
      </c>
      <c r="B9" s="1278" t="s">
        <v>442</v>
      </c>
      <c r="C9" s="160">
        <f>31656-16310-7685</f>
        <v>7661</v>
      </c>
      <c r="D9" s="160">
        <v>31656</v>
      </c>
      <c r="E9" s="160">
        <v>2638</v>
      </c>
      <c r="F9" s="160"/>
      <c r="G9" s="160"/>
      <c r="H9" s="160"/>
      <c r="I9" s="160"/>
      <c r="J9" s="160"/>
      <c r="K9" s="160"/>
      <c r="L9" s="160"/>
      <c r="M9" s="447"/>
      <c r="N9" s="232"/>
    </row>
    <row r="10" spans="1:14" ht="30.75" customHeight="1">
      <c r="A10" s="786" t="s">
        <v>1157</v>
      </c>
      <c r="B10" s="1279" t="s">
        <v>443</v>
      </c>
      <c r="C10" s="757">
        <f>9338-5631-540</f>
        <v>3167</v>
      </c>
      <c r="D10" s="757">
        <v>9338</v>
      </c>
      <c r="E10" s="757">
        <v>9338</v>
      </c>
      <c r="F10" s="757">
        <v>9338</v>
      </c>
      <c r="G10" s="757">
        <v>9338</v>
      </c>
      <c r="H10" s="757">
        <v>9338</v>
      </c>
      <c r="I10" s="757">
        <v>9338</v>
      </c>
      <c r="J10" s="757"/>
      <c r="K10" s="757"/>
      <c r="L10" s="757"/>
      <c r="M10" s="758"/>
      <c r="N10" s="232"/>
    </row>
    <row r="11" spans="1:14" ht="30.75" customHeight="1" thickBot="1">
      <c r="A11" s="823" t="s">
        <v>1158</v>
      </c>
      <c r="B11" s="1280" t="s">
        <v>1126</v>
      </c>
      <c r="C11" s="754"/>
      <c r="D11" s="754">
        <v>763</v>
      </c>
      <c r="E11" s="754">
        <v>763</v>
      </c>
      <c r="F11" s="754">
        <v>763</v>
      </c>
      <c r="G11" s="754">
        <v>763</v>
      </c>
      <c r="H11" s="754">
        <v>763</v>
      </c>
      <c r="I11" s="754"/>
      <c r="J11" s="754"/>
      <c r="K11" s="754"/>
      <c r="L11" s="754"/>
      <c r="M11" s="755"/>
      <c r="N11" s="427"/>
    </row>
    <row r="12" spans="1:14" ht="13.5" thickBot="1">
      <c r="A12" s="841" t="s">
        <v>1159</v>
      </c>
      <c r="B12" s="1281" t="s">
        <v>444</v>
      </c>
      <c r="C12" s="448">
        <f>SUM(C6:C11)</f>
        <v>10828</v>
      </c>
      <c r="D12" s="448">
        <f aca="true" t="shared" si="0" ref="D12:N12">SUM(D6:D11)</f>
        <v>56695</v>
      </c>
      <c r="E12" s="448">
        <f t="shared" si="0"/>
        <v>27676</v>
      </c>
      <c r="F12" s="448">
        <f t="shared" si="0"/>
        <v>25038</v>
      </c>
      <c r="G12" s="448">
        <f t="shared" si="0"/>
        <v>513038</v>
      </c>
      <c r="H12" s="448">
        <f t="shared" si="0"/>
        <v>23038</v>
      </c>
      <c r="I12" s="448">
        <f t="shared" si="0"/>
        <v>20838</v>
      </c>
      <c r="J12" s="448">
        <f t="shared" si="0"/>
        <v>11500</v>
      </c>
      <c r="K12" s="448">
        <f t="shared" si="0"/>
        <v>11500</v>
      </c>
      <c r="L12" s="448">
        <f t="shared" si="0"/>
        <v>11500</v>
      </c>
      <c r="M12" s="448">
        <f t="shared" si="0"/>
        <v>11500</v>
      </c>
      <c r="N12" s="448">
        <f t="shared" si="0"/>
        <v>11500</v>
      </c>
    </row>
    <row r="13" spans="2:21" ht="6" customHeight="1" thickBot="1"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"/>
      <c r="Q13" s="1"/>
      <c r="R13" s="1"/>
      <c r="S13" s="1"/>
      <c r="U13" s="1"/>
    </row>
    <row r="14" spans="1:21" ht="24" customHeight="1" thickBot="1">
      <c r="A14" s="1134" t="s">
        <v>1148</v>
      </c>
      <c r="B14" s="1275" t="s">
        <v>3</v>
      </c>
      <c r="C14" s="1267" t="s">
        <v>446</v>
      </c>
      <c r="D14" s="1267" t="s">
        <v>447</v>
      </c>
      <c r="E14" s="1267" t="s">
        <v>448</v>
      </c>
      <c r="F14" s="1267" t="s">
        <v>449</v>
      </c>
      <c r="G14" s="1267" t="s">
        <v>450</v>
      </c>
      <c r="H14" s="1267" t="s">
        <v>451</v>
      </c>
      <c r="I14" s="1267" t="s">
        <v>407</v>
      </c>
      <c r="J14" s="1267" t="s">
        <v>408</v>
      </c>
      <c r="K14" s="1267" t="s">
        <v>409</v>
      </c>
      <c r="L14" s="1267" t="s">
        <v>410</v>
      </c>
      <c r="M14" s="1274" t="s">
        <v>411</v>
      </c>
      <c r="N14" s="158" t="s">
        <v>71</v>
      </c>
      <c r="P14" s="162"/>
      <c r="Q14" s="162"/>
      <c r="R14" s="162"/>
      <c r="S14" s="162"/>
      <c r="U14" s="1"/>
    </row>
    <row r="15" spans="1:21" ht="13.5" thickBot="1">
      <c r="A15" s="1064" t="s">
        <v>1149</v>
      </c>
      <c r="B15" s="943" t="s">
        <v>1282</v>
      </c>
      <c r="C15" s="943" t="s">
        <v>1151</v>
      </c>
      <c r="D15" s="943" t="s">
        <v>1152</v>
      </c>
      <c r="E15" s="943" t="s">
        <v>1172</v>
      </c>
      <c r="F15" s="943" t="s">
        <v>1197</v>
      </c>
      <c r="G15" s="943" t="s">
        <v>1198</v>
      </c>
      <c r="H15" s="943" t="s">
        <v>1278</v>
      </c>
      <c r="I15" s="943" t="s">
        <v>1279</v>
      </c>
      <c r="J15" s="1027" t="s">
        <v>1280</v>
      </c>
      <c r="K15" s="1027" t="s">
        <v>1283</v>
      </c>
      <c r="L15" s="1027" t="s">
        <v>1284</v>
      </c>
      <c r="M15" s="1027" t="s">
        <v>1285</v>
      </c>
      <c r="N15" s="1187" t="s">
        <v>1286</v>
      </c>
      <c r="P15" s="162"/>
      <c r="Q15" s="162"/>
      <c r="R15" s="162"/>
      <c r="S15" s="162"/>
      <c r="U15" s="1"/>
    </row>
    <row r="16" spans="1:21" ht="28.5" customHeight="1">
      <c r="A16" s="1085" t="s">
        <v>1153</v>
      </c>
      <c r="B16" s="1277" t="s">
        <v>439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446"/>
      <c r="N16" s="163">
        <f aca="true" t="shared" si="1" ref="N16:N21">SUM(C6:M6)+SUM(C16:L16)</f>
        <v>496000</v>
      </c>
      <c r="O16" s="164"/>
      <c r="U16" s="1"/>
    </row>
    <row r="17" spans="1:21" ht="26.25" customHeight="1">
      <c r="A17" s="786" t="s">
        <v>1154</v>
      </c>
      <c r="B17" s="1277" t="s">
        <v>440</v>
      </c>
      <c r="C17" s="159">
        <v>11500</v>
      </c>
      <c r="D17" s="159">
        <v>3375</v>
      </c>
      <c r="E17" s="159"/>
      <c r="F17" s="159"/>
      <c r="G17" s="159"/>
      <c r="H17" s="159"/>
      <c r="I17" s="159"/>
      <c r="J17" s="159"/>
      <c r="K17" s="159"/>
      <c r="L17" s="159"/>
      <c r="M17" s="446"/>
      <c r="N17" s="163">
        <f t="shared" si="1"/>
        <v>129875</v>
      </c>
      <c r="P17" s="164"/>
      <c r="Q17" s="164"/>
      <c r="R17" s="164"/>
      <c r="S17" s="164"/>
      <c r="U17" s="1"/>
    </row>
    <row r="18" spans="1:21" ht="39.75" customHeight="1">
      <c r="A18" s="786" t="s">
        <v>1155</v>
      </c>
      <c r="B18" s="1278" t="s">
        <v>441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447"/>
      <c r="N18" s="163">
        <f t="shared" si="1"/>
        <v>7186</v>
      </c>
      <c r="U18" s="1"/>
    </row>
    <row r="19" spans="1:21" ht="26.25" customHeight="1">
      <c r="A19" s="786" t="s">
        <v>1156</v>
      </c>
      <c r="B19" s="1278" t="s">
        <v>442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447"/>
      <c r="N19" s="163">
        <f t="shared" si="1"/>
        <v>41955</v>
      </c>
      <c r="U19" s="1"/>
    </row>
    <row r="20" spans="1:21" ht="26.25" customHeight="1">
      <c r="A20" s="786" t="s">
        <v>1157</v>
      </c>
      <c r="B20" s="1279" t="s">
        <v>452</v>
      </c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163">
        <f t="shared" si="1"/>
        <v>59195</v>
      </c>
      <c r="U20" s="1"/>
    </row>
    <row r="21" spans="1:21" ht="26.25" customHeight="1" thickBot="1">
      <c r="A21" s="823" t="s">
        <v>1158</v>
      </c>
      <c r="B21" s="1280" t="s">
        <v>1126</v>
      </c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6"/>
      <c r="N21" s="163">
        <f t="shared" si="1"/>
        <v>3815</v>
      </c>
      <c r="U21" s="1"/>
    </row>
    <row r="22" spans="1:21" ht="20.25" customHeight="1" thickBot="1">
      <c r="A22" s="841" t="s">
        <v>1159</v>
      </c>
      <c r="B22" s="1281" t="s">
        <v>444</v>
      </c>
      <c r="C22" s="448">
        <f>SUM(C16:C21)</f>
        <v>11500</v>
      </c>
      <c r="D22" s="448">
        <f aca="true" t="shared" si="2" ref="D22:N22">SUM(D16:D21)</f>
        <v>3375</v>
      </c>
      <c r="E22" s="448">
        <f t="shared" si="2"/>
        <v>0</v>
      </c>
      <c r="F22" s="448">
        <f t="shared" si="2"/>
        <v>0</v>
      </c>
      <c r="G22" s="448">
        <f t="shared" si="2"/>
        <v>0</v>
      </c>
      <c r="H22" s="448">
        <f t="shared" si="2"/>
        <v>0</v>
      </c>
      <c r="I22" s="448">
        <f t="shared" si="2"/>
        <v>0</v>
      </c>
      <c r="J22" s="448">
        <f t="shared" si="2"/>
        <v>0</v>
      </c>
      <c r="K22" s="448">
        <f t="shared" si="2"/>
        <v>0</v>
      </c>
      <c r="L22" s="448">
        <f t="shared" si="2"/>
        <v>0</v>
      </c>
      <c r="M22" s="448">
        <f t="shared" si="2"/>
        <v>0</v>
      </c>
      <c r="N22" s="448">
        <f t="shared" si="2"/>
        <v>738026</v>
      </c>
      <c r="U22" s="1"/>
    </row>
    <row r="23" spans="2:21" ht="27.75" customHeight="1">
      <c r="B23" s="1693" t="s">
        <v>453</v>
      </c>
      <c r="C23" s="1693"/>
      <c r="D23" s="1693"/>
      <c r="E23" s="1693"/>
      <c r="F23" s="1693"/>
      <c r="G23" s="1693"/>
      <c r="H23" s="1693"/>
      <c r="I23" s="1693"/>
      <c r="J23" s="1693"/>
      <c r="K23" s="1693"/>
      <c r="L23" s="1693"/>
      <c r="M23" s="1693"/>
      <c r="N23" s="1693"/>
      <c r="O23" s="165"/>
      <c r="U23" s="1"/>
    </row>
    <row r="24" ht="12.75">
      <c r="U24" s="1"/>
    </row>
    <row r="25" ht="12.75">
      <c r="U25" s="1"/>
    </row>
    <row r="26" ht="12.75">
      <c r="U26" s="1"/>
    </row>
    <row r="27" ht="12.75">
      <c r="U27" s="166"/>
    </row>
    <row r="29" ht="32.25" customHeight="1">
      <c r="U29" s="164"/>
    </row>
    <row r="31" spans="2:15" ht="12.75">
      <c r="B31" s="1694"/>
      <c r="C31" s="1694"/>
      <c r="D31" s="1694"/>
      <c r="E31" s="1694"/>
      <c r="F31" s="1694"/>
      <c r="G31" s="1694"/>
      <c r="H31" s="1694"/>
      <c r="I31" s="1694"/>
      <c r="J31" s="1694"/>
      <c r="K31" s="1694"/>
      <c r="L31" s="1694"/>
      <c r="M31" s="1694"/>
      <c r="N31" s="1694"/>
      <c r="O31" s="1694"/>
    </row>
    <row r="34" ht="39.75" customHeight="1"/>
    <row r="36" ht="25.5" customHeight="1"/>
  </sheetData>
  <sheetProtection/>
  <mergeCells count="6">
    <mergeCell ref="B2:N2"/>
    <mergeCell ref="C3:N3"/>
    <mergeCell ref="B23:N23"/>
    <mergeCell ref="B31:O31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13.8515625" style="0" customWidth="1"/>
    <col min="4" max="4" width="14.140625" style="0" customWidth="1"/>
    <col min="5" max="5" width="14.8515625" style="0" customWidth="1"/>
  </cols>
  <sheetData>
    <row r="1" spans="1:5" ht="12.75">
      <c r="A1" s="1547" t="s">
        <v>1557</v>
      </c>
      <c r="B1" s="1547"/>
      <c r="C1" s="1547"/>
      <c r="D1" s="1547"/>
      <c r="E1" s="1547"/>
    </row>
    <row r="2" spans="2:5" ht="15">
      <c r="B2" s="27"/>
      <c r="C2" s="27"/>
      <c r="D2" s="27"/>
      <c r="E2" s="27"/>
    </row>
    <row r="3" spans="2:5" ht="15.75">
      <c r="B3" s="1555" t="s">
        <v>1559</v>
      </c>
      <c r="C3" s="1562"/>
      <c r="D3" s="1562"/>
      <c r="E3" s="1562"/>
    </row>
    <row r="4" spans="2:5" ht="14.25">
      <c r="B4" s="1582"/>
      <c r="C4" s="1582"/>
      <c r="D4" s="1582"/>
      <c r="E4" s="1582"/>
    </row>
    <row r="5" spans="2:5" ht="14.25">
      <c r="B5" s="609"/>
      <c r="C5" s="609"/>
      <c r="D5" s="609"/>
      <c r="E5" s="609"/>
    </row>
    <row r="6" spans="2:5" ht="15.75" thickBot="1">
      <c r="B6" s="27"/>
      <c r="C6" s="27"/>
      <c r="D6" s="27"/>
      <c r="E6" s="49" t="s">
        <v>157</v>
      </c>
    </row>
    <row r="7" spans="1:5" ht="13.5" thickBot="1">
      <c r="A7" s="1568" t="s">
        <v>1148</v>
      </c>
      <c r="B7" s="1584" t="s">
        <v>127</v>
      </c>
      <c r="C7" s="1583" t="s">
        <v>144</v>
      </c>
      <c r="D7" s="1578"/>
      <c r="E7" s="1579"/>
    </row>
    <row r="8" spans="1:5" ht="13.5" thickBot="1">
      <c r="A8" s="1569"/>
      <c r="B8" s="1585"/>
      <c r="C8" s="1011" t="s">
        <v>145</v>
      </c>
      <c r="D8" s="610" t="s">
        <v>146</v>
      </c>
      <c r="E8" s="615" t="s">
        <v>147</v>
      </c>
    </row>
    <row r="9" spans="1:5" ht="13.5" thickBot="1">
      <c r="A9" s="943" t="s">
        <v>1149</v>
      </c>
      <c r="B9" s="1007" t="s">
        <v>1150</v>
      </c>
      <c r="C9" s="1008" t="s">
        <v>1151</v>
      </c>
      <c r="D9" s="1009" t="s">
        <v>1152</v>
      </c>
      <c r="E9" s="1027" t="s">
        <v>1172</v>
      </c>
    </row>
    <row r="10" spans="1:5" ht="15">
      <c r="A10" s="904" t="s">
        <v>1153</v>
      </c>
      <c r="B10" s="1546" t="s">
        <v>1561</v>
      </c>
      <c r="C10" s="1013">
        <v>0</v>
      </c>
      <c r="D10" s="1014">
        <v>100572</v>
      </c>
      <c r="E10" s="1015">
        <f>SUM(C10:D10)</f>
        <v>100572</v>
      </c>
    </row>
    <row r="11" spans="1:5" ht="15.75" thickBot="1">
      <c r="A11" s="883" t="s">
        <v>1154</v>
      </c>
      <c r="B11" s="230"/>
      <c r="C11" s="611">
        <v>0</v>
      </c>
      <c r="D11" s="844"/>
      <c r="E11" s="845">
        <f>SUM(C11:D11)</f>
        <v>0</v>
      </c>
    </row>
    <row r="12" spans="1:5" ht="24.75" thickBot="1">
      <c r="A12" s="841" t="s">
        <v>1155</v>
      </c>
      <c r="B12" s="613" t="s">
        <v>713</v>
      </c>
      <c r="C12" s="851">
        <f>SUM(C10:C11)</f>
        <v>0</v>
      </c>
      <c r="D12" s="852">
        <f>SUM(D10:D11)</f>
        <v>100572</v>
      </c>
      <c r="E12" s="853">
        <f>SUM(E10:E11)</f>
        <v>100572</v>
      </c>
    </row>
    <row r="13" spans="2:5" ht="15">
      <c r="B13" s="27"/>
      <c r="C13" s="27"/>
      <c r="D13" s="27"/>
      <c r="E13" s="27"/>
    </row>
    <row r="14" spans="2:5" ht="15">
      <c r="B14" s="27"/>
      <c r="C14" s="27"/>
      <c r="D14" s="27"/>
      <c r="E14" s="27"/>
    </row>
    <row r="15" spans="1:5" ht="12.75">
      <c r="A15" s="1547" t="s">
        <v>1558</v>
      </c>
      <c r="B15" s="1547"/>
      <c r="C15" s="1547"/>
      <c r="D15" s="1547"/>
      <c r="E15" s="1547"/>
    </row>
    <row r="16" spans="2:5" ht="15">
      <c r="B16" s="27"/>
      <c r="C16" s="27"/>
      <c r="D16" s="27"/>
      <c r="E16" s="27"/>
    </row>
    <row r="17" spans="2:5" ht="15.75">
      <c r="B17" s="1573" t="s">
        <v>754</v>
      </c>
      <c r="C17" s="1573"/>
      <c r="D17" s="1573"/>
      <c r="E17" s="1573"/>
    </row>
    <row r="18" spans="2:5" ht="15">
      <c r="B18" s="27"/>
      <c r="C18" s="27"/>
      <c r="D18" s="27"/>
      <c r="E18" s="27"/>
    </row>
    <row r="19" spans="2:5" ht="15.75" thickBot="1">
      <c r="B19" s="27"/>
      <c r="C19" s="27"/>
      <c r="D19" s="27"/>
      <c r="E19" s="49" t="s">
        <v>157</v>
      </c>
    </row>
    <row r="20" spans="1:5" ht="13.5" thickBot="1">
      <c r="A20" s="1568" t="s">
        <v>1148</v>
      </c>
      <c r="B20" s="1580" t="s">
        <v>127</v>
      </c>
      <c r="C20" s="1578" t="s">
        <v>144</v>
      </c>
      <c r="D20" s="1578"/>
      <c r="E20" s="1579"/>
    </row>
    <row r="21" spans="1:5" ht="13.5" thickBot="1">
      <c r="A21" s="1569"/>
      <c r="B21" s="1581"/>
      <c r="C21" s="1017" t="s">
        <v>145</v>
      </c>
      <c r="D21" s="1018" t="s">
        <v>146</v>
      </c>
      <c r="E21" s="1019" t="s">
        <v>147</v>
      </c>
    </row>
    <row r="22" spans="1:5" ht="13.5" thickBot="1">
      <c r="A22" s="943" t="s">
        <v>1149</v>
      </c>
      <c r="B22" s="1007" t="s">
        <v>1150</v>
      </c>
      <c r="C22" s="1008" t="s">
        <v>1151</v>
      </c>
      <c r="D22" s="1009" t="s">
        <v>1152</v>
      </c>
      <c r="E22" s="1027" t="s">
        <v>1172</v>
      </c>
    </row>
    <row r="23" spans="1:5" ht="15.75" thickBot="1">
      <c r="A23" s="904" t="s">
        <v>1153</v>
      </c>
      <c r="B23" s="1545" t="s">
        <v>1560</v>
      </c>
      <c r="C23" s="1021"/>
      <c r="D23" s="1021">
        <v>100572</v>
      </c>
      <c r="E23" s="1022">
        <f>SUM(C23:D23)</f>
        <v>100572</v>
      </c>
    </row>
    <row r="24" spans="1:5" ht="15.75" thickBot="1">
      <c r="A24" s="944" t="s">
        <v>1154</v>
      </c>
      <c r="B24" s="1545" t="s">
        <v>1556</v>
      </c>
      <c r="C24" s="1508"/>
      <c r="D24" s="1508">
        <v>4026</v>
      </c>
      <c r="E24" s="1022">
        <f>SUM(C24:D24)</f>
        <v>4026</v>
      </c>
    </row>
    <row r="25" spans="1:5" ht="15" thickBot="1">
      <c r="A25" s="841" t="s">
        <v>1155</v>
      </c>
      <c r="B25" s="614" t="s">
        <v>715</v>
      </c>
      <c r="C25" s="850"/>
      <c r="D25" s="850">
        <f>SUM(D23:D24)</f>
        <v>104598</v>
      </c>
      <c r="E25" s="854">
        <f>SUM(E23:E24)</f>
        <v>104598</v>
      </c>
    </row>
    <row r="26" spans="2:5" ht="15">
      <c r="B26" s="27"/>
      <c r="C26" s="27"/>
      <c r="D26" s="27"/>
      <c r="E26" s="27"/>
    </row>
    <row r="27" spans="2:5" ht="15">
      <c r="B27" s="27"/>
      <c r="C27" s="27"/>
      <c r="D27" s="27"/>
      <c r="E27" s="27"/>
    </row>
    <row r="28" spans="2:5" ht="15">
      <c r="B28" s="27"/>
      <c r="C28" s="27"/>
      <c r="D28" s="27"/>
      <c r="E28" s="27"/>
    </row>
    <row r="29" spans="2:5" ht="15">
      <c r="B29" s="27"/>
      <c r="C29" s="27"/>
      <c r="D29" s="27"/>
      <c r="E29" s="27"/>
    </row>
    <row r="30" spans="2:5" ht="15">
      <c r="B30" s="27"/>
      <c r="C30" s="27"/>
      <c r="D30" s="27"/>
      <c r="E30" s="27"/>
    </row>
    <row r="31" spans="2:5" ht="15">
      <c r="B31" s="27"/>
      <c r="C31" s="27"/>
      <c r="D31" s="27"/>
      <c r="E31" s="27"/>
    </row>
    <row r="32" spans="2:5" ht="12.75">
      <c r="B32" s="1"/>
      <c r="C32" s="1"/>
      <c r="D32" s="1"/>
      <c r="E32" s="1"/>
    </row>
    <row r="40" ht="16.5" customHeight="1"/>
    <row r="41" ht="16.5" customHeight="1"/>
    <row r="42" ht="16.5" customHeight="1"/>
  </sheetData>
  <sheetProtection/>
  <mergeCells count="11">
    <mergeCell ref="B7:B8"/>
    <mergeCell ref="C7:E7"/>
    <mergeCell ref="A15:E15"/>
    <mergeCell ref="A1:E1"/>
    <mergeCell ref="B17:E17"/>
    <mergeCell ref="A20:A21"/>
    <mergeCell ref="B20:B21"/>
    <mergeCell ref="C20:E20"/>
    <mergeCell ref="B3:E3"/>
    <mergeCell ref="B4:E4"/>
    <mergeCell ref="A7:A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4.57421875" style="0" customWidth="1"/>
    <col min="2" max="2" width="65.28125" style="0" customWidth="1"/>
    <col min="3" max="3" width="17.00390625" style="0" customWidth="1"/>
    <col min="4" max="4" width="15.140625" style="0" customWidth="1"/>
    <col min="5" max="5" width="17.421875" style="0" customWidth="1"/>
  </cols>
  <sheetData>
    <row r="1" spans="1:6" ht="12.75">
      <c r="A1" s="1547" t="s">
        <v>1342</v>
      </c>
      <c r="B1" s="1547"/>
      <c r="C1" s="1547"/>
      <c r="D1" s="1547"/>
      <c r="E1" s="1547"/>
      <c r="F1" s="331"/>
    </row>
    <row r="2" spans="1:5" ht="15.75">
      <c r="A2" s="1555" t="s">
        <v>1027</v>
      </c>
      <c r="B2" s="1555"/>
      <c r="C2" s="1555"/>
      <c r="D2" s="1562"/>
      <c r="E2" s="1562"/>
    </row>
    <row r="3" spans="1:5" ht="15.75">
      <c r="A3" s="1555" t="s">
        <v>1028</v>
      </c>
      <c r="B3" s="1555"/>
      <c r="C3" s="1555"/>
      <c r="D3" s="1562"/>
      <c r="E3" s="1562"/>
    </row>
    <row r="4" spans="1:4" ht="15">
      <c r="A4" s="167"/>
      <c r="B4" s="167"/>
      <c r="C4" s="167"/>
      <c r="D4" s="167" t="s">
        <v>454</v>
      </c>
    </row>
    <row r="5" spans="1:5" ht="15" customHeight="1">
      <c r="A5" s="691"/>
      <c r="B5" s="690" t="s">
        <v>455</v>
      </c>
      <c r="C5" s="690" t="s">
        <v>769</v>
      </c>
      <c r="D5" s="705" t="s">
        <v>770</v>
      </c>
      <c r="E5" s="705" t="s">
        <v>771</v>
      </c>
    </row>
    <row r="6" spans="1:5" ht="15" customHeight="1">
      <c r="A6" s="721">
        <v>10</v>
      </c>
      <c r="B6" s="722" t="s">
        <v>772</v>
      </c>
      <c r="C6" s="723">
        <v>116680</v>
      </c>
      <c r="D6" s="723">
        <v>120990</v>
      </c>
      <c r="E6" s="724">
        <v>103374</v>
      </c>
    </row>
    <row r="7" spans="1:5" ht="15" customHeight="1">
      <c r="A7" s="691" t="s">
        <v>923</v>
      </c>
      <c r="B7" s="698" t="s">
        <v>773</v>
      </c>
      <c r="C7" s="692">
        <v>14196</v>
      </c>
      <c r="D7" s="692">
        <v>11349</v>
      </c>
      <c r="E7" s="692">
        <f>190*55.36</f>
        <v>10518.4</v>
      </c>
    </row>
    <row r="8" spans="1:5" ht="15" customHeight="1">
      <c r="A8" s="691" t="s">
        <v>924</v>
      </c>
      <c r="B8" s="698" t="s">
        <v>774</v>
      </c>
      <c r="C8" s="692">
        <f>56*540.15</f>
        <v>30248.399999999998</v>
      </c>
      <c r="D8" s="692">
        <f>58*494.1</f>
        <v>28657.800000000003</v>
      </c>
      <c r="E8" s="692">
        <f>68*494.1</f>
        <v>33598.8</v>
      </c>
    </row>
    <row r="9" spans="1:5" ht="15" customHeight="1">
      <c r="A9" s="691" t="s">
        <v>925</v>
      </c>
      <c r="B9" s="698" t="s">
        <v>775</v>
      </c>
      <c r="C9" s="692">
        <f>19*65</f>
        <v>1235</v>
      </c>
      <c r="D9" s="692">
        <f>3*65</f>
        <v>195</v>
      </c>
      <c r="E9" s="692">
        <f>13*68</f>
        <v>884</v>
      </c>
    </row>
    <row r="10" spans="1:5" ht="15" customHeight="1">
      <c r="A10" s="691"/>
      <c r="B10" s="698" t="s">
        <v>776</v>
      </c>
      <c r="C10" s="692">
        <v>150</v>
      </c>
      <c r="D10" s="692">
        <v>151</v>
      </c>
      <c r="E10" s="692">
        <f>14*9.4</f>
        <v>131.6</v>
      </c>
    </row>
    <row r="11" spans="1:5" ht="15" customHeight="1">
      <c r="A11" s="691"/>
      <c r="B11" s="706" t="s">
        <v>777</v>
      </c>
      <c r="C11" s="693">
        <f>SUM(C6:C10)</f>
        <v>162509.4</v>
      </c>
      <c r="D11" s="693">
        <f>SUM(D6:D10)</f>
        <v>161342.8</v>
      </c>
      <c r="E11" s="693">
        <f>SUM(E6:E10)</f>
        <v>148506.80000000002</v>
      </c>
    </row>
    <row r="12" spans="1:5" ht="15" customHeight="1">
      <c r="A12" s="691" t="s">
        <v>926</v>
      </c>
      <c r="B12" s="698" t="s">
        <v>778</v>
      </c>
      <c r="C12" s="692">
        <f>18.1*2550*8/12</f>
        <v>30770</v>
      </c>
      <c r="D12" s="692"/>
      <c r="E12" s="692">
        <v>0</v>
      </c>
    </row>
    <row r="13" spans="1:5" ht="15" customHeight="1">
      <c r="A13" s="691" t="s">
        <v>927</v>
      </c>
      <c r="B13" s="698" t="s">
        <v>779</v>
      </c>
      <c r="C13" s="692">
        <f>21.9*2550*8/12</f>
        <v>37230</v>
      </c>
      <c r="D13" s="692"/>
      <c r="E13" s="692">
        <v>0</v>
      </c>
    </row>
    <row r="14" spans="1:5" ht="15" customHeight="1">
      <c r="A14" s="691" t="s">
        <v>928</v>
      </c>
      <c r="B14" s="691" t="s">
        <v>780</v>
      </c>
      <c r="C14" s="692">
        <f>36.5*2540*4/12</f>
        <v>30903.333333333332</v>
      </c>
      <c r="D14" s="692">
        <f>37.8*2350*4/12</f>
        <v>29610</v>
      </c>
      <c r="E14" s="692">
        <f>ROUND(460/20*1.62,1)*2350/12*4</f>
        <v>29218.333333333332</v>
      </c>
    </row>
    <row r="15" spans="1:5" ht="15" customHeight="1">
      <c r="A15" s="691" t="s">
        <v>929</v>
      </c>
      <c r="B15" s="691" t="s">
        <v>781</v>
      </c>
      <c r="C15" s="692"/>
      <c r="D15" s="692">
        <f>37*2350*8/12</f>
        <v>57966.666666666664</v>
      </c>
      <c r="E15" s="692">
        <f>ROUND(465/20*1.62,1)*2350/12*8</f>
        <v>59063.333333333336</v>
      </c>
    </row>
    <row r="16" spans="1:5" ht="15" customHeight="1">
      <c r="A16" s="691" t="s">
        <v>930</v>
      </c>
      <c r="B16" s="691" t="s">
        <v>782</v>
      </c>
      <c r="C16" s="692">
        <f>13.3*2550*8/12</f>
        <v>22610</v>
      </c>
      <c r="D16" s="692">
        <f>11.6*2350*8/12</f>
        <v>18173.333333333332</v>
      </c>
      <c r="E16" s="692">
        <f>ROUND(222/21*1.2,1)*2350/12*8</f>
        <v>19896.666666666668</v>
      </c>
    </row>
    <row r="17" spans="1:5" ht="15" customHeight="1">
      <c r="A17" s="691" t="s">
        <v>931</v>
      </c>
      <c r="B17" s="691" t="s">
        <v>783</v>
      </c>
      <c r="C17" s="692">
        <f>8.5*2550*8/12</f>
        <v>14450</v>
      </c>
      <c r="D17" s="692">
        <f>7.7*2350*8/12</f>
        <v>12063.333333333334</v>
      </c>
      <c r="E17" s="692">
        <f>ROUND(99/21*1.22,1)*2350/12*8</f>
        <v>9086.666666666666</v>
      </c>
    </row>
    <row r="18" spans="1:5" ht="15" customHeight="1">
      <c r="A18" s="691" t="s">
        <v>932</v>
      </c>
      <c r="B18" s="691" t="s">
        <v>784</v>
      </c>
      <c r="C18" s="702">
        <f>12.8*2550*8/12</f>
        <v>21760</v>
      </c>
      <c r="D18" s="702">
        <f>12.8*2350*8/12</f>
        <v>20053.333333333332</v>
      </c>
      <c r="E18" s="692">
        <f>ROUND(160/21*1.39,1)*2350/12*8</f>
        <v>16606.666666666668</v>
      </c>
    </row>
    <row r="19" spans="1:5" ht="15" customHeight="1">
      <c r="A19" s="691" t="s">
        <v>933</v>
      </c>
      <c r="B19" s="691" t="s">
        <v>785</v>
      </c>
      <c r="C19" s="692">
        <f>20.5*2550*8/12</f>
        <v>34850</v>
      </c>
      <c r="D19" s="692">
        <f>18.1*2350*8/12</f>
        <v>28356.666666666668</v>
      </c>
      <c r="E19" s="692">
        <f>ROUND(236/23*1.55,1)*2350/12*8</f>
        <v>24910</v>
      </c>
    </row>
    <row r="20" spans="1:5" ht="15" customHeight="1">
      <c r="A20" s="691" t="s">
        <v>934</v>
      </c>
      <c r="B20" s="691" t="s">
        <v>786</v>
      </c>
      <c r="C20" s="692">
        <f>28.6*2550*8/12</f>
        <v>48620</v>
      </c>
      <c r="D20" s="692"/>
      <c r="E20" s="692">
        <v>0</v>
      </c>
    </row>
    <row r="21" spans="1:5" ht="15" customHeight="1">
      <c r="A21" s="707" t="s">
        <v>934</v>
      </c>
      <c r="B21" s="691" t="s">
        <v>787</v>
      </c>
      <c r="C21" s="692"/>
      <c r="D21" s="692">
        <f>11.1*2350*8/12</f>
        <v>17390</v>
      </c>
      <c r="E21" s="692">
        <f>ROUND(138/23*1.76,1)*2350/12*8</f>
        <v>16606.666666666668</v>
      </c>
    </row>
    <row r="22" spans="1:5" ht="15" customHeight="1">
      <c r="A22" s="707" t="s">
        <v>935</v>
      </c>
      <c r="B22" s="691" t="s">
        <v>788</v>
      </c>
      <c r="C22" s="692"/>
      <c r="D22" s="692">
        <f>16*2350*8/12</f>
        <v>25066.666666666668</v>
      </c>
      <c r="E22" s="692">
        <f>ROUND(154/23*1.76,1)*2350/12*8-157</f>
        <v>18329.666666666668</v>
      </c>
    </row>
    <row r="23" spans="1:5" ht="15" customHeight="1">
      <c r="A23" s="707" t="s">
        <v>936</v>
      </c>
      <c r="B23" s="691" t="s">
        <v>789</v>
      </c>
      <c r="C23" s="692">
        <f>13*2540*4/12</f>
        <v>11006.666666666666</v>
      </c>
      <c r="D23" s="692">
        <f>11.3*2350*4/12</f>
        <v>8851.666666666666</v>
      </c>
      <c r="E23" s="692">
        <f>ROUND(250/21*1.2,1)*2350/12*4</f>
        <v>11201.666666666666</v>
      </c>
    </row>
    <row r="24" spans="1:5" ht="15" customHeight="1">
      <c r="A24" s="691" t="s">
        <v>937</v>
      </c>
      <c r="B24" s="691" t="s">
        <v>790</v>
      </c>
      <c r="C24" s="692">
        <f>7.5*2540*4/12</f>
        <v>6350</v>
      </c>
      <c r="D24" s="692">
        <f>5.8*2350*4/12</f>
        <v>4543.333333333333</v>
      </c>
      <c r="E24" s="692">
        <f>ROUND(97/21*1.22,1)*2350/12*4</f>
        <v>4386.666666666667</v>
      </c>
    </row>
    <row r="25" spans="1:5" ht="15" customHeight="1">
      <c r="A25" s="691" t="s">
        <v>938</v>
      </c>
      <c r="B25" s="691" t="s">
        <v>791</v>
      </c>
      <c r="C25" s="692">
        <f>11.7*2540*4/12</f>
        <v>9906</v>
      </c>
      <c r="D25" s="692">
        <f>10.6*2350/12*4+392</f>
        <v>8695.333333333334</v>
      </c>
      <c r="E25" s="692">
        <f>ROUND(124/21*1.39,1)*2350/12*4</f>
        <v>6423.333333333333</v>
      </c>
    </row>
    <row r="26" spans="1:5" ht="15" customHeight="1">
      <c r="A26" s="691" t="s">
        <v>939</v>
      </c>
      <c r="B26" s="691" t="s">
        <v>792</v>
      </c>
      <c r="C26" s="692">
        <f>19.1*2540*4/12</f>
        <v>16171.333333333334</v>
      </c>
      <c r="D26" s="692">
        <f>15.9*2350/12*4+548</f>
        <v>13003</v>
      </c>
      <c r="E26" s="692">
        <f>ROUND(265/23*1.55,1)*2350/12*4</f>
        <v>14021.666666666666</v>
      </c>
    </row>
    <row r="27" spans="1:5" ht="15" customHeight="1">
      <c r="A27" s="691" t="s">
        <v>940</v>
      </c>
      <c r="B27" s="691" t="s">
        <v>793</v>
      </c>
      <c r="C27" s="692">
        <f>11.6*2540*4/12</f>
        <v>9821.333333333334</v>
      </c>
      <c r="D27" s="692">
        <f>10.6*2350/12*4+235</f>
        <v>8538.333333333334</v>
      </c>
      <c r="E27" s="692">
        <f>ROUND(106/23*1.76,1)*2350/12*4</f>
        <v>6345</v>
      </c>
    </row>
    <row r="28" spans="1:5" ht="15" customHeight="1">
      <c r="A28" s="707" t="s">
        <v>941</v>
      </c>
      <c r="B28" s="691" t="s">
        <v>794</v>
      </c>
      <c r="C28" s="692">
        <f>15.5*2540*4/12</f>
        <v>13123.333333333334</v>
      </c>
      <c r="D28" s="692">
        <f>11.8*2350/12*4+79</f>
        <v>9322.333333333334</v>
      </c>
      <c r="E28" s="692">
        <f>ROUND(138/23*1.76,1)*2350/12*4</f>
        <v>8303.333333333334</v>
      </c>
    </row>
    <row r="29" spans="1:5" ht="15" customHeight="1">
      <c r="A29" s="691" t="s">
        <v>942</v>
      </c>
      <c r="B29" s="691" t="s">
        <v>795</v>
      </c>
      <c r="C29" s="692">
        <f>2*240*8/12</f>
        <v>320</v>
      </c>
      <c r="D29" s="692">
        <f>1*224*8/12</f>
        <v>149.33333333333334</v>
      </c>
      <c r="E29" s="692">
        <v>0</v>
      </c>
    </row>
    <row r="30" spans="1:5" ht="15" customHeight="1">
      <c r="A30" s="691" t="s">
        <v>943</v>
      </c>
      <c r="B30" s="691" t="s">
        <v>796</v>
      </c>
      <c r="C30" s="692">
        <f>2*239*4/12</f>
        <v>159.33333333333334</v>
      </c>
      <c r="D30" s="692">
        <v>0</v>
      </c>
      <c r="E30" s="692">
        <v>0</v>
      </c>
    </row>
    <row r="31" spans="1:5" ht="15" customHeight="1">
      <c r="A31" s="691" t="s">
        <v>944</v>
      </c>
      <c r="B31" s="691" t="s">
        <v>797</v>
      </c>
      <c r="C31" s="692">
        <f>1*144*8/12</f>
        <v>96</v>
      </c>
      <c r="D31" s="692">
        <f>2*134.4*8/12</f>
        <v>179.20000000000002</v>
      </c>
      <c r="E31" s="692">
        <f>5*134.4*8/12</f>
        <v>448</v>
      </c>
    </row>
    <row r="32" spans="1:5" ht="15" customHeight="1">
      <c r="A32" s="696"/>
      <c r="B32" s="696"/>
      <c r="C32" s="697"/>
      <c r="D32" s="697"/>
      <c r="E32" s="697"/>
    </row>
    <row r="33" spans="1:5" ht="15" customHeight="1">
      <c r="A33" s="1695">
        <v>2</v>
      </c>
      <c r="B33" s="1696"/>
      <c r="C33" s="1696"/>
      <c r="D33" s="1696"/>
      <c r="E33" s="1696"/>
    </row>
    <row r="34" spans="1:5" ht="15" customHeight="1">
      <c r="A34" s="691"/>
      <c r="B34" s="690" t="s">
        <v>455</v>
      </c>
      <c r="C34" s="690" t="s">
        <v>769</v>
      </c>
      <c r="D34" s="705" t="s">
        <v>770</v>
      </c>
      <c r="E34" s="693" t="s">
        <v>771</v>
      </c>
    </row>
    <row r="35" spans="1:5" ht="15" customHeight="1">
      <c r="A35" s="691" t="s">
        <v>945</v>
      </c>
      <c r="B35" s="691" t="s">
        <v>798</v>
      </c>
      <c r="C35" s="692">
        <v>0</v>
      </c>
      <c r="D35" s="692">
        <f>2*134.4*4/12</f>
        <v>89.60000000000001</v>
      </c>
      <c r="E35" s="692">
        <f>4*134.4/12*4</f>
        <v>179.20000000000002</v>
      </c>
    </row>
    <row r="36" spans="1:5" ht="15" customHeight="1">
      <c r="A36" s="691" t="s">
        <v>946</v>
      </c>
      <c r="B36" s="691" t="s">
        <v>799</v>
      </c>
      <c r="C36" s="692">
        <f>4*384*8/12</f>
        <v>1024</v>
      </c>
      <c r="D36" s="692">
        <f>5*358.4*8/12</f>
        <v>1194.6666666666667</v>
      </c>
      <c r="E36" s="692">
        <f>5*358.4*8/12</f>
        <v>1194.6666666666667</v>
      </c>
    </row>
    <row r="37" spans="1:5" ht="15" customHeight="1">
      <c r="A37" s="707" t="s">
        <v>947</v>
      </c>
      <c r="B37" s="691" t="s">
        <v>800</v>
      </c>
      <c r="C37" s="692">
        <f>3*382.4*4/12</f>
        <v>382.3999999999999</v>
      </c>
      <c r="D37" s="692">
        <f>4*358.4*4/12</f>
        <v>477.8666666666666</v>
      </c>
      <c r="E37" s="692">
        <f>3*358.4*4/12</f>
        <v>358.3999999999999</v>
      </c>
    </row>
    <row r="38" spans="1:5" ht="15" customHeight="1">
      <c r="A38" s="707" t="s">
        <v>948</v>
      </c>
      <c r="B38" s="691" t="s">
        <v>801</v>
      </c>
      <c r="C38" s="692">
        <f>28*192*8/12</f>
        <v>3584</v>
      </c>
      <c r="D38" s="692">
        <f>35*179.2*8/12</f>
        <v>4181.333333333333</v>
      </c>
      <c r="E38" s="692">
        <f>43*179.2*8/12</f>
        <v>5137.066666666667</v>
      </c>
    </row>
    <row r="39" spans="1:5" ht="15" customHeight="1">
      <c r="A39" s="707" t="s">
        <v>949</v>
      </c>
      <c r="B39" s="691" t="s">
        <v>802</v>
      </c>
      <c r="C39" s="692">
        <f>25*191.2*4/12</f>
        <v>1593.3333333333333</v>
      </c>
      <c r="D39" s="692">
        <f>30*179.2/12*4</f>
        <v>1792</v>
      </c>
      <c r="E39" s="692">
        <f>39*179.2*4/12</f>
        <v>2329.6</v>
      </c>
    </row>
    <row r="40" spans="1:5" ht="15" customHeight="1">
      <c r="A40" s="707" t="s">
        <v>950</v>
      </c>
      <c r="B40" s="691" t="s">
        <v>803</v>
      </c>
      <c r="C40" s="692">
        <f>27*144*8/12</f>
        <v>2592</v>
      </c>
      <c r="D40" s="692">
        <f>26*134.4*8/12</f>
        <v>2329.6</v>
      </c>
      <c r="E40" s="692">
        <f>44*134.4*8/12</f>
        <v>3942.4</v>
      </c>
    </row>
    <row r="41" spans="1:5" ht="15" customHeight="1">
      <c r="A41" s="707" t="s">
        <v>951</v>
      </c>
      <c r="B41" s="691" t="s">
        <v>804</v>
      </c>
      <c r="C41" s="692">
        <f>24*143.4*4/12</f>
        <v>1147.2</v>
      </c>
      <c r="D41" s="692">
        <f>20*134.4/12*4</f>
        <v>896</v>
      </c>
      <c r="E41" s="692">
        <f>41*156.8*4/12</f>
        <v>2142.9333333333334</v>
      </c>
    </row>
    <row r="42" spans="1:5" ht="15" customHeight="1">
      <c r="A42" s="708" t="s">
        <v>952</v>
      </c>
      <c r="B42" s="691" t="s">
        <v>805</v>
      </c>
      <c r="C42" s="692">
        <v>0</v>
      </c>
      <c r="D42" s="692">
        <f>11*240</f>
        <v>2640</v>
      </c>
      <c r="E42" s="692">
        <f>11*240</f>
        <v>2640</v>
      </c>
    </row>
    <row r="43" spans="1:5" ht="15" customHeight="1">
      <c r="A43" s="707" t="s">
        <v>953</v>
      </c>
      <c r="B43" s="691" t="s">
        <v>806</v>
      </c>
      <c r="C43" s="692">
        <v>0</v>
      </c>
      <c r="D43" s="692">
        <f>2*305</f>
        <v>610</v>
      </c>
      <c r="E43" s="692">
        <v>0</v>
      </c>
    </row>
    <row r="44" spans="1:5" ht="15" customHeight="1">
      <c r="A44" s="717" t="s">
        <v>954</v>
      </c>
      <c r="B44" s="718" t="s">
        <v>807</v>
      </c>
      <c r="C44" s="719">
        <v>0</v>
      </c>
      <c r="D44" s="719">
        <v>0</v>
      </c>
      <c r="E44" s="720">
        <f>3*427</f>
        <v>1281</v>
      </c>
    </row>
    <row r="45" spans="1:5" ht="15" customHeight="1">
      <c r="A45" s="691" t="s">
        <v>955</v>
      </c>
      <c r="B45" s="691" t="s">
        <v>808</v>
      </c>
      <c r="C45" s="692">
        <f>62.2*2550*8/12</f>
        <v>105740</v>
      </c>
      <c r="D45" s="692">
        <f>62.3*2350*8/12</f>
        <v>97603.33333333333</v>
      </c>
      <c r="E45" s="692">
        <f>ROUND(752/28*2.33,1)*2350/12*8</f>
        <v>98073.33333333333</v>
      </c>
    </row>
    <row r="46" spans="1:5" ht="15" customHeight="1">
      <c r="A46" s="691" t="s">
        <v>956</v>
      </c>
      <c r="B46" s="691" t="s">
        <v>809</v>
      </c>
      <c r="C46" s="692">
        <f>56.3*2550*8/12</f>
        <v>95710</v>
      </c>
      <c r="D46" s="692"/>
      <c r="E46" s="692">
        <v>0</v>
      </c>
    </row>
    <row r="47" spans="1:5" ht="15" customHeight="1">
      <c r="A47" s="691" t="s">
        <v>956</v>
      </c>
      <c r="B47" s="691" t="s">
        <v>810</v>
      </c>
      <c r="C47" s="692"/>
      <c r="D47" s="692">
        <f>22.9*2350*8/12</f>
        <v>35876.666666666664</v>
      </c>
      <c r="E47" s="692">
        <v>0</v>
      </c>
    </row>
    <row r="48" spans="1:5" ht="15" customHeight="1">
      <c r="A48" s="691" t="s">
        <v>957</v>
      </c>
      <c r="B48" s="691" t="s">
        <v>811</v>
      </c>
      <c r="C48" s="692"/>
      <c r="D48" s="692">
        <f>30.4*2350*8/12</f>
        <v>47626.666666666664</v>
      </c>
      <c r="E48" s="692">
        <v>0</v>
      </c>
    </row>
    <row r="49" spans="1:5" ht="15" customHeight="1">
      <c r="A49" s="691" t="s">
        <v>958</v>
      </c>
      <c r="B49" s="691" t="s">
        <v>812</v>
      </c>
      <c r="C49" s="692"/>
      <c r="D49" s="692"/>
      <c r="E49" s="692">
        <f>ROUND(503/28*2.76,1)*2350/12*8</f>
        <v>77706.66666666667</v>
      </c>
    </row>
    <row r="50" spans="1:5" ht="15" customHeight="1">
      <c r="A50" s="691" t="s">
        <v>959</v>
      </c>
      <c r="B50" s="691" t="s">
        <v>813</v>
      </c>
      <c r="C50" s="692"/>
      <c r="D50" s="692"/>
      <c r="E50" s="692">
        <f>ROUND(51/26*2.76,1)*2350/12*8</f>
        <v>8460</v>
      </c>
    </row>
    <row r="51" spans="1:5" ht="15" customHeight="1">
      <c r="A51" s="691" t="s">
        <v>960</v>
      </c>
      <c r="B51" s="691" t="s">
        <v>814</v>
      </c>
      <c r="C51" s="692">
        <f>63.7*2540*4/12</f>
        <v>53932.666666666664</v>
      </c>
      <c r="D51" s="692">
        <f>59.8*2350*4/12</f>
        <v>46843.333333333336</v>
      </c>
      <c r="E51" s="692">
        <f>ROUND(795/28*2.33,1)*2350/12*4</f>
        <v>51856.666666666664</v>
      </c>
    </row>
    <row r="52" spans="1:5" ht="15" customHeight="1">
      <c r="A52" s="691" t="s">
        <v>961</v>
      </c>
      <c r="B52" s="691" t="s">
        <v>815</v>
      </c>
      <c r="C52" s="692">
        <f>24*2540*4/12</f>
        <v>20320</v>
      </c>
      <c r="D52" s="692">
        <f>28.3*2350*4/12</f>
        <v>22168.333333333332</v>
      </c>
      <c r="E52" s="692">
        <v>0</v>
      </c>
    </row>
    <row r="53" spans="1:5" ht="15" customHeight="1">
      <c r="A53" s="691" t="s">
        <v>962</v>
      </c>
      <c r="B53" s="691" t="s">
        <v>816</v>
      </c>
      <c r="C53" s="692">
        <f>31.3*2540*4/12</f>
        <v>26500.666666666668</v>
      </c>
      <c r="D53" s="692"/>
      <c r="E53" s="692">
        <v>0</v>
      </c>
    </row>
    <row r="54" spans="1:5" ht="15" customHeight="1">
      <c r="A54" s="691" t="s">
        <v>962</v>
      </c>
      <c r="B54" s="691" t="s">
        <v>817</v>
      </c>
      <c r="C54" s="692"/>
      <c r="D54" s="692">
        <f>22.3*2350*4/12</f>
        <v>17468.333333333332</v>
      </c>
      <c r="E54" s="692">
        <v>0</v>
      </c>
    </row>
    <row r="55" spans="1:5" ht="15" customHeight="1">
      <c r="A55" s="691" t="s">
        <v>962</v>
      </c>
      <c r="B55" s="691" t="s">
        <v>818</v>
      </c>
      <c r="C55" s="692"/>
      <c r="D55" s="692">
        <f>5.9*2350*4/12</f>
        <v>4621.666666666667</v>
      </c>
      <c r="E55" s="692">
        <v>0</v>
      </c>
    </row>
    <row r="56" spans="1:5" ht="15" customHeight="1">
      <c r="A56" s="691" t="s">
        <v>963</v>
      </c>
      <c r="B56" s="691" t="s">
        <v>819</v>
      </c>
      <c r="C56" s="692"/>
      <c r="D56" s="692"/>
      <c r="E56" s="692">
        <f>ROUND(567/28*2.76,1)*2350/12*4</f>
        <v>43788.333333333336</v>
      </c>
    </row>
    <row r="57" spans="1:5" ht="15" customHeight="1">
      <c r="A57" s="691" t="s">
        <v>964</v>
      </c>
      <c r="B57" s="691" t="s">
        <v>820</v>
      </c>
      <c r="C57" s="692">
        <f>22.6*2550*8/12</f>
        <v>38420</v>
      </c>
      <c r="D57" s="692"/>
      <c r="E57" s="692">
        <v>0</v>
      </c>
    </row>
    <row r="58" spans="1:5" ht="15" customHeight="1">
      <c r="A58" s="691" t="s">
        <v>965</v>
      </c>
      <c r="B58" s="691" t="s">
        <v>821</v>
      </c>
      <c r="C58" s="692">
        <f>2.3*2550*8/12</f>
        <v>3910</v>
      </c>
      <c r="D58" s="692"/>
      <c r="E58" s="692">
        <v>0</v>
      </c>
    </row>
    <row r="59" spans="1:5" ht="15" customHeight="1">
      <c r="A59" s="691" t="s">
        <v>964</v>
      </c>
      <c r="B59" s="691" t="s">
        <v>822</v>
      </c>
      <c r="C59" s="692"/>
      <c r="D59" s="692">
        <f>27.8*2350*8/12</f>
        <v>43553.333333333336</v>
      </c>
      <c r="E59" s="692">
        <f>ROUND(381/28*2.03,1)*2350/12*8</f>
        <v>43240</v>
      </c>
    </row>
    <row r="60" spans="1:5" ht="15" customHeight="1">
      <c r="A60" s="691" t="s">
        <v>966</v>
      </c>
      <c r="B60" s="691" t="s">
        <v>823</v>
      </c>
      <c r="C60" s="692">
        <f>29.6*2540*4/12</f>
        <v>25061.333333333332</v>
      </c>
      <c r="D60" s="692">
        <f>28.7*2350*4/12</f>
        <v>22481.666666666668</v>
      </c>
      <c r="E60" s="692">
        <f>ROUND(407/28*2.03,1)*2350/12*4</f>
        <v>23108.333333333332</v>
      </c>
    </row>
    <row r="61" spans="1:5" ht="15" customHeight="1">
      <c r="A61" s="691" t="s">
        <v>967</v>
      </c>
      <c r="B61" s="694" t="s">
        <v>824</v>
      </c>
      <c r="C61" s="692">
        <f>211*40*8/12</f>
        <v>5626.666666666667</v>
      </c>
      <c r="D61" s="692">
        <f>214*35*8/12</f>
        <v>4993.333333333333</v>
      </c>
      <c r="E61" s="692">
        <f>221*35*8/12</f>
        <v>5156.666666666667</v>
      </c>
    </row>
    <row r="62" spans="1:5" ht="15" customHeight="1">
      <c r="A62" s="691" t="s">
        <v>968</v>
      </c>
      <c r="B62" s="694" t="s">
        <v>825</v>
      </c>
      <c r="C62" s="692">
        <f>206*38*4/12</f>
        <v>2609.3333333333335</v>
      </c>
      <c r="D62" s="692">
        <f>210*35*4/12</f>
        <v>2450</v>
      </c>
      <c r="E62" s="692">
        <f>238*35*4/12</f>
        <v>2776.6666666666665</v>
      </c>
    </row>
    <row r="63" spans="1:5" ht="15" customHeight="1">
      <c r="A63" s="691" t="s">
        <v>969</v>
      </c>
      <c r="B63" s="694" t="s">
        <v>826</v>
      </c>
      <c r="C63" s="692">
        <f>9*112*8/12</f>
        <v>672</v>
      </c>
      <c r="D63" s="692">
        <f>7*98*8/12</f>
        <v>457.3333333333333</v>
      </c>
      <c r="E63" s="692">
        <f>5*98*8/12</f>
        <v>326.6666666666667</v>
      </c>
    </row>
    <row r="64" spans="1:5" ht="15" customHeight="1">
      <c r="A64" s="711"/>
      <c r="B64" s="712"/>
      <c r="C64" s="713"/>
      <c r="D64" s="713"/>
      <c r="E64" s="713"/>
    </row>
    <row r="65" spans="1:5" ht="15" customHeight="1">
      <c r="A65" s="1695">
        <v>3</v>
      </c>
      <c r="B65" s="1696"/>
      <c r="C65" s="1696"/>
      <c r="D65" s="1696"/>
      <c r="E65" s="1696"/>
    </row>
    <row r="66" spans="1:5" ht="15" customHeight="1">
      <c r="A66" s="691"/>
      <c r="B66" s="690" t="s">
        <v>455</v>
      </c>
      <c r="C66" s="690" t="s">
        <v>769</v>
      </c>
      <c r="D66" s="705" t="s">
        <v>770</v>
      </c>
      <c r="E66" s="693" t="s">
        <v>771</v>
      </c>
    </row>
    <row r="67" spans="1:5" ht="15" customHeight="1">
      <c r="A67" s="691" t="s">
        <v>970</v>
      </c>
      <c r="B67" s="694" t="s">
        <v>827</v>
      </c>
      <c r="C67" s="692">
        <f>46*156.8*8/12</f>
        <v>4808.533333333334</v>
      </c>
      <c r="D67" s="692">
        <f>47*137.2*8/12</f>
        <v>4298.933333333333</v>
      </c>
      <c r="E67" s="692">
        <f>58*137.2*8/12</f>
        <v>5305.066666666667</v>
      </c>
    </row>
    <row r="68" spans="1:5" ht="15" customHeight="1">
      <c r="A68" s="691" t="s">
        <v>971</v>
      </c>
      <c r="B68" s="694" t="s">
        <v>828</v>
      </c>
      <c r="C68" s="692">
        <f>42*67.2*8/12</f>
        <v>1881.6000000000001</v>
      </c>
      <c r="D68" s="692">
        <f>27*58.8*8/12</f>
        <v>1058.3999999999999</v>
      </c>
      <c r="E68" s="692">
        <f>25*58.8*8/12</f>
        <v>980</v>
      </c>
    </row>
    <row r="69" spans="1:5" ht="15" customHeight="1">
      <c r="A69" s="691" t="s">
        <v>972</v>
      </c>
      <c r="B69" s="694" t="s">
        <v>829</v>
      </c>
      <c r="C69" s="692">
        <f>167*22.4*8/12</f>
        <v>2493.8666666666663</v>
      </c>
      <c r="D69" s="692">
        <f>139*19.6*8/12</f>
        <v>1816.2666666666667</v>
      </c>
      <c r="E69" s="692">
        <f>187*19.6*8/12</f>
        <v>2443.4666666666667</v>
      </c>
    </row>
    <row r="70" spans="1:5" ht="15" customHeight="1">
      <c r="A70" s="691" t="s">
        <v>973</v>
      </c>
      <c r="B70" s="694" t="s">
        <v>830</v>
      </c>
      <c r="C70" s="692">
        <f>19*106*4/12</f>
        <v>671.3333333333334</v>
      </c>
      <c r="D70" s="692">
        <f>16*98*4/12</f>
        <v>522.6666666666666</v>
      </c>
      <c r="E70" s="692">
        <f>3*98*4/12</f>
        <v>98</v>
      </c>
    </row>
    <row r="71" spans="1:5" ht="15" customHeight="1">
      <c r="A71" s="691" t="s">
        <v>974</v>
      </c>
      <c r="B71" s="694" t="s">
        <v>831</v>
      </c>
      <c r="C71" s="692">
        <f>44*148.4*4/12</f>
        <v>2176.5333333333333</v>
      </c>
      <c r="D71" s="692">
        <f>50*137.2*4/12</f>
        <v>2286.6666666666665</v>
      </c>
      <c r="E71" s="692">
        <f>62*137.2*4/12</f>
        <v>2835.4666666666667</v>
      </c>
    </row>
    <row r="72" spans="1:5" ht="15" customHeight="1">
      <c r="A72" s="691" t="s">
        <v>975</v>
      </c>
      <c r="B72" s="694" t="s">
        <v>832</v>
      </c>
      <c r="C72" s="692">
        <f>35*63.6*4/12</f>
        <v>742</v>
      </c>
      <c r="D72" s="692">
        <f>22*58.8*4/12</f>
        <v>431.2</v>
      </c>
      <c r="E72" s="692">
        <f>27*58.8*4/12</f>
        <v>529.1999999999999</v>
      </c>
    </row>
    <row r="73" spans="1:5" ht="15" customHeight="1">
      <c r="A73" s="691" t="s">
        <v>976</v>
      </c>
      <c r="B73" s="694" t="s">
        <v>833</v>
      </c>
      <c r="C73" s="692">
        <f>176*21.2*4/12</f>
        <v>1243.7333333333333</v>
      </c>
      <c r="D73" s="695">
        <f>121*19.6*4/12</f>
        <v>790.5333333333334</v>
      </c>
      <c r="E73" s="692">
        <f>196*19.6*4/12</f>
        <v>1280.5333333333335</v>
      </c>
    </row>
    <row r="74" spans="1:5" ht="15" customHeight="1">
      <c r="A74" s="691" t="s">
        <v>977</v>
      </c>
      <c r="B74" s="691" t="s">
        <v>834</v>
      </c>
      <c r="C74" s="692">
        <f>5.2*2550*8/12</f>
        <v>8840</v>
      </c>
      <c r="D74" s="692">
        <f>5.8*2350*8/12</f>
        <v>9086.666666666666</v>
      </c>
      <c r="E74" s="692">
        <f>ROUND(265/8*0.17,1)*2350/12*8</f>
        <v>8773.333333333334</v>
      </c>
    </row>
    <row r="75" spans="1:5" ht="15" customHeight="1">
      <c r="A75" s="691" t="s">
        <v>978</v>
      </c>
      <c r="B75" s="691" t="s">
        <v>835</v>
      </c>
      <c r="C75" s="692">
        <f>1.1*2550*8/12</f>
        <v>1870</v>
      </c>
      <c r="D75" s="692">
        <f>0.8*2350*8/12</f>
        <v>1253.3333333333333</v>
      </c>
      <c r="E75" s="692">
        <f>ROUND(119/10*0.08,1)*2350/12*8</f>
        <v>1566.6666666666667</v>
      </c>
    </row>
    <row r="76" spans="1:5" ht="15" customHeight="1">
      <c r="A76" s="691" t="s">
        <v>979</v>
      </c>
      <c r="B76" s="691" t="s">
        <v>836</v>
      </c>
      <c r="C76" s="692">
        <f>5.2*2540*4/12</f>
        <v>4402.666666666667</v>
      </c>
      <c r="D76" s="692">
        <f>5.8*2350*4/12</f>
        <v>4543.333333333333</v>
      </c>
      <c r="E76" s="692">
        <f>ROUND(265/8*0.36,1)*2350/12*4</f>
        <v>9321.666666666666</v>
      </c>
    </row>
    <row r="77" spans="1:5" ht="15" customHeight="1">
      <c r="A77" s="691" t="s">
        <v>980</v>
      </c>
      <c r="B77" s="691" t="s">
        <v>837</v>
      </c>
      <c r="C77" s="692">
        <f>1.1*2540*4/12</f>
        <v>931.3333333333334</v>
      </c>
      <c r="D77" s="692">
        <f>0.8*2350*4/12</f>
        <v>626.6666666666666</v>
      </c>
      <c r="E77" s="692">
        <f>ROUND(119/10*0.18,1)*2350/12*4</f>
        <v>1645</v>
      </c>
    </row>
    <row r="78" spans="1:5" ht="15" customHeight="1">
      <c r="A78" s="691" t="s">
        <v>981</v>
      </c>
      <c r="B78" s="691" t="s">
        <v>838</v>
      </c>
      <c r="C78" s="692">
        <f>246*51*8/12</f>
        <v>8364</v>
      </c>
      <c r="D78" s="692">
        <f>274*44.9/12*8</f>
        <v>8201.733333333334</v>
      </c>
      <c r="E78" s="692">
        <f>265*44.9*8/12</f>
        <v>7932.333333333333</v>
      </c>
    </row>
    <row r="79" spans="1:5" ht="15" customHeight="1">
      <c r="A79" s="691" t="s">
        <v>982</v>
      </c>
      <c r="B79" s="691" t="s">
        <v>839</v>
      </c>
      <c r="C79" s="692">
        <f>138*20*8/12</f>
        <v>1840</v>
      </c>
      <c r="D79" s="692">
        <f>94*17.6/12*8</f>
        <v>1102.9333333333334</v>
      </c>
      <c r="E79" s="692">
        <f>119*17.6*8/12</f>
        <v>1396.2666666666667</v>
      </c>
    </row>
    <row r="80" spans="1:5" ht="15" customHeight="1">
      <c r="A80" s="691"/>
      <c r="B80" s="691" t="s">
        <v>840</v>
      </c>
      <c r="C80" s="692">
        <f>246*48.5*4/12</f>
        <v>3977</v>
      </c>
      <c r="D80" s="692">
        <f>274*44.9/12*4</f>
        <v>4100.866666666667</v>
      </c>
      <c r="E80" s="692">
        <v>0</v>
      </c>
    </row>
    <row r="81" spans="1:5" ht="15" customHeight="1">
      <c r="A81" s="691" t="s">
        <v>983</v>
      </c>
      <c r="B81" s="691" t="s">
        <v>841</v>
      </c>
      <c r="C81" s="692">
        <f>138*19*4/12</f>
        <v>874</v>
      </c>
      <c r="D81" s="692">
        <f>94*17.6/12*4</f>
        <v>551.4666666666667</v>
      </c>
      <c r="E81" s="692">
        <v>0</v>
      </c>
    </row>
    <row r="82" spans="1:5" ht="15" customHeight="1">
      <c r="A82" s="694" t="s">
        <v>984</v>
      </c>
      <c r="B82" s="694" t="s">
        <v>842</v>
      </c>
      <c r="C82" s="723"/>
      <c r="D82" s="723"/>
      <c r="E82" s="725">
        <f>235*6</f>
        <v>1410</v>
      </c>
    </row>
    <row r="83" spans="1:5" ht="15" customHeight="1">
      <c r="A83" s="694" t="s">
        <v>985</v>
      </c>
      <c r="B83" s="694" t="s">
        <v>843</v>
      </c>
      <c r="C83" s="723"/>
      <c r="D83" s="723"/>
      <c r="E83" s="725">
        <f>155*6</f>
        <v>930</v>
      </c>
    </row>
    <row r="84" spans="1:5" ht="15" customHeight="1">
      <c r="A84" s="694" t="s">
        <v>986</v>
      </c>
      <c r="B84" s="694" t="s">
        <v>844</v>
      </c>
      <c r="C84" s="723"/>
      <c r="D84" s="723"/>
      <c r="E84" s="725">
        <f>2306*1.75</f>
        <v>4035.5</v>
      </c>
    </row>
    <row r="85" spans="1:5" ht="15" customHeight="1">
      <c r="A85" s="691" t="s">
        <v>987</v>
      </c>
      <c r="B85" s="691" t="s">
        <v>845</v>
      </c>
      <c r="C85" s="692">
        <f>3.7*2550*8/12</f>
        <v>6290</v>
      </c>
      <c r="D85" s="692">
        <f>3.8*2350*8/12</f>
        <v>5953.333333333333</v>
      </c>
      <c r="E85" s="692">
        <f>ROUND(66/25*1.3,1)*2350/12*8</f>
        <v>5326.666666666667</v>
      </c>
    </row>
    <row r="86" spans="1:5" ht="15" customHeight="1">
      <c r="A86" s="691" t="s">
        <v>988</v>
      </c>
      <c r="B86" s="691" t="s">
        <v>846</v>
      </c>
      <c r="C86" s="692">
        <f>3.7*2540*4/12</f>
        <v>3132.6666666666665</v>
      </c>
      <c r="D86" s="692">
        <f>3.7*2350*4/12</f>
        <v>2898.3333333333335</v>
      </c>
      <c r="E86" s="692">
        <f>ROUND(66/25*3.04,1)*2350/12*4</f>
        <v>6266.666666666667</v>
      </c>
    </row>
    <row r="87" spans="1:5" ht="15" customHeight="1">
      <c r="A87" s="691" t="s">
        <v>989</v>
      </c>
      <c r="B87" s="691" t="s">
        <v>847</v>
      </c>
      <c r="C87" s="692">
        <f>72*186*8/12</f>
        <v>8928</v>
      </c>
      <c r="D87" s="692">
        <f>73*165*8/12</f>
        <v>8030</v>
      </c>
      <c r="E87" s="692">
        <f>66*165*8/12</f>
        <v>7260</v>
      </c>
    </row>
    <row r="88" spans="1:5" ht="15" customHeight="1">
      <c r="A88" s="691" t="s">
        <v>990</v>
      </c>
      <c r="B88" s="691" t="s">
        <v>848</v>
      </c>
      <c r="C88" s="692">
        <f>72*177*4/12</f>
        <v>4248</v>
      </c>
      <c r="D88" s="692">
        <f>72*165*4/12</f>
        <v>3960</v>
      </c>
      <c r="E88" s="692">
        <v>0</v>
      </c>
    </row>
    <row r="89" spans="1:5" ht="15" customHeight="1">
      <c r="A89" s="691" t="s">
        <v>991</v>
      </c>
      <c r="B89" s="691" t="s">
        <v>849</v>
      </c>
      <c r="C89" s="692">
        <f>3.6*2550*8/12</f>
        <v>6120</v>
      </c>
      <c r="D89" s="692">
        <f>3.7*2350*8/12</f>
        <v>5796.666666666667</v>
      </c>
      <c r="E89" s="692">
        <f>ROUND(409/25*0.24,1)*2350/12*8</f>
        <v>6110</v>
      </c>
    </row>
    <row r="90" spans="1:5" ht="15" customHeight="1">
      <c r="A90" s="691" t="s">
        <v>992</v>
      </c>
      <c r="B90" s="691" t="s">
        <v>850</v>
      </c>
      <c r="C90" s="692">
        <f>0.9*2550*8/12</f>
        <v>1530</v>
      </c>
      <c r="D90" s="692">
        <f>0.7*2350*8/12</f>
        <v>1096.6666666666667</v>
      </c>
      <c r="E90" s="692">
        <f>ROUND(147/25*0.16,1)*2350/12*8</f>
        <v>1410</v>
      </c>
    </row>
    <row r="91" spans="1:5" ht="15" customHeight="1">
      <c r="A91" s="691" t="s">
        <v>993</v>
      </c>
      <c r="B91" s="691" t="s">
        <v>851</v>
      </c>
      <c r="C91" s="692">
        <f>3.5*2540*4/12</f>
        <v>2963.3333333333335</v>
      </c>
      <c r="D91" s="692">
        <f>3.5*2350*4/12</f>
        <v>2741.6666666666665</v>
      </c>
      <c r="E91" s="692">
        <f>ROUND(409/25*0.24,1)*2350/12*4</f>
        <v>3055</v>
      </c>
    </row>
    <row r="92" spans="1:5" ht="15" customHeight="1">
      <c r="A92" s="691" t="s">
        <v>994</v>
      </c>
      <c r="B92" s="691" t="s">
        <v>852</v>
      </c>
      <c r="C92" s="692">
        <f>0.8*2540*4/12</f>
        <v>677.3333333333334</v>
      </c>
      <c r="D92" s="692">
        <f>0.6*2350*4/12</f>
        <v>470</v>
      </c>
      <c r="E92" s="692">
        <f>ROUND(147/25*0.16,1)*2350/12*4</f>
        <v>705</v>
      </c>
    </row>
    <row r="93" spans="1:5" ht="15" customHeight="1">
      <c r="A93" s="691" t="s">
        <v>995</v>
      </c>
      <c r="B93" s="691" t="s">
        <v>853</v>
      </c>
      <c r="C93" s="692">
        <f>224*71.5*8/12</f>
        <v>10677.333333333334</v>
      </c>
      <c r="D93" s="692">
        <f>26*64*8/12</f>
        <v>1109.3333333333333</v>
      </c>
      <c r="E93" s="692">
        <f>37*64*8/12</f>
        <v>1578.6666666666667</v>
      </c>
    </row>
    <row r="94" spans="1:5" ht="15" customHeight="1">
      <c r="A94" s="691" t="s">
        <v>996</v>
      </c>
      <c r="B94" s="691" t="s">
        <v>854</v>
      </c>
      <c r="C94" s="692">
        <f>230*68*4/12</f>
        <v>5213.333333333333</v>
      </c>
      <c r="D94" s="692">
        <f>35*64*4/12</f>
        <v>746.6666666666666</v>
      </c>
      <c r="E94" s="692">
        <f>32*64*4/12</f>
        <v>682.6666666666666</v>
      </c>
    </row>
    <row r="95" spans="1:5" ht="15" customHeight="1">
      <c r="A95" s="691" t="s">
        <v>997</v>
      </c>
      <c r="B95" s="691" t="s">
        <v>855</v>
      </c>
      <c r="C95" s="692">
        <f>901*18*8/12</f>
        <v>10812</v>
      </c>
      <c r="D95" s="692">
        <f>942*15.3*8/12</f>
        <v>9608.4</v>
      </c>
      <c r="E95" s="692">
        <f>981*15.3*8/12</f>
        <v>10006.2</v>
      </c>
    </row>
    <row r="96" spans="1:5" ht="15" customHeight="1">
      <c r="A96" s="711"/>
      <c r="B96" s="711"/>
      <c r="C96" s="713"/>
      <c r="D96" s="713"/>
      <c r="E96" s="713"/>
    </row>
    <row r="97" spans="1:5" ht="15" customHeight="1">
      <c r="A97" s="1695">
        <v>4</v>
      </c>
      <c r="B97" s="1696"/>
      <c r="C97" s="1696"/>
      <c r="D97" s="1696"/>
      <c r="E97" s="1696"/>
    </row>
    <row r="98" spans="1:5" ht="15" customHeight="1">
      <c r="A98" s="691"/>
      <c r="B98" s="690" t="s">
        <v>455</v>
      </c>
      <c r="C98" s="690" t="s">
        <v>769</v>
      </c>
      <c r="D98" s="705" t="s">
        <v>770</v>
      </c>
      <c r="E98" s="693" t="s">
        <v>771</v>
      </c>
    </row>
    <row r="99" spans="1:5" ht="15" customHeight="1">
      <c r="A99" s="691" t="s">
        <v>998</v>
      </c>
      <c r="B99" s="691" t="s">
        <v>856</v>
      </c>
      <c r="C99" s="692">
        <f>926*18*4/12</f>
        <v>5556</v>
      </c>
      <c r="D99" s="692">
        <f>955*15.3*4/12</f>
        <v>4870.5</v>
      </c>
      <c r="E99" s="692">
        <f>1000*15.3*4/12</f>
        <v>5100</v>
      </c>
    </row>
    <row r="100" spans="1:5" ht="15" customHeight="1">
      <c r="A100" s="691" t="s">
        <v>999</v>
      </c>
      <c r="B100" s="691" t="s">
        <v>857</v>
      </c>
      <c r="C100" s="692">
        <f>54*45*8/12</f>
        <v>1620</v>
      </c>
      <c r="D100" s="692">
        <f>47*36.3/12*8</f>
        <v>1137.3999999999999</v>
      </c>
      <c r="E100" s="692">
        <f>51*36.3*8/12</f>
        <v>1234.2</v>
      </c>
    </row>
    <row r="101" spans="1:5" ht="15" customHeight="1">
      <c r="A101" s="691" t="s">
        <v>1000</v>
      </c>
      <c r="B101" s="691" t="s">
        <v>858</v>
      </c>
      <c r="C101" s="692">
        <f>21*45*8/12</f>
        <v>630</v>
      </c>
      <c r="D101" s="692"/>
      <c r="E101" s="692">
        <v>0</v>
      </c>
    </row>
    <row r="102" spans="1:5" ht="15" customHeight="1">
      <c r="A102" s="691" t="s">
        <v>1000</v>
      </c>
      <c r="B102" s="691" t="s">
        <v>859</v>
      </c>
      <c r="C102" s="692"/>
      <c r="D102" s="692">
        <f>39*36.3/12*8</f>
        <v>943.7999999999998</v>
      </c>
      <c r="E102" s="692">
        <f>50*36.3*8/12</f>
        <v>1209.9999999999998</v>
      </c>
    </row>
    <row r="103" spans="1:5" ht="15" customHeight="1">
      <c r="A103" s="691" t="s">
        <v>1001</v>
      </c>
      <c r="B103" s="691" t="s">
        <v>860</v>
      </c>
      <c r="C103" s="692">
        <f>69*45*8/12</f>
        <v>2070</v>
      </c>
      <c r="D103" s="692"/>
      <c r="E103" s="692">
        <v>0</v>
      </c>
    </row>
    <row r="104" spans="1:5" ht="15" customHeight="1">
      <c r="A104" s="691" t="s">
        <v>1001</v>
      </c>
      <c r="B104" s="691" t="s">
        <v>861</v>
      </c>
      <c r="C104" s="692"/>
      <c r="D104" s="692">
        <f>48*36.3*8/12</f>
        <v>1161.6</v>
      </c>
      <c r="E104" s="692">
        <f>25*36.3*8/12</f>
        <v>604.9999999999999</v>
      </c>
    </row>
    <row r="105" spans="1:5" ht="15" customHeight="1">
      <c r="A105" s="691" t="s">
        <v>1002</v>
      </c>
      <c r="B105" s="691" t="s">
        <v>862</v>
      </c>
      <c r="C105" s="692">
        <f>51*42.8*4/12</f>
        <v>727.5999999999999</v>
      </c>
      <c r="D105" s="692">
        <f>50*36.3*4/12</f>
        <v>604.9999999999999</v>
      </c>
      <c r="E105" s="692">
        <v>0</v>
      </c>
    </row>
    <row r="106" spans="1:5" ht="15" customHeight="1">
      <c r="A106" s="691" t="s">
        <v>1003</v>
      </c>
      <c r="B106" s="691" t="s">
        <v>863</v>
      </c>
      <c r="C106" s="692">
        <f>43*42.8*4/12</f>
        <v>613.4666666666666</v>
      </c>
      <c r="D106" s="692"/>
      <c r="E106" s="692">
        <v>0</v>
      </c>
    </row>
    <row r="107" spans="1:5" ht="15" customHeight="1">
      <c r="A107" s="691" t="s">
        <v>1003</v>
      </c>
      <c r="B107" s="691" t="s">
        <v>864</v>
      </c>
      <c r="C107" s="692"/>
      <c r="D107" s="692">
        <f>50*36.3/12*4+97</f>
        <v>701.9999999999999</v>
      </c>
      <c r="E107" s="692">
        <v>0</v>
      </c>
    </row>
    <row r="108" spans="1:5" ht="15" customHeight="1">
      <c r="A108" s="691" t="s">
        <v>1004</v>
      </c>
      <c r="B108" s="691" t="s">
        <v>865</v>
      </c>
      <c r="C108" s="692">
        <f>50*42.8*4/12</f>
        <v>713.3333333333334</v>
      </c>
      <c r="D108" s="692"/>
      <c r="E108" s="692">
        <v>0</v>
      </c>
    </row>
    <row r="109" spans="1:5" ht="15" customHeight="1">
      <c r="A109" s="691" t="s">
        <v>1004</v>
      </c>
      <c r="B109" s="691" t="s">
        <v>866</v>
      </c>
      <c r="C109" s="692"/>
      <c r="D109" s="692">
        <f>25*36.3*4/12</f>
        <v>302.49999999999994</v>
      </c>
      <c r="E109" s="692">
        <v>0</v>
      </c>
    </row>
    <row r="110" spans="1:5" ht="15" customHeight="1">
      <c r="A110" s="691" t="s">
        <v>1005</v>
      </c>
      <c r="B110" s="691" t="s">
        <v>867</v>
      </c>
      <c r="C110" s="692">
        <f>167*65</f>
        <v>10855</v>
      </c>
      <c r="D110" s="692">
        <f>149*65</f>
        <v>9685</v>
      </c>
      <c r="E110" s="692">
        <f>(136+48+12)*68</f>
        <v>13328</v>
      </c>
    </row>
    <row r="111" spans="1:5" ht="15" customHeight="1">
      <c r="A111" s="691" t="s">
        <v>1006</v>
      </c>
      <c r="B111" s="691" t="s">
        <v>868</v>
      </c>
      <c r="C111" s="692">
        <f>273*65</f>
        <v>17745</v>
      </c>
      <c r="D111" s="692">
        <f>298*65</f>
        <v>19370</v>
      </c>
      <c r="E111" s="692">
        <f>(23+99+354)*68</f>
        <v>32368</v>
      </c>
    </row>
    <row r="112" spans="1:5" ht="15" customHeight="1">
      <c r="A112" s="691" t="s">
        <v>1007</v>
      </c>
      <c r="B112" s="691" t="s">
        <v>869</v>
      </c>
      <c r="C112" s="692">
        <f>65*65</f>
        <v>4225</v>
      </c>
      <c r="D112" s="692">
        <f>49*65</f>
        <v>3185</v>
      </c>
      <c r="E112" s="692">
        <f>(6+36+18)*68</f>
        <v>4080</v>
      </c>
    </row>
    <row r="113" spans="1:5" ht="15" customHeight="1">
      <c r="A113" s="691" t="s">
        <v>1008</v>
      </c>
      <c r="B113" s="691" t="s">
        <v>870</v>
      </c>
      <c r="C113" s="692">
        <f>14*65</f>
        <v>910</v>
      </c>
      <c r="D113" s="692">
        <f>16*65</f>
        <v>1040</v>
      </c>
      <c r="E113" s="692">
        <f>(3+9)*68</f>
        <v>816</v>
      </c>
    </row>
    <row r="114" spans="1:5" ht="15" customHeight="1">
      <c r="A114" s="691" t="s">
        <v>1009</v>
      </c>
      <c r="B114" s="691" t="s">
        <v>871</v>
      </c>
      <c r="C114" s="692">
        <v>0</v>
      </c>
      <c r="D114" s="692">
        <v>0</v>
      </c>
      <c r="E114" s="692">
        <v>0</v>
      </c>
    </row>
    <row r="115" spans="1:5" ht="15" customHeight="1">
      <c r="A115" s="691" t="s">
        <v>1010</v>
      </c>
      <c r="B115" s="691" t="s">
        <v>872</v>
      </c>
      <c r="C115" s="692">
        <f>46*65</f>
        <v>2990</v>
      </c>
      <c r="D115" s="692">
        <f>42*65</f>
        <v>2730</v>
      </c>
      <c r="E115" s="692">
        <f>(3+12+28)*68</f>
        <v>2924</v>
      </c>
    </row>
    <row r="116" spans="1:5" ht="15" customHeight="1">
      <c r="A116" s="691" t="s">
        <v>1011</v>
      </c>
      <c r="B116" s="691" t="s">
        <v>873</v>
      </c>
      <c r="C116" s="692">
        <f>33*20</f>
        <v>660</v>
      </c>
      <c r="D116" s="692">
        <f>69*20</f>
        <v>1380</v>
      </c>
      <c r="E116" s="692">
        <v>0</v>
      </c>
    </row>
    <row r="117" spans="1:5" ht="15" customHeight="1">
      <c r="A117" s="691" t="s">
        <v>1012</v>
      </c>
      <c r="B117" s="691" t="s">
        <v>874</v>
      </c>
      <c r="C117" s="692">
        <f>1227*10</f>
        <v>12270</v>
      </c>
      <c r="D117" s="692">
        <f>1236*10</f>
        <v>12360</v>
      </c>
      <c r="E117" s="692">
        <f>1478*12</f>
        <v>17736</v>
      </c>
    </row>
    <row r="118" spans="1:5" ht="15" customHeight="1">
      <c r="A118" s="691" t="s">
        <v>1013</v>
      </c>
      <c r="B118" s="691" t="s">
        <v>875</v>
      </c>
      <c r="C118" s="692">
        <f>1704*1</f>
        <v>1704</v>
      </c>
      <c r="D118" s="692">
        <f>2693*1</f>
        <v>2693</v>
      </c>
      <c r="E118" s="692">
        <v>0</v>
      </c>
    </row>
    <row r="119" spans="1:5" ht="15" customHeight="1">
      <c r="A119" s="691" t="s">
        <v>1014</v>
      </c>
      <c r="B119" s="691" t="s">
        <v>876</v>
      </c>
      <c r="C119" s="692">
        <v>7760</v>
      </c>
      <c r="D119" s="692"/>
      <c r="E119" s="692">
        <f>8*1200*8/12</f>
        <v>6400</v>
      </c>
    </row>
    <row r="120" spans="1:5" ht="15" customHeight="1">
      <c r="A120" s="691" t="s">
        <v>1015</v>
      </c>
      <c r="B120" s="691" t="s">
        <v>877</v>
      </c>
      <c r="C120" s="692"/>
      <c r="D120" s="692"/>
      <c r="E120" s="692">
        <f>8*1200*4/12</f>
        <v>3200</v>
      </c>
    </row>
    <row r="121" spans="1:5" ht="15" customHeight="1">
      <c r="A121" s="691"/>
      <c r="B121" s="691" t="s">
        <v>456</v>
      </c>
      <c r="C121" s="692">
        <v>707</v>
      </c>
      <c r="D121" s="692"/>
      <c r="E121" s="692"/>
    </row>
    <row r="122" spans="1:5" ht="15" customHeight="1">
      <c r="A122" s="694" t="s">
        <v>1016</v>
      </c>
      <c r="B122" s="694" t="s">
        <v>878</v>
      </c>
      <c r="C122" s="723">
        <v>3502</v>
      </c>
      <c r="D122" s="723"/>
      <c r="E122" s="725">
        <f>285*10.5*8/12</f>
        <v>1995</v>
      </c>
    </row>
    <row r="123" spans="1:5" ht="15" customHeight="1">
      <c r="A123" s="694" t="s">
        <v>1017</v>
      </c>
      <c r="B123" s="694" t="s">
        <v>879</v>
      </c>
      <c r="C123" s="723"/>
      <c r="D123" s="723"/>
      <c r="E123" s="725">
        <f>285*10.5*4/12</f>
        <v>997.5</v>
      </c>
    </row>
    <row r="124" spans="1:5" ht="15" customHeight="1">
      <c r="A124" s="694" t="s">
        <v>1018</v>
      </c>
      <c r="B124" s="694" t="s">
        <v>880</v>
      </c>
      <c r="C124" s="723"/>
      <c r="D124" s="723"/>
      <c r="E124" s="725">
        <f>121*26*8/12</f>
        <v>2097.3333333333335</v>
      </c>
    </row>
    <row r="125" spans="1:5" ht="15" customHeight="1">
      <c r="A125" s="694" t="s">
        <v>1019</v>
      </c>
      <c r="B125" s="694" t="s">
        <v>1020</v>
      </c>
      <c r="C125" s="723"/>
      <c r="D125" s="723"/>
      <c r="E125" s="725">
        <f>120*26*4/12</f>
        <v>1040</v>
      </c>
    </row>
    <row r="126" spans="1:5" ht="15" customHeight="1">
      <c r="A126" s="694" t="s">
        <v>1021</v>
      </c>
      <c r="B126" s="694" t="s">
        <v>881</v>
      </c>
      <c r="C126" s="723"/>
      <c r="D126" s="723"/>
      <c r="E126" s="725">
        <f>6*65*8/12</f>
        <v>260</v>
      </c>
    </row>
    <row r="127" spans="1:5" ht="15" customHeight="1">
      <c r="A127" s="694" t="s">
        <v>1022</v>
      </c>
      <c r="B127" s="694" t="s">
        <v>882</v>
      </c>
      <c r="C127" s="723"/>
      <c r="D127" s="723"/>
      <c r="E127" s="725">
        <f>6*65*4/12</f>
        <v>130</v>
      </c>
    </row>
    <row r="128" spans="1:5" ht="15" customHeight="1">
      <c r="A128" s="691"/>
      <c r="B128" s="690" t="s">
        <v>883</v>
      </c>
      <c r="C128" s="693">
        <f>SUM(C12:C127)</f>
        <v>877939.9333333333</v>
      </c>
      <c r="D128" s="693">
        <f>SUM(D12:D127)</f>
        <v>767566.1333333334</v>
      </c>
      <c r="E128" s="693">
        <f>SUM(E12:E127)</f>
        <v>806950.6666666664</v>
      </c>
    </row>
    <row r="129" spans="1:5" ht="15" customHeight="1">
      <c r="A129" s="1695">
        <v>5</v>
      </c>
      <c r="B129" s="1696"/>
      <c r="C129" s="1696"/>
      <c r="D129" s="1696"/>
      <c r="E129" s="1696"/>
    </row>
    <row r="130" spans="1:5" ht="15" customHeight="1">
      <c r="A130" s="691"/>
      <c r="B130" s="690" t="s">
        <v>455</v>
      </c>
      <c r="C130" s="690" t="s">
        <v>769</v>
      </c>
      <c r="D130" s="705" t="s">
        <v>770</v>
      </c>
      <c r="E130" s="693" t="s">
        <v>771</v>
      </c>
    </row>
    <row r="131" spans="1:5" ht="15" customHeight="1">
      <c r="A131" s="691"/>
      <c r="B131" s="698" t="s">
        <v>884</v>
      </c>
      <c r="C131" s="692">
        <v>8955</v>
      </c>
      <c r="D131" s="692"/>
      <c r="E131" s="692"/>
    </row>
    <row r="132" spans="1:5" ht="15" customHeight="1">
      <c r="A132" s="691"/>
      <c r="B132" s="698" t="s">
        <v>885</v>
      </c>
      <c r="C132" s="692">
        <v>18450</v>
      </c>
      <c r="D132" s="692"/>
      <c r="E132" s="692"/>
    </row>
    <row r="133" spans="1:5" ht="15" customHeight="1">
      <c r="A133" s="691"/>
      <c r="B133" s="698" t="s">
        <v>886</v>
      </c>
      <c r="C133" s="692">
        <f>17389*1.057</f>
        <v>18380.173</v>
      </c>
      <c r="D133" s="692">
        <f>17272*1.947</f>
        <v>33628.584</v>
      </c>
      <c r="E133" s="699">
        <v>47344</v>
      </c>
    </row>
    <row r="134" spans="1:5" ht="15" customHeight="1">
      <c r="A134" s="707"/>
      <c r="B134" s="691" t="s">
        <v>887</v>
      </c>
      <c r="C134" s="692">
        <f>17389*0.5</f>
        <v>8694.5</v>
      </c>
      <c r="D134" s="692">
        <v>0</v>
      </c>
      <c r="E134" s="700">
        <v>0</v>
      </c>
    </row>
    <row r="135" spans="1:5" ht="15" customHeight="1">
      <c r="A135" s="691"/>
      <c r="B135" s="698" t="s">
        <v>888</v>
      </c>
      <c r="C135" s="692">
        <v>3600</v>
      </c>
      <c r="D135" s="692">
        <f>12*253.5</f>
        <v>3042</v>
      </c>
      <c r="E135" s="700">
        <f>12*253.53</f>
        <v>3042.36</v>
      </c>
    </row>
    <row r="136" spans="1:5" ht="15" customHeight="1">
      <c r="A136" s="691"/>
      <c r="B136" s="698" t="s">
        <v>1023</v>
      </c>
      <c r="C136" s="692">
        <f>16000*2</f>
        <v>32000</v>
      </c>
      <c r="D136" s="692">
        <f>18000*1</f>
        <v>18000</v>
      </c>
      <c r="E136" s="700">
        <v>33000</v>
      </c>
    </row>
    <row r="137" spans="1:5" ht="15" customHeight="1">
      <c r="A137" s="691"/>
      <c r="B137" s="691" t="s">
        <v>889</v>
      </c>
      <c r="C137" s="692">
        <f>44*3.432</f>
        <v>151.008</v>
      </c>
      <c r="D137" s="692">
        <f>48*2.612</f>
        <v>125.376</v>
      </c>
      <c r="E137" s="700">
        <f>49*2.612</f>
        <v>127.988</v>
      </c>
    </row>
    <row r="138" spans="1:5" ht="15" customHeight="1">
      <c r="A138" s="691"/>
      <c r="B138" s="691" t="s">
        <v>129</v>
      </c>
      <c r="C138" s="692"/>
      <c r="D138" s="692"/>
      <c r="E138" s="700"/>
    </row>
    <row r="139" spans="1:5" ht="15" customHeight="1">
      <c r="A139" s="691"/>
      <c r="B139" s="691" t="s">
        <v>890</v>
      </c>
      <c r="C139" s="692">
        <v>3300</v>
      </c>
      <c r="D139" s="692">
        <v>3000</v>
      </c>
      <c r="E139" s="700">
        <v>3000</v>
      </c>
    </row>
    <row r="140" spans="1:5" ht="15" customHeight="1">
      <c r="A140" s="691"/>
      <c r="B140" s="691" t="s">
        <v>1024</v>
      </c>
      <c r="C140" s="692">
        <v>12774</v>
      </c>
      <c r="D140" s="692">
        <f>30638*0.276</f>
        <v>8456.088000000002</v>
      </c>
      <c r="E140" s="700">
        <f>27.366*276</f>
        <v>7553.016</v>
      </c>
    </row>
    <row r="141" spans="1:5" ht="15" customHeight="1">
      <c r="A141" s="691"/>
      <c r="B141" s="691" t="s">
        <v>891</v>
      </c>
      <c r="C141" s="692">
        <v>12133</v>
      </c>
      <c r="D141" s="692">
        <v>10233</v>
      </c>
      <c r="E141" s="700">
        <f>485*28.6</f>
        <v>13871</v>
      </c>
    </row>
    <row r="142" spans="1:5" ht="15" customHeight="1">
      <c r="A142" s="691"/>
      <c r="B142" s="691" t="s">
        <v>892</v>
      </c>
      <c r="C142" s="692">
        <v>3146</v>
      </c>
      <c r="D142" s="692">
        <v>2502</v>
      </c>
      <c r="E142" s="700">
        <f>56*44.256</f>
        <v>2478.3360000000002</v>
      </c>
    </row>
    <row r="143" spans="1:5" ht="15" customHeight="1">
      <c r="A143" s="691"/>
      <c r="B143" s="691" t="s">
        <v>1026</v>
      </c>
      <c r="C143" s="692">
        <v>4410</v>
      </c>
      <c r="D143" s="692">
        <v>4073</v>
      </c>
      <c r="E143" s="700">
        <f>591*7.73</f>
        <v>4568.43</v>
      </c>
    </row>
    <row r="144" spans="1:5" s="26" customFormat="1" ht="15" customHeight="1">
      <c r="A144" s="691"/>
      <c r="B144" s="691" t="s">
        <v>893</v>
      </c>
      <c r="C144" s="701">
        <v>278141</v>
      </c>
      <c r="D144" s="692">
        <v>264999</v>
      </c>
      <c r="E144" s="692">
        <v>263721</v>
      </c>
    </row>
    <row r="145" spans="1:5" ht="15" customHeight="1">
      <c r="A145" s="691"/>
      <c r="B145" s="691" t="s">
        <v>894</v>
      </c>
      <c r="C145" s="692">
        <v>190789</v>
      </c>
      <c r="D145" s="692">
        <v>201552</v>
      </c>
      <c r="E145" s="692">
        <v>186862</v>
      </c>
    </row>
    <row r="146" spans="1:5" ht="15" customHeight="1">
      <c r="A146" s="691"/>
      <c r="B146" s="691" t="s">
        <v>895</v>
      </c>
      <c r="C146" s="702">
        <v>241339</v>
      </c>
      <c r="D146" s="702">
        <v>207627</v>
      </c>
      <c r="E146" s="702">
        <v>234883</v>
      </c>
    </row>
    <row r="147" spans="1:5" ht="15" customHeight="1">
      <c r="A147" s="691"/>
      <c r="B147" s="691" t="s">
        <v>896</v>
      </c>
      <c r="C147" s="693">
        <f>SUM(C131:C146)</f>
        <v>836262.681</v>
      </c>
      <c r="D147" s="693">
        <f>SUM(D131:D146)</f>
        <v>757238.048</v>
      </c>
      <c r="E147" s="693">
        <f>SUM(E131:E146)</f>
        <v>800451.13</v>
      </c>
    </row>
    <row r="148" spans="1:5" ht="15" customHeight="1">
      <c r="A148" s="691"/>
      <c r="B148" s="690" t="s">
        <v>897</v>
      </c>
      <c r="C148" s="693">
        <f>C147+C128+C11</f>
        <v>1876712.0143333334</v>
      </c>
      <c r="D148" s="693">
        <f>D147+D128+D11</f>
        <v>1686146.9813333333</v>
      </c>
      <c r="E148" s="693">
        <f>E147+E128+E11</f>
        <v>1755908.5966666664</v>
      </c>
    </row>
    <row r="149" spans="1:5" ht="15" customHeight="1">
      <c r="A149" s="696"/>
      <c r="B149" s="709" t="s">
        <v>1025</v>
      </c>
      <c r="C149" s="697"/>
      <c r="D149" s="710"/>
      <c r="E149" s="710">
        <f>E148-D148</f>
        <v>69761.61533333315</v>
      </c>
    </row>
    <row r="150" ht="15" customHeight="1"/>
    <row r="183" s="26" customFormat="1" ht="12.75"/>
    <row r="237" ht="32.25" customHeight="1"/>
  </sheetData>
  <sheetProtection/>
  <mergeCells count="7">
    <mergeCell ref="A1:E1"/>
    <mergeCell ref="A97:E97"/>
    <mergeCell ref="A2:E2"/>
    <mergeCell ref="A3:E3"/>
    <mergeCell ref="A129:E129"/>
    <mergeCell ref="A33:E33"/>
    <mergeCell ref="A65:E65"/>
  </mergeCells>
  <printOptions/>
  <pageMargins left="0.7480314960629921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22.7109375" style="0" customWidth="1"/>
  </cols>
  <sheetData>
    <row r="1" spans="2:7" ht="12.75">
      <c r="B1" s="1547" t="s">
        <v>1343</v>
      </c>
      <c r="C1" s="1602"/>
      <c r="D1" s="1602"/>
      <c r="E1" s="1602"/>
      <c r="F1" s="1602"/>
      <c r="G1" s="1602"/>
    </row>
    <row r="4" spans="2:3" ht="18">
      <c r="B4" s="1687" t="s">
        <v>458</v>
      </c>
      <c r="C4" s="1687"/>
    </row>
    <row r="7" ht="13.5" thickBot="1">
      <c r="C7" s="58" t="s">
        <v>459</v>
      </c>
    </row>
    <row r="8" spans="1:3" ht="30.75" customHeight="1" thickBot="1">
      <c r="A8" s="1388" t="s">
        <v>1148</v>
      </c>
      <c r="B8" s="1389" t="s">
        <v>3</v>
      </c>
      <c r="C8" s="1390" t="s">
        <v>576</v>
      </c>
    </row>
    <row r="9" spans="1:3" ht="16.5" thickBot="1">
      <c r="A9" s="1395" t="s">
        <v>1149</v>
      </c>
      <c r="B9" s="1396" t="s">
        <v>1150</v>
      </c>
      <c r="C9" s="1397" t="s">
        <v>1151</v>
      </c>
    </row>
    <row r="10" spans="1:3" ht="15.75">
      <c r="A10" s="1392" t="s">
        <v>1153</v>
      </c>
      <c r="B10" s="1393" t="s">
        <v>460</v>
      </c>
      <c r="C10" s="1394"/>
    </row>
    <row r="11" spans="1:3" ht="15.75">
      <c r="A11" s="1385" t="s">
        <v>1154</v>
      </c>
      <c r="B11" s="1383" t="s">
        <v>1231</v>
      </c>
      <c r="C11" s="1260">
        <v>369</v>
      </c>
    </row>
    <row r="12" spans="1:3" ht="15.75">
      <c r="A12" s="1385" t="s">
        <v>1155</v>
      </c>
      <c r="B12" s="1383" t="s">
        <v>1232</v>
      </c>
      <c r="C12" s="1260">
        <v>12000</v>
      </c>
    </row>
    <row r="13" spans="1:3" ht="15.75">
      <c r="A13" s="1385" t="s">
        <v>1156</v>
      </c>
      <c r="B13" s="1383" t="s">
        <v>461</v>
      </c>
      <c r="C13" s="1260">
        <v>1000</v>
      </c>
    </row>
    <row r="14" spans="1:3" ht="15.75">
      <c r="A14" s="1385" t="s">
        <v>1157</v>
      </c>
      <c r="B14" s="1383" t="s">
        <v>462</v>
      </c>
      <c r="C14" s="1260">
        <v>2500</v>
      </c>
    </row>
    <row r="15" spans="1:3" ht="15.75">
      <c r="A15" s="1385" t="s">
        <v>1158</v>
      </c>
      <c r="B15" s="1383" t="s">
        <v>463</v>
      </c>
      <c r="C15" s="1260">
        <v>1000</v>
      </c>
    </row>
    <row r="16" spans="1:3" ht="15.75">
      <c r="A16" s="1385" t="s">
        <v>1159</v>
      </c>
      <c r="B16" s="1383" t="s">
        <v>464</v>
      </c>
      <c r="C16" s="1260">
        <f>17400+5000-990</f>
        <v>21410</v>
      </c>
    </row>
    <row r="17" spans="1:3" ht="15.75">
      <c r="A17" s="1385" t="s">
        <v>1160</v>
      </c>
      <c r="B17" s="1383" t="s">
        <v>1453</v>
      </c>
      <c r="C17" s="1260">
        <v>6400</v>
      </c>
    </row>
    <row r="18" spans="1:3" ht="15.75">
      <c r="A18" s="1385" t="s">
        <v>1161</v>
      </c>
      <c r="B18" s="1383" t="s">
        <v>465</v>
      </c>
      <c r="C18" s="1260">
        <f>SUM(C11:C17)*0.25</f>
        <v>11169.75</v>
      </c>
    </row>
    <row r="19" spans="1:3" ht="15.75">
      <c r="A19" s="1385" t="s">
        <v>1162</v>
      </c>
      <c r="B19" s="1383" t="s">
        <v>466</v>
      </c>
      <c r="C19" s="1260">
        <v>0</v>
      </c>
    </row>
    <row r="20" spans="1:3" ht="15.75">
      <c r="A20" s="1385" t="s">
        <v>1163</v>
      </c>
      <c r="B20" s="1384" t="s">
        <v>467</v>
      </c>
      <c r="C20" s="1261">
        <f>SUM(C11:C19)</f>
        <v>55848.75</v>
      </c>
    </row>
    <row r="21" spans="1:3" ht="15.75">
      <c r="A21" s="1385" t="s">
        <v>1164</v>
      </c>
      <c r="B21" s="1384"/>
      <c r="C21" s="1261"/>
    </row>
    <row r="22" spans="1:3" ht="15.75">
      <c r="A22" s="1385" t="s">
        <v>1165</v>
      </c>
      <c r="B22" s="1383" t="s">
        <v>236</v>
      </c>
      <c r="C22" s="1260">
        <f>'33_sz_ melléklet'!C54</f>
        <v>175290</v>
      </c>
    </row>
    <row r="23" spans="1:3" ht="15.75">
      <c r="A23" s="1385" t="s">
        <v>1166</v>
      </c>
      <c r="B23" s="1383" t="s">
        <v>237</v>
      </c>
      <c r="C23" s="1260">
        <f>'32_sz_ melléklet'!C32</f>
        <v>6500</v>
      </c>
    </row>
    <row r="24" spans="1:3" ht="15.75">
      <c r="A24" s="1385" t="s">
        <v>1167</v>
      </c>
      <c r="B24" s="1384" t="s">
        <v>468</v>
      </c>
      <c r="C24" s="1261">
        <f>SUM(C22:C23)</f>
        <v>181790</v>
      </c>
    </row>
    <row r="25" spans="1:3" ht="15.75">
      <c r="A25" s="1385" t="s">
        <v>1168</v>
      </c>
      <c r="B25" s="1384"/>
      <c r="C25" s="1261"/>
    </row>
    <row r="26" spans="1:3" ht="16.5" thickBot="1">
      <c r="A26" s="1391" t="s">
        <v>1169</v>
      </c>
      <c r="B26" s="1386" t="s">
        <v>469</v>
      </c>
      <c r="C26" s="1387">
        <f>C20+C24</f>
        <v>237638.75</v>
      </c>
    </row>
  </sheetData>
  <sheetProtection/>
  <mergeCells count="2">
    <mergeCell ref="B4:C4"/>
    <mergeCell ref="B1:G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1" sqref="C11:C12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1" spans="5:6" ht="12.75">
      <c r="E1" s="331"/>
      <c r="F1" s="331"/>
    </row>
    <row r="2" spans="1:6" ht="12.75">
      <c r="A2" s="1547" t="s">
        <v>1344</v>
      </c>
      <c r="B2" s="1547"/>
      <c r="C2" s="1547"/>
      <c r="D2" s="1547"/>
      <c r="E2" s="1547"/>
      <c r="F2" s="331"/>
    </row>
    <row r="3" spans="1:5" ht="12.75">
      <c r="A3" s="1"/>
      <c r="B3" s="1"/>
      <c r="C3" s="1"/>
      <c r="D3" s="103"/>
      <c r="E3" s="103"/>
    </row>
    <row r="4" spans="1:5" ht="15.75">
      <c r="A4" s="1555" t="s">
        <v>470</v>
      </c>
      <c r="B4" s="1555"/>
      <c r="C4" s="1555"/>
      <c r="D4" s="1555"/>
      <c r="E4" s="1555"/>
    </row>
    <row r="5" spans="1:5" ht="12.75">
      <c r="A5" s="1697" t="s">
        <v>471</v>
      </c>
      <c r="B5" s="1697"/>
      <c r="C5" s="1697"/>
      <c r="D5" s="1697"/>
      <c r="E5" s="1697"/>
    </row>
    <row r="6" spans="1:5" ht="22.5" customHeight="1">
      <c r="A6" s="1697"/>
      <c r="B6" s="1697"/>
      <c r="C6" s="1697"/>
      <c r="D6" s="1697"/>
      <c r="E6" s="1697"/>
    </row>
    <row r="7" spans="1:5" ht="15.75">
      <c r="A7" s="29"/>
      <c r="B7" s="29"/>
      <c r="C7" s="29"/>
      <c r="D7" s="29"/>
      <c r="E7" s="29"/>
    </row>
    <row r="8" spans="1:5" ht="15.75">
      <c r="A8" s="170" t="s">
        <v>280</v>
      </c>
      <c r="B8" s="29"/>
      <c r="C8" s="29"/>
      <c r="D8" s="29"/>
      <c r="E8" s="29"/>
    </row>
    <row r="9" spans="1:5" ht="15.75">
      <c r="A9" s="29"/>
      <c r="B9" s="29"/>
      <c r="C9" s="29"/>
      <c r="D9" s="1698" t="s">
        <v>472</v>
      </c>
      <c r="E9" s="1698"/>
    </row>
    <row r="10" spans="1:5" ht="31.5">
      <c r="A10" s="171" t="s">
        <v>3</v>
      </c>
      <c r="B10" s="172" t="s">
        <v>473</v>
      </c>
      <c r="C10" s="172" t="s">
        <v>474</v>
      </c>
      <c r="D10" s="172" t="s">
        <v>475</v>
      </c>
      <c r="E10" s="172" t="s">
        <v>476</v>
      </c>
    </row>
    <row r="11" spans="1:5" ht="30">
      <c r="A11" s="145" t="s">
        <v>477</v>
      </c>
      <c r="B11" s="169">
        <v>1000</v>
      </c>
      <c r="C11" s="169">
        <f>'14 16_sz_ melléklet'!C31</f>
        <v>1232</v>
      </c>
      <c r="D11" s="169">
        <v>0</v>
      </c>
      <c r="E11" s="173">
        <v>0</v>
      </c>
    </row>
    <row r="12" spans="1:5" ht="30">
      <c r="A12" s="145" t="s">
        <v>478</v>
      </c>
      <c r="B12" s="169"/>
      <c r="C12" s="169">
        <f>645+230</f>
        <v>875</v>
      </c>
      <c r="D12" s="169"/>
      <c r="E12" s="173">
        <v>0</v>
      </c>
    </row>
    <row r="13" spans="1:5" ht="45">
      <c r="A13" s="145" t="s">
        <v>479</v>
      </c>
      <c r="B13" s="169"/>
      <c r="C13" s="169"/>
      <c r="D13" s="169"/>
      <c r="E13" s="173">
        <v>0</v>
      </c>
    </row>
    <row r="14" spans="1:5" ht="15.75">
      <c r="A14" s="174" t="s">
        <v>480</v>
      </c>
      <c r="B14" s="169"/>
      <c r="C14" s="169"/>
      <c r="D14" s="169"/>
      <c r="E14" s="173">
        <v>0</v>
      </c>
    </row>
    <row r="15" spans="1:5" ht="20.25" customHeight="1">
      <c r="A15" s="145" t="s">
        <v>481</v>
      </c>
      <c r="B15" s="169"/>
      <c r="C15" s="169"/>
      <c r="D15" s="169"/>
      <c r="E15" s="173">
        <v>0</v>
      </c>
    </row>
    <row r="16" spans="1:5" ht="15.75">
      <c r="A16" s="168" t="s">
        <v>457</v>
      </c>
      <c r="B16" s="169">
        <f>SUM(B11:B15)</f>
        <v>1000</v>
      </c>
      <c r="C16" s="169">
        <f>SUM(C11:C15)</f>
        <v>2107</v>
      </c>
      <c r="D16" s="169">
        <f>SUM(D11:D15)</f>
        <v>0</v>
      </c>
      <c r="E16" s="173">
        <v>0</v>
      </c>
    </row>
    <row r="17" spans="1:5" ht="15.75">
      <c r="A17" s="29"/>
      <c r="B17" s="29"/>
      <c r="C17" s="29"/>
      <c r="D17" s="29"/>
      <c r="E17" s="29"/>
    </row>
    <row r="18" spans="1:5" ht="15.75">
      <c r="A18" s="29"/>
      <c r="B18" s="29"/>
      <c r="C18" s="29"/>
      <c r="D18" s="29"/>
      <c r="E18" s="29"/>
    </row>
    <row r="19" spans="1:5" ht="15.75">
      <c r="A19" s="170" t="s">
        <v>285</v>
      </c>
      <c r="B19" s="29"/>
      <c r="C19" s="29"/>
      <c r="D19" s="29"/>
      <c r="E19" s="29"/>
    </row>
    <row r="20" spans="1:5" ht="15.75">
      <c r="A20" s="29"/>
      <c r="B20" s="29"/>
      <c r="C20" s="29"/>
      <c r="D20" s="1698" t="s">
        <v>472</v>
      </c>
      <c r="E20" s="1698"/>
    </row>
    <row r="21" spans="1:5" ht="31.5">
      <c r="A21" s="171" t="s">
        <v>3</v>
      </c>
      <c r="B21" s="172" t="s">
        <v>473</v>
      </c>
      <c r="C21" s="172" t="s">
        <v>474</v>
      </c>
      <c r="D21" s="172" t="s">
        <v>475</v>
      </c>
      <c r="E21" s="172" t="s">
        <v>476</v>
      </c>
    </row>
    <row r="22" spans="1:5" ht="30">
      <c r="A22" s="145" t="s">
        <v>482</v>
      </c>
      <c r="B22" s="169">
        <v>1000</v>
      </c>
      <c r="C22" s="169">
        <v>0</v>
      </c>
      <c r="D22" s="169">
        <v>0</v>
      </c>
      <c r="E22" s="173">
        <v>0</v>
      </c>
    </row>
    <row r="23" spans="1:5" ht="15.75">
      <c r="A23" s="174" t="s">
        <v>483</v>
      </c>
      <c r="B23" s="169"/>
      <c r="C23" s="169"/>
      <c r="D23" s="169"/>
      <c r="E23" s="173">
        <v>0</v>
      </c>
    </row>
    <row r="24" spans="1:5" ht="49.5" customHeight="1">
      <c r="A24" s="145" t="s">
        <v>484</v>
      </c>
      <c r="B24" s="169"/>
      <c r="C24" s="169"/>
      <c r="D24" s="169"/>
      <c r="E24" s="173">
        <v>0</v>
      </c>
    </row>
    <row r="25" spans="1:5" ht="60">
      <c r="A25" s="145" t="s">
        <v>485</v>
      </c>
      <c r="B25" s="169">
        <v>0</v>
      </c>
      <c r="C25" s="169">
        <f>1000+645+232+230</f>
        <v>2107</v>
      </c>
      <c r="D25" s="169"/>
      <c r="E25" s="173">
        <v>0</v>
      </c>
    </row>
    <row r="26" spans="1:5" ht="15.75">
      <c r="A26" s="174" t="s">
        <v>486</v>
      </c>
      <c r="B26" s="169"/>
      <c r="C26" s="169"/>
      <c r="D26" s="169"/>
      <c r="E26" s="173">
        <v>0</v>
      </c>
    </row>
    <row r="27" spans="1:5" ht="15.75">
      <c r="A27" s="175" t="s">
        <v>487</v>
      </c>
      <c r="B27" s="169"/>
      <c r="C27" s="169"/>
      <c r="D27" s="169"/>
      <c r="E27" s="173">
        <v>0</v>
      </c>
    </row>
    <row r="28" spans="1:5" ht="75">
      <c r="A28" s="175" t="s">
        <v>488</v>
      </c>
      <c r="B28" s="176"/>
      <c r="C28" s="169"/>
      <c r="D28" s="169"/>
      <c r="E28" s="173">
        <v>0</v>
      </c>
    </row>
    <row r="29" spans="1:5" ht="45">
      <c r="A29" s="145" t="s">
        <v>489</v>
      </c>
      <c r="B29" s="169"/>
      <c r="C29" s="169"/>
      <c r="D29" s="169"/>
      <c r="E29" s="173">
        <v>0</v>
      </c>
    </row>
    <row r="30" spans="1:5" ht="15.75">
      <c r="A30" s="168" t="s">
        <v>490</v>
      </c>
      <c r="B30" s="169">
        <f>SUM(B22:B29)</f>
        <v>1000</v>
      </c>
      <c r="C30" s="169">
        <f>SUM(C22:C29)</f>
        <v>2107</v>
      </c>
      <c r="D30" s="169">
        <f>SUM(D22:D29)</f>
        <v>0</v>
      </c>
      <c r="E30" s="173">
        <v>0</v>
      </c>
    </row>
    <row r="31" spans="1:5" ht="15.75">
      <c r="A31" s="29"/>
      <c r="B31" s="29"/>
      <c r="C31" s="29"/>
      <c r="D31" s="29"/>
      <c r="E31" s="29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5">
    <mergeCell ref="A4:E4"/>
    <mergeCell ref="A5:E6"/>
    <mergeCell ref="D9:E9"/>
    <mergeCell ref="D20:E20"/>
    <mergeCell ref="A2:E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3">
      <selection activeCell="E71" sqref="E71"/>
    </sheetView>
  </sheetViews>
  <sheetFormatPr defaultColWidth="9.140625" defaultRowHeight="12.75"/>
  <cols>
    <col min="1" max="1" width="4.421875" style="0" customWidth="1"/>
    <col min="2" max="2" width="35.85156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1.28125" style="0" customWidth="1"/>
    <col min="7" max="7" width="10.7109375" style="0" customWidth="1"/>
  </cols>
  <sheetData>
    <row r="1" spans="1:7" ht="15">
      <c r="A1" s="1547" t="s">
        <v>1294</v>
      </c>
      <c r="B1" s="1547"/>
      <c r="C1" s="1547"/>
      <c r="D1" s="1547"/>
      <c r="E1" s="1547"/>
      <c r="F1" s="28"/>
      <c r="G1" s="28"/>
    </row>
    <row r="2" spans="2:7" ht="12.75">
      <c r="B2" s="1561" t="s">
        <v>39</v>
      </c>
      <c r="C2" s="1561"/>
      <c r="D2" s="1561"/>
      <c r="E2" s="1561"/>
      <c r="F2" s="1561"/>
      <c r="G2" s="1562"/>
    </row>
    <row r="3" spans="2:7" ht="12.75">
      <c r="B3" s="1561" t="s">
        <v>523</v>
      </c>
      <c r="C3" s="1561"/>
      <c r="D3" s="1561"/>
      <c r="E3" s="1561"/>
      <c r="F3" s="1561"/>
      <c r="G3" s="1562"/>
    </row>
    <row r="4" spans="2:7" ht="12.75">
      <c r="B4" s="49"/>
      <c r="C4" s="49"/>
      <c r="D4" s="49"/>
      <c r="E4" s="49"/>
      <c r="F4" s="49"/>
      <c r="G4" s="22"/>
    </row>
    <row r="5" spans="2:7" ht="13.5" thickBot="1">
      <c r="B5" s="1"/>
      <c r="C5" s="1"/>
      <c r="D5" s="1"/>
      <c r="E5" s="1"/>
      <c r="F5" s="31" t="s">
        <v>33</v>
      </c>
      <c r="G5" s="31"/>
    </row>
    <row r="6" spans="1:7" ht="12" customHeight="1" thickBot="1">
      <c r="A6" s="1553" t="s">
        <v>1148</v>
      </c>
      <c r="B6" s="296" t="s">
        <v>16</v>
      </c>
      <c r="C6" s="1557" t="s">
        <v>40</v>
      </c>
      <c r="D6" s="1563" t="s">
        <v>41</v>
      </c>
      <c r="E6" s="1557" t="s">
        <v>42</v>
      </c>
      <c r="F6" s="1557" t="s">
        <v>43</v>
      </c>
      <c r="G6" s="1559" t="s">
        <v>44</v>
      </c>
    </row>
    <row r="7" spans="1:7" ht="15" customHeight="1" thickBot="1">
      <c r="A7" s="1556"/>
      <c r="B7" s="297" t="s">
        <v>20</v>
      </c>
      <c r="C7" s="1558"/>
      <c r="D7" s="1564"/>
      <c r="E7" s="1558"/>
      <c r="F7" s="1558"/>
      <c r="G7" s="1560"/>
    </row>
    <row r="8" spans="1:7" ht="11.25" customHeight="1">
      <c r="A8" s="825" t="s">
        <v>1149</v>
      </c>
      <c r="B8" s="800" t="s">
        <v>1150</v>
      </c>
      <c r="C8" s="797" t="s">
        <v>1151</v>
      </c>
      <c r="D8" s="798" t="s">
        <v>1152</v>
      </c>
      <c r="E8" s="799" t="s">
        <v>1172</v>
      </c>
      <c r="F8" s="832" t="s">
        <v>1197</v>
      </c>
      <c r="G8" s="833" t="s">
        <v>1198</v>
      </c>
    </row>
    <row r="9" spans="1:8" ht="12.75">
      <c r="A9" s="789" t="s">
        <v>1153</v>
      </c>
      <c r="B9" s="256" t="s">
        <v>503</v>
      </c>
      <c r="C9" s="285"/>
      <c r="D9" s="299"/>
      <c r="E9" s="285"/>
      <c r="F9" s="285"/>
      <c r="G9" s="274"/>
      <c r="H9" s="24"/>
    </row>
    <row r="10" spans="1:8" ht="12.75">
      <c r="A10" s="786" t="s">
        <v>1154</v>
      </c>
      <c r="B10" s="245" t="s">
        <v>24</v>
      </c>
      <c r="C10" s="282">
        <v>102250</v>
      </c>
      <c r="D10" s="189">
        <v>167130</v>
      </c>
      <c r="E10" s="282">
        <v>357022</v>
      </c>
      <c r="F10" s="282">
        <f>152072+67+179+546+335+200+404+268+410+350+2265+504+850+250+448+74+146</f>
        <v>159368</v>
      </c>
      <c r="G10" s="272">
        <f>208352+299+671+947+1773+430+108+810+737+1545+295+693+410+627+715+226+182+234+185</f>
        <v>219239</v>
      </c>
      <c r="H10" s="24"/>
    </row>
    <row r="11" spans="1:8" ht="12.75">
      <c r="A11" s="786" t="s">
        <v>1155</v>
      </c>
      <c r="B11" s="213" t="s">
        <v>25</v>
      </c>
      <c r="C11" s="282">
        <v>24912</v>
      </c>
      <c r="D11" s="189">
        <v>42874</v>
      </c>
      <c r="E11" s="282">
        <v>92278</v>
      </c>
      <c r="F11" s="282">
        <f>39564+9+24+147+50+100+36+110+482+200+34+121+10+40</f>
        <v>40927</v>
      </c>
      <c r="G11" s="272">
        <f>53461+34+70+255+81+120+199+16+57+100+85+193+60+29+63+42</f>
        <v>54865</v>
      </c>
      <c r="H11" s="24"/>
    </row>
    <row r="12" spans="1:8" ht="12.75">
      <c r="A12" s="786" t="s">
        <v>1156</v>
      </c>
      <c r="B12" s="213" t="s">
        <v>26</v>
      </c>
      <c r="C12" s="282">
        <v>147821</v>
      </c>
      <c r="D12" s="189">
        <v>14985</v>
      </c>
      <c r="E12" s="282">
        <v>34488</v>
      </c>
      <c r="F12" s="282">
        <f>11810+450+1518+486+100+10000+3240+730+402+1100</f>
        <v>29836</v>
      </c>
      <c r="G12" s="272">
        <f>31449+990+780+7680+109+2500+700-1620-42</f>
        <v>42546</v>
      </c>
      <c r="H12" s="24"/>
    </row>
    <row r="13" spans="1:8" ht="12.75">
      <c r="A13" s="786" t="s">
        <v>1157</v>
      </c>
      <c r="B13" s="213" t="s">
        <v>27</v>
      </c>
      <c r="C13" s="282"/>
      <c r="D13" s="189"/>
      <c r="E13" s="282"/>
      <c r="F13" s="282"/>
      <c r="G13" s="272"/>
      <c r="H13" s="24"/>
    </row>
    <row r="14" spans="1:8" ht="12.75">
      <c r="A14" s="786" t="s">
        <v>1158</v>
      </c>
      <c r="B14" s="213" t="s">
        <v>498</v>
      </c>
      <c r="C14" s="282">
        <f>C15+C16+C17+C18</f>
        <v>0</v>
      </c>
      <c r="D14" s="282">
        <f>D15+D16+D17+D18</f>
        <v>0</v>
      </c>
      <c r="E14" s="282">
        <f>E15+E16+E17+E18</f>
        <v>0</v>
      </c>
      <c r="F14" s="282">
        <f>F15+F16+F17+F18</f>
        <v>0</v>
      </c>
      <c r="G14" s="282">
        <f>G15+G16+G17+G18</f>
        <v>0</v>
      </c>
      <c r="H14" s="24"/>
    </row>
    <row r="15" spans="1:8" ht="12.75">
      <c r="A15" s="786" t="s">
        <v>1159</v>
      </c>
      <c r="B15" s="213" t="s">
        <v>492</v>
      </c>
      <c r="C15" s="282"/>
      <c r="D15" s="189"/>
      <c r="E15" s="282"/>
      <c r="F15" s="282"/>
      <c r="G15" s="272"/>
      <c r="H15" s="24"/>
    </row>
    <row r="16" spans="1:8" ht="12.75">
      <c r="A16" s="786" t="s">
        <v>1160</v>
      </c>
      <c r="B16" s="246" t="s">
        <v>493</v>
      </c>
      <c r="C16" s="282"/>
      <c r="D16" s="189"/>
      <c r="E16" s="282"/>
      <c r="F16" s="282"/>
      <c r="G16" s="272"/>
      <c r="H16" s="24"/>
    </row>
    <row r="17" spans="1:8" ht="12.75">
      <c r="A17" s="786" t="s">
        <v>1161</v>
      </c>
      <c r="B17" s="213" t="s">
        <v>494</v>
      </c>
      <c r="C17" s="282"/>
      <c r="D17" s="189"/>
      <c r="E17" s="282"/>
      <c r="F17" s="282"/>
      <c r="G17" s="272"/>
      <c r="H17" s="24"/>
    </row>
    <row r="18" spans="1:8" ht="12.75">
      <c r="A18" s="786" t="s">
        <v>1162</v>
      </c>
      <c r="B18" s="213" t="s">
        <v>495</v>
      </c>
      <c r="C18" s="282"/>
      <c r="D18" s="189"/>
      <c r="E18" s="282"/>
      <c r="F18" s="282"/>
      <c r="G18" s="272"/>
      <c r="H18" s="24"/>
    </row>
    <row r="19" spans="1:8" s="26" customFormat="1" ht="13.5" thickBot="1">
      <c r="A19" s="786" t="s">
        <v>1163</v>
      </c>
      <c r="B19" s="247" t="s">
        <v>496</v>
      </c>
      <c r="C19" s="283"/>
      <c r="D19" s="298"/>
      <c r="E19" s="287">
        <v>2546</v>
      </c>
      <c r="F19" s="287">
        <f>302+315</f>
        <v>617</v>
      </c>
      <c r="G19" s="276">
        <f>390+1088+6480+1360+1212+4260+3702+2690</f>
        <v>21182</v>
      </c>
      <c r="H19" s="50"/>
    </row>
    <row r="20" spans="1:8" ht="13.5" thickBot="1">
      <c r="A20" s="786" t="s">
        <v>1164</v>
      </c>
      <c r="B20" s="248" t="s">
        <v>28</v>
      </c>
      <c r="C20" s="289">
        <f>C10+C11+C12+C13+C14+C19</f>
        <v>274983</v>
      </c>
      <c r="D20" s="289">
        <f>D10+D11+D12+D13+D14+D19</f>
        <v>224989</v>
      </c>
      <c r="E20" s="289">
        <f>E10+E11+E12+E13+E14+E19</f>
        <v>486334</v>
      </c>
      <c r="F20" s="289">
        <f>F10+F11+F12+F13+F14+F19</f>
        <v>230748</v>
      </c>
      <c r="G20" s="289">
        <f>G10+G11+G12+G13+G14+G19</f>
        <v>337832</v>
      </c>
      <c r="H20" s="24"/>
    </row>
    <row r="21" spans="1:8" ht="6" customHeight="1">
      <c r="A21" s="786"/>
      <c r="B21" s="249"/>
      <c r="C21" s="285"/>
      <c r="D21" s="299"/>
      <c r="E21" s="285"/>
      <c r="F21" s="285"/>
      <c r="G21" s="274"/>
      <c r="H21" s="24"/>
    </row>
    <row r="22" spans="1:8" ht="12.75">
      <c r="A22" s="786" t="s">
        <v>1165</v>
      </c>
      <c r="B22" s="249" t="s">
        <v>504</v>
      </c>
      <c r="C22" s="282"/>
      <c r="D22" s="189"/>
      <c r="E22" s="282"/>
      <c r="F22" s="282"/>
      <c r="G22" s="272"/>
      <c r="H22" s="24"/>
    </row>
    <row r="23" spans="1:8" ht="12.75">
      <c r="A23" s="786" t="s">
        <v>1166</v>
      </c>
      <c r="B23" s="213" t="s">
        <v>29</v>
      </c>
      <c r="C23" s="282">
        <f>'33_sz_ melléklet'!C30</f>
        <v>935</v>
      </c>
      <c r="D23" s="189">
        <f>'33_sz_ melléklet'!C20</f>
        <v>750</v>
      </c>
      <c r="E23" s="282">
        <f>'33_sz_ melléklet'!C26</f>
        <v>1738</v>
      </c>
      <c r="F23" s="282">
        <f>'33_sz_ melléklet'!C37</f>
        <v>672</v>
      </c>
      <c r="G23" s="272">
        <f>'33_sz_ melléklet'!C44</f>
        <v>17106</v>
      </c>
      <c r="H23" s="24"/>
    </row>
    <row r="24" spans="1:8" ht="12.75">
      <c r="A24" s="786" t="s">
        <v>1167</v>
      </c>
      <c r="B24" s="213" t="s">
        <v>38</v>
      </c>
      <c r="C24" s="282"/>
      <c r="D24" s="189"/>
      <c r="E24" s="282"/>
      <c r="F24" s="282">
        <f>'32_sz_ melléklet'!C21</f>
        <v>944</v>
      </c>
      <c r="G24" s="272"/>
      <c r="H24" s="24"/>
    </row>
    <row r="25" spans="1:8" ht="12.75">
      <c r="A25" s="786" t="s">
        <v>1168</v>
      </c>
      <c r="B25" s="213" t="s">
        <v>497</v>
      </c>
      <c r="C25" s="282">
        <f>C26+C27+C28</f>
        <v>0</v>
      </c>
      <c r="D25" s="282">
        <f>D26+D27+D28</f>
        <v>0</v>
      </c>
      <c r="E25" s="282">
        <f>E26+E27+E28</f>
        <v>0</v>
      </c>
      <c r="F25" s="282">
        <f>F26+F27+F28</f>
        <v>0</v>
      </c>
      <c r="G25" s="282">
        <f>G26+G27+G28</f>
        <v>0</v>
      </c>
      <c r="H25" s="24"/>
    </row>
    <row r="26" spans="1:8" ht="12.75">
      <c r="A26" s="786" t="s">
        <v>1169</v>
      </c>
      <c r="B26" s="213" t="s">
        <v>499</v>
      </c>
      <c r="C26" s="282"/>
      <c r="D26" s="189"/>
      <c r="E26" s="282"/>
      <c r="F26" s="282"/>
      <c r="G26" s="272"/>
      <c r="H26" s="24"/>
    </row>
    <row r="27" spans="1:8" ht="12.75">
      <c r="A27" s="786" t="s">
        <v>1170</v>
      </c>
      <c r="B27" s="213" t="s">
        <v>562</v>
      </c>
      <c r="C27" s="286"/>
      <c r="D27" s="300"/>
      <c r="E27" s="286"/>
      <c r="F27" s="286"/>
      <c r="G27" s="275"/>
      <c r="H27" s="24"/>
    </row>
    <row r="28" spans="1:8" ht="12.75">
      <c r="A28" s="786" t="s">
        <v>1171</v>
      </c>
      <c r="B28" s="213" t="s">
        <v>500</v>
      </c>
      <c r="C28" s="282"/>
      <c r="D28" s="189"/>
      <c r="E28" s="282"/>
      <c r="F28" s="282"/>
      <c r="G28" s="272"/>
      <c r="H28" s="24"/>
    </row>
    <row r="29" spans="1:8" ht="12.75">
      <c r="A29" s="786" t="s">
        <v>1173</v>
      </c>
      <c r="B29" s="213" t="s">
        <v>501</v>
      </c>
      <c r="C29" s="282"/>
      <c r="D29" s="189"/>
      <c r="E29" s="282"/>
      <c r="F29" s="282"/>
      <c r="G29" s="272"/>
      <c r="H29" s="24"/>
    </row>
    <row r="30" spans="1:8" ht="13.5" thickBot="1">
      <c r="A30" s="786" t="s">
        <v>1174</v>
      </c>
      <c r="B30" s="247" t="s">
        <v>502</v>
      </c>
      <c r="C30" s="287">
        <f>-C13</f>
        <v>0</v>
      </c>
      <c r="D30" s="287">
        <f>-D13</f>
        <v>0</v>
      </c>
      <c r="E30" s="287">
        <f>-E13</f>
        <v>0</v>
      </c>
      <c r="F30" s="287">
        <f>-F13</f>
        <v>0</v>
      </c>
      <c r="G30" s="287">
        <f>-G13</f>
        <v>0</v>
      </c>
      <c r="H30" s="24"/>
    </row>
    <row r="31" spans="1:8" ht="13.5" thickBot="1">
      <c r="A31" s="786" t="s">
        <v>1175</v>
      </c>
      <c r="B31" s="248" t="s">
        <v>30</v>
      </c>
      <c r="C31" s="289">
        <f>C23+C24+C25+C29+C30</f>
        <v>935</v>
      </c>
      <c r="D31" s="289">
        <f>D23+D24+D25+D29+D30</f>
        <v>750</v>
      </c>
      <c r="E31" s="289">
        <f>E23+E24+E25+E29+E30</f>
        <v>1738</v>
      </c>
      <c r="F31" s="289">
        <f>F23+F24+F25+F29+F30</f>
        <v>1616</v>
      </c>
      <c r="G31" s="289">
        <f>G23+G24+G25+G29+G30</f>
        <v>17106</v>
      </c>
      <c r="H31" s="24"/>
    </row>
    <row r="32" spans="1:8" ht="6" customHeight="1">
      <c r="A32" s="786"/>
      <c r="B32" s="268"/>
      <c r="C32" s="288"/>
      <c r="D32" s="301"/>
      <c r="E32" s="288"/>
      <c r="F32" s="288"/>
      <c r="G32" s="277"/>
      <c r="H32" s="24"/>
    </row>
    <row r="33" spans="1:8" ht="25.5">
      <c r="A33" s="786" t="s">
        <v>1176</v>
      </c>
      <c r="B33" s="252" t="s">
        <v>505</v>
      </c>
      <c r="C33" s="282"/>
      <c r="D33" s="189"/>
      <c r="E33" s="282"/>
      <c r="F33" s="282"/>
      <c r="G33" s="272"/>
      <c r="H33" s="24"/>
    </row>
    <row r="34" spans="1:8" ht="12.75">
      <c r="A34" s="786" t="s">
        <v>1177</v>
      </c>
      <c r="B34" s="253" t="s">
        <v>506</v>
      </c>
      <c r="C34" s="282"/>
      <c r="D34" s="189"/>
      <c r="E34" s="282"/>
      <c r="F34" s="282"/>
      <c r="G34" s="272"/>
      <c r="H34" s="24"/>
    </row>
    <row r="35" spans="1:8" ht="12.75">
      <c r="A35" s="786" t="s">
        <v>1178</v>
      </c>
      <c r="B35" s="254" t="s">
        <v>507</v>
      </c>
      <c r="C35" s="282"/>
      <c r="D35" s="189"/>
      <c r="E35" s="282"/>
      <c r="F35" s="282"/>
      <c r="G35" s="272"/>
      <c r="H35" s="24"/>
    </row>
    <row r="36" spans="1:8" ht="13.5" thickBot="1">
      <c r="A36" s="786" t="s">
        <v>1179</v>
      </c>
      <c r="B36" s="253" t="s">
        <v>508</v>
      </c>
      <c r="C36" s="287"/>
      <c r="D36" s="193"/>
      <c r="E36" s="287"/>
      <c r="F36" s="287"/>
      <c r="G36" s="276"/>
      <c r="H36" s="24"/>
    </row>
    <row r="37" spans="1:8" ht="26.25" thickBot="1">
      <c r="A37" s="786" t="s">
        <v>1180</v>
      </c>
      <c r="B37" s="269" t="s">
        <v>509</v>
      </c>
      <c r="C37" s="289">
        <f>C34+C35+C36</f>
        <v>0</v>
      </c>
      <c r="D37" s="289">
        <f>D34+D35+D36</f>
        <v>0</v>
      </c>
      <c r="E37" s="289">
        <f>E34+E35+E36</f>
        <v>0</v>
      </c>
      <c r="F37" s="289">
        <f>F34+F35+F36</f>
        <v>0</v>
      </c>
      <c r="G37" s="289">
        <f>G34+G35+G36</f>
        <v>0</v>
      </c>
      <c r="H37" s="24"/>
    </row>
    <row r="38" spans="1:8" ht="3.75" customHeight="1" thickBot="1">
      <c r="A38" s="786"/>
      <c r="B38" s="256"/>
      <c r="C38" s="285"/>
      <c r="D38" s="299"/>
      <c r="E38" s="285"/>
      <c r="F38" s="285"/>
      <c r="G38" s="274"/>
      <c r="H38" s="24"/>
    </row>
    <row r="39" spans="1:8" ht="12.75">
      <c r="A39" s="786" t="s">
        <v>1181</v>
      </c>
      <c r="B39" s="211" t="s">
        <v>510</v>
      </c>
      <c r="C39" s="282"/>
      <c r="D39" s="189"/>
      <c r="E39" s="282"/>
      <c r="F39" s="282"/>
      <c r="G39" s="272"/>
      <c r="H39" s="24"/>
    </row>
    <row r="40" spans="1:8" ht="12.75">
      <c r="A40" s="786" t="s">
        <v>1182</v>
      </c>
      <c r="B40" s="213" t="s">
        <v>511</v>
      </c>
      <c r="C40" s="282"/>
      <c r="D40" s="189"/>
      <c r="E40" s="282"/>
      <c r="F40" s="282"/>
      <c r="G40" s="272"/>
      <c r="H40" s="24"/>
    </row>
    <row r="41" spans="1:8" ht="12.75">
      <c r="A41" s="786" t="s">
        <v>1183</v>
      </c>
      <c r="B41" s="213" t="s">
        <v>52</v>
      </c>
      <c r="C41" s="282"/>
      <c r="D41" s="189"/>
      <c r="E41" s="282"/>
      <c r="F41" s="282"/>
      <c r="G41" s="272"/>
      <c r="H41" s="24"/>
    </row>
    <row r="42" spans="1:8" ht="12.75">
      <c r="A42" s="786" t="s">
        <v>1184</v>
      </c>
      <c r="B42" s="213" t="s">
        <v>1288</v>
      </c>
      <c r="C42" s="286"/>
      <c r="D42" s="300"/>
      <c r="E42" s="286"/>
      <c r="F42" s="286"/>
      <c r="G42" s="275"/>
      <c r="H42" s="24"/>
    </row>
    <row r="43" spans="1:8" ht="13.5" thickBot="1">
      <c r="A43" s="786" t="s">
        <v>1185</v>
      </c>
      <c r="B43" s="247" t="s">
        <v>513</v>
      </c>
      <c r="C43" s="287"/>
      <c r="D43" s="193"/>
      <c r="E43" s="287"/>
      <c r="F43" s="287"/>
      <c r="G43" s="276"/>
      <c r="H43" s="24"/>
    </row>
    <row r="44" spans="1:8" ht="13.5" thickBot="1">
      <c r="A44" s="786" t="s">
        <v>1186</v>
      </c>
      <c r="B44" s="248" t="s">
        <v>516</v>
      </c>
      <c r="C44" s="289">
        <f>C40+C41+C42+C43</f>
        <v>0</v>
      </c>
      <c r="D44" s="289">
        <f>D40+D41+D42+D43</f>
        <v>0</v>
      </c>
      <c r="E44" s="289">
        <f>E40+E41+E42+E43</f>
        <v>0</v>
      </c>
      <c r="F44" s="289">
        <f>F40+F41+F42+F43</f>
        <v>0</v>
      </c>
      <c r="G44" s="289">
        <f>G40+G41+G42+G43</f>
        <v>0</v>
      </c>
      <c r="H44" s="24"/>
    </row>
    <row r="45" spans="1:8" ht="6" customHeight="1" thickBot="1">
      <c r="A45" s="786"/>
      <c r="B45" s="256"/>
      <c r="C45" s="291"/>
      <c r="D45" s="41"/>
      <c r="E45" s="291"/>
      <c r="F45" s="291"/>
      <c r="G45" s="278"/>
      <c r="H45" s="24"/>
    </row>
    <row r="46" spans="1:8" ht="26.25" thickBot="1">
      <c r="A46" s="786" t="s">
        <v>1187</v>
      </c>
      <c r="B46" s="271" t="s">
        <v>512</v>
      </c>
      <c r="C46" s="289">
        <f>C44+C37+C31+C20</f>
        <v>275918</v>
      </c>
      <c r="D46" s="289">
        <f>D44+D37+D31+D20</f>
        <v>225739</v>
      </c>
      <c r="E46" s="289">
        <f>E44+E37+E31+E20</f>
        <v>488072</v>
      </c>
      <c r="F46" s="289">
        <f>F44+F37+F31+F20</f>
        <v>232364</v>
      </c>
      <c r="G46" s="289">
        <f>G44+G37+G31+G20</f>
        <v>354938</v>
      </c>
      <c r="H46" s="24"/>
    </row>
    <row r="47" spans="1:8" ht="7.5" customHeight="1">
      <c r="A47" s="786"/>
      <c r="B47" s="258"/>
      <c r="C47" s="288"/>
      <c r="D47" s="301"/>
      <c r="E47" s="288"/>
      <c r="F47" s="288"/>
      <c r="G47" s="277"/>
      <c r="H47" s="24"/>
    </row>
    <row r="48" spans="1:8" ht="12.75">
      <c r="A48" s="786" t="s">
        <v>1188</v>
      </c>
      <c r="B48" s="259" t="s">
        <v>519</v>
      </c>
      <c r="C48" s="282"/>
      <c r="D48" s="189"/>
      <c r="E48" s="282"/>
      <c r="F48" s="282"/>
      <c r="G48" s="272"/>
      <c r="H48" s="24"/>
    </row>
    <row r="49" spans="1:8" s="26" customFormat="1" ht="12.75">
      <c r="A49" s="786" t="s">
        <v>1189</v>
      </c>
      <c r="B49" s="260" t="s">
        <v>514</v>
      </c>
      <c r="C49" s="292"/>
      <c r="D49" s="302"/>
      <c r="E49" s="292"/>
      <c r="F49" s="292"/>
      <c r="G49" s="279"/>
      <c r="H49" s="50"/>
    </row>
    <row r="50" spans="1:8" ht="13.5" thickBot="1">
      <c r="A50" s="786" t="s">
        <v>1190</v>
      </c>
      <c r="B50" s="261" t="s">
        <v>515</v>
      </c>
      <c r="C50" s="304"/>
      <c r="D50" s="193"/>
      <c r="E50" s="287"/>
      <c r="F50" s="287"/>
      <c r="G50" s="276"/>
      <c r="H50" s="24"/>
    </row>
    <row r="51" spans="1:8" ht="13.5" thickBot="1">
      <c r="A51" s="786" t="s">
        <v>1191</v>
      </c>
      <c r="B51" s="262" t="s">
        <v>517</v>
      </c>
      <c r="C51" s="289">
        <f>C49+C50</f>
        <v>0</v>
      </c>
      <c r="D51" s="289">
        <f>D49+D50</f>
        <v>0</v>
      </c>
      <c r="E51" s="289">
        <f>E49+E50</f>
        <v>0</v>
      </c>
      <c r="F51" s="289">
        <f>F49+F50</f>
        <v>0</v>
      </c>
      <c r="G51" s="289">
        <f>G49+G50</f>
        <v>0</v>
      </c>
      <c r="H51" s="24"/>
    </row>
    <row r="52" spans="1:8" ht="6.75" customHeight="1">
      <c r="A52" s="786"/>
      <c r="B52" s="263"/>
      <c r="C52" s="285"/>
      <c r="D52" s="299"/>
      <c r="E52" s="285"/>
      <c r="F52" s="285"/>
      <c r="G52" s="274"/>
      <c r="H52" s="24"/>
    </row>
    <row r="53" spans="1:8" ht="22.5" thickBot="1">
      <c r="A53" s="786" t="s">
        <v>1192</v>
      </c>
      <c r="B53" s="264" t="s">
        <v>518</v>
      </c>
      <c r="C53" s="292"/>
      <c r="D53" s="302"/>
      <c r="E53" s="292"/>
      <c r="F53" s="292"/>
      <c r="G53" s="279"/>
      <c r="H53" s="24"/>
    </row>
    <row r="54" spans="1:8" ht="12.75">
      <c r="A54" s="786" t="s">
        <v>1193</v>
      </c>
      <c r="B54" s="265" t="s">
        <v>520</v>
      </c>
      <c r="C54" s="292"/>
      <c r="D54" s="302"/>
      <c r="E54" s="292"/>
      <c r="F54" s="292"/>
      <c r="G54" s="279"/>
      <c r="H54" s="24"/>
    </row>
    <row r="55" spans="1:8" ht="13.5" thickBot="1">
      <c r="A55" s="786" t="s">
        <v>1194</v>
      </c>
      <c r="B55" s="266" t="s">
        <v>521</v>
      </c>
      <c r="C55" s="293"/>
      <c r="D55" s="303"/>
      <c r="E55" s="293"/>
      <c r="F55" s="293"/>
      <c r="G55" s="280"/>
      <c r="H55" s="24"/>
    </row>
    <row r="56" spans="1:8" ht="13.5" thickBot="1">
      <c r="A56" s="786" t="s">
        <v>1195</v>
      </c>
      <c r="B56" s="248" t="s">
        <v>522</v>
      </c>
      <c r="C56" s="294">
        <f>C54+C55</f>
        <v>0</v>
      </c>
      <c r="D56" s="294">
        <f>D54+D55</f>
        <v>0</v>
      </c>
      <c r="E56" s="294">
        <f>E54+E55</f>
        <v>0</v>
      </c>
      <c r="F56" s="294">
        <f>F54+F55</f>
        <v>0</v>
      </c>
      <c r="G56" s="294">
        <f>G54+G55</f>
        <v>0</v>
      </c>
      <c r="H56" s="24"/>
    </row>
    <row r="57" spans="1:8" ht="6.75" customHeight="1" thickBot="1">
      <c r="A57" s="786"/>
      <c r="B57" s="247"/>
      <c r="C57" s="295"/>
      <c r="D57" s="47"/>
      <c r="E57" s="295"/>
      <c r="F57" s="295"/>
      <c r="G57" s="281"/>
      <c r="H57" s="24"/>
    </row>
    <row r="58" spans="1:8" ht="19.5" customHeight="1" thickBot="1">
      <c r="A58" s="823" t="s">
        <v>1196</v>
      </c>
      <c r="B58" s="262" t="s">
        <v>31</v>
      </c>
      <c r="C58" s="294">
        <f>C46+C51+C56</f>
        <v>275918</v>
      </c>
      <c r="D58" s="294">
        <f>D46+D51+D56</f>
        <v>225739</v>
      </c>
      <c r="E58" s="294">
        <f>E46+E51+E56</f>
        <v>488072</v>
      </c>
      <c r="F58" s="294">
        <f>F46+F51+F56</f>
        <v>232364</v>
      </c>
      <c r="G58" s="294">
        <f>G46+G51+G56</f>
        <v>354938</v>
      </c>
      <c r="H58" s="24"/>
    </row>
    <row r="59" spans="2:8" ht="9" customHeight="1">
      <c r="B59" s="306"/>
      <c r="C59" s="47"/>
      <c r="D59" s="47"/>
      <c r="E59" s="47"/>
      <c r="F59" s="47"/>
      <c r="G59" s="47"/>
      <c r="H59" s="24"/>
    </row>
    <row r="60" spans="2:8" ht="9" customHeight="1">
      <c r="B60" s="306"/>
      <c r="C60" s="47"/>
      <c r="D60" s="47"/>
      <c r="E60" s="47"/>
      <c r="F60" s="47"/>
      <c r="G60" s="47"/>
      <c r="H60" s="24"/>
    </row>
    <row r="61" spans="1:8" ht="12.75" customHeight="1">
      <c r="A61" s="1547" t="s">
        <v>1294</v>
      </c>
      <c r="B61" s="1547"/>
      <c r="C61" s="1547"/>
      <c r="D61" s="1547"/>
      <c r="E61" s="1547"/>
      <c r="F61" s="47"/>
      <c r="G61" s="47"/>
      <c r="H61" s="24"/>
    </row>
    <row r="62" spans="2:7" ht="12.75">
      <c r="B62" s="1561">
        <v>2</v>
      </c>
      <c r="C62" s="1561"/>
      <c r="D62" s="1561"/>
      <c r="E62" s="1561"/>
      <c r="F62" s="1561"/>
      <c r="G62" s="1561"/>
    </row>
    <row r="63" spans="2:7" ht="12.75">
      <c r="B63" s="1561" t="s">
        <v>45</v>
      </c>
      <c r="C63" s="1561"/>
      <c r="D63" s="1561"/>
      <c r="E63" s="1561"/>
      <c r="F63" s="1561"/>
      <c r="G63" s="1561"/>
    </row>
    <row r="64" spans="2:7" ht="12.75">
      <c r="B64" s="1561" t="s">
        <v>523</v>
      </c>
      <c r="C64" s="1561"/>
      <c r="D64" s="1561"/>
      <c r="E64" s="1561"/>
      <c r="F64" s="1561"/>
      <c r="G64" s="1561"/>
    </row>
    <row r="65" spans="2:7" ht="13.5" thickBot="1">
      <c r="B65" s="1"/>
      <c r="C65" s="1"/>
      <c r="D65" s="1"/>
      <c r="E65" s="1"/>
      <c r="F65" s="31" t="s">
        <v>33</v>
      </c>
      <c r="G65" s="31"/>
    </row>
    <row r="66" spans="1:7" ht="45" customHeight="1" thickBot="1">
      <c r="A66" s="830" t="s">
        <v>1148</v>
      </c>
      <c r="B66" s="313" t="s">
        <v>524</v>
      </c>
      <c r="C66" s="314" t="s">
        <v>46</v>
      </c>
      <c r="D66" s="315" t="s">
        <v>525</v>
      </c>
      <c r="E66" s="314" t="s">
        <v>47</v>
      </c>
      <c r="F66" s="790" t="s">
        <v>526</v>
      </c>
      <c r="G66" s="49"/>
    </row>
    <row r="67" spans="1:7" ht="11.25" customHeight="1">
      <c r="A67" s="825" t="s">
        <v>1149</v>
      </c>
      <c r="B67" s="800" t="s">
        <v>1150</v>
      </c>
      <c r="C67" s="797" t="s">
        <v>1151</v>
      </c>
      <c r="D67" s="798" t="s">
        <v>1152</v>
      </c>
      <c r="E67" s="799" t="s">
        <v>1172</v>
      </c>
      <c r="F67" s="834" t="s">
        <v>1197</v>
      </c>
      <c r="G67" s="831"/>
    </row>
    <row r="68" spans="1:7" ht="12.75">
      <c r="A68" s="789" t="s">
        <v>1153</v>
      </c>
      <c r="B68" s="256" t="s">
        <v>503</v>
      </c>
      <c r="C68" s="285"/>
      <c r="D68" s="299"/>
      <c r="E68" s="311"/>
      <c r="F68" s="311"/>
      <c r="G68" s="242"/>
    </row>
    <row r="69" spans="1:7" ht="12.75">
      <c r="A69" s="786" t="s">
        <v>1154</v>
      </c>
      <c r="B69" s="245" t="s">
        <v>24</v>
      </c>
      <c r="C69" s="282">
        <f>82138+288+370+1992+399+895+1397+303+63+965+289+296+93</f>
        <v>89488</v>
      </c>
      <c r="D69" s="189">
        <f aca="true" t="shared" si="0" ref="D69:D78">C69+G10+F10+E10+D10+C10</f>
        <v>1094497</v>
      </c>
      <c r="E69" s="310">
        <f>554+10</f>
        <v>564</v>
      </c>
      <c r="F69" s="310">
        <f>SUM(D69:E69)</f>
        <v>1095061</v>
      </c>
      <c r="G69" s="49"/>
    </row>
    <row r="70" spans="1:7" ht="12.75">
      <c r="A70" s="786" t="s">
        <v>1155</v>
      </c>
      <c r="B70" s="213" t="s">
        <v>25</v>
      </c>
      <c r="C70" s="282">
        <f>21015+38+39+535+107+96+376+82+113+78+46+25</f>
        <v>22550</v>
      </c>
      <c r="D70" s="189">
        <f t="shared" si="0"/>
        <v>278406</v>
      </c>
      <c r="E70" s="310">
        <f>127+5</f>
        <v>132</v>
      </c>
      <c r="F70" s="310">
        <f aca="true" t="shared" si="1" ref="F70:F78">SUM(D70:E70)</f>
        <v>278538</v>
      </c>
      <c r="G70" s="49"/>
    </row>
    <row r="71" spans="1:7" ht="12.75">
      <c r="A71" s="786" t="s">
        <v>1156</v>
      </c>
      <c r="B71" s="213" t="s">
        <v>26</v>
      </c>
      <c r="C71" s="282">
        <f>199657+2921-13750</f>
        <v>188828</v>
      </c>
      <c r="D71" s="189">
        <f t="shared" si="0"/>
        <v>458504</v>
      </c>
      <c r="E71" s="310">
        <f>1603-178+280</f>
        <v>1705</v>
      </c>
      <c r="F71" s="310">
        <f t="shared" si="1"/>
        <v>460209</v>
      </c>
      <c r="G71" s="31"/>
    </row>
    <row r="72" spans="1:7" ht="12.75">
      <c r="A72" s="786" t="s">
        <v>1157</v>
      </c>
      <c r="B72" s="213" t="s">
        <v>27</v>
      </c>
      <c r="C72" s="282"/>
      <c r="D72" s="189">
        <f t="shared" si="0"/>
        <v>0</v>
      </c>
      <c r="E72" s="310"/>
      <c r="F72" s="310">
        <f t="shared" si="1"/>
        <v>0</v>
      </c>
      <c r="G72" s="31"/>
    </row>
    <row r="73" spans="1:7" ht="12.75">
      <c r="A73" s="786" t="s">
        <v>1158</v>
      </c>
      <c r="B73" s="213" t="s">
        <v>498</v>
      </c>
      <c r="C73" s="282">
        <f>C74+C75+C76+C77</f>
        <v>0</v>
      </c>
      <c r="D73" s="189">
        <f t="shared" si="0"/>
        <v>0</v>
      </c>
      <c r="E73" s="282">
        <f>E74+E75+E76+E77</f>
        <v>0</v>
      </c>
      <c r="F73" s="310">
        <f t="shared" si="1"/>
        <v>0</v>
      </c>
      <c r="G73" s="1"/>
    </row>
    <row r="74" spans="1:7" ht="12.75">
      <c r="A74" s="786" t="s">
        <v>1159</v>
      </c>
      <c r="B74" s="213" t="s">
        <v>492</v>
      </c>
      <c r="C74" s="282"/>
      <c r="D74" s="189">
        <f t="shared" si="0"/>
        <v>0</v>
      </c>
      <c r="E74" s="310"/>
      <c r="F74" s="310">
        <f t="shared" si="1"/>
        <v>0</v>
      </c>
      <c r="G74" s="1"/>
    </row>
    <row r="75" spans="1:7" ht="12.75">
      <c r="A75" s="786" t="s">
        <v>1160</v>
      </c>
      <c r="B75" s="213" t="s">
        <v>493</v>
      </c>
      <c r="C75" s="282"/>
      <c r="D75" s="189">
        <f t="shared" si="0"/>
        <v>0</v>
      </c>
      <c r="E75" s="310"/>
      <c r="F75" s="310">
        <f t="shared" si="1"/>
        <v>0</v>
      </c>
      <c r="G75" s="1"/>
    </row>
    <row r="76" spans="1:7" ht="12.75">
      <c r="A76" s="786" t="s">
        <v>1161</v>
      </c>
      <c r="B76" s="213" t="s">
        <v>494</v>
      </c>
      <c r="C76" s="282"/>
      <c r="D76" s="189">
        <f t="shared" si="0"/>
        <v>0</v>
      </c>
      <c r="E76" s="310"/>
      <c r="F76" s="310">
        <f t="shared" si="1"/>
        <v>0</v>
      </c>
      <c r="G76" s="1"/>
    </row>
    <row r="77" spans="1:7" ht="13.5" customHeight="1">
      <c r="A77" s="786" t="s">
        <v>1162</v>
      </c>
      <c r="B77" s="213" t="s">
        <v>495</v>
      </c>
      <c r="C77" s="282"/>
      <c r="D77" s="189">
        <f t="shared" si="0"/>
        <v>0</v>
      </c>
      <c r="E77" s="310"/>
      <c r="F77" s="310">
        <f t="shared" si="1"/>
        <v>0</v>
      </c>
      <c r="G77" s="1"/>
    </row>
    <row r="78" spans="1:7" s="26" customFormat="1" ht="13.5" thickBot="1">
      <c r="A78" s="786" t="s">
        <v>1163</v>
      </c>
      <c r="B78" s="247" t="s">
        <v>496</v>
      </c>
      <c r="C78" s="283"/>
      <c r="D78" s="189">
        <f t="shared" si="0"/>
        <v>24345</v>
      </c>
      <c r="E78" s="283"/>
      <c r="F78" s="835">
        <f t="shared" si="1"/>
        <v>24345</v>
      </c>
      <c r="G78" s="1"/>
    </row>
    <row r="79" spans="1:7" ht="11.25" customHeight="1" thickBot="1">
      <c r="A79" s="786" t="s">
        <v>1164</v>
      </c>
      <c r="B79" s="248" t="s">
        <v>28</v>
      </c>
      <c r="C79" s="289">
        <f>C69+C70+C71+C72+C73+C78</f>
        <v>300866</v>
      </c>
      <c r="D79" s="289">
        <f>D69+D70+D71+D72+D73+D78</f>
        <v>1855752</v>
      </c>
      <c r="E79" s="289">
        <f>E69+E70+E71+E72+E73+E78</f>
        <v>2401</v>
      </c>
      <c r="F79" s="289">
        <f>F69+F70+F71+F72+F73+F78</f>
        <v>1858153</v>
      </c>
      <c r="G79" s="1"/>
    </row>
    <row r="80" spans="1:7" ht="3" customHeight="1">
      <c r="A80" s="786"/>
      <c r="B80" s="249"/>
      <c r="C80" s="285"/>
      <c r="D80" s="299"/>
      <c r="E80" s="311"/>
      <c r="F80" s="312"/>
      <c r="G80" s="1"/>
    </row>
    <row r="81" spans="1:7" ht="12.75">
      <c r="A81" s="786" t="s">
        <v>1165</v>
      </c>
      <c r="B81" s="249" t="s">
        <v>504</v>
      </c>
      <c r="C81" s="282"/>
      <c r="D81" s="189"/>
      <c r="E81" s="310"/>
      <c r="F81" s="309"/>
      <c r="G81" s="1"/>
    </row>
    <row r="82" spans="1:7" ht="12.75">
      <c r="A82" s="786" t="s">
        <v>1166</v>
      </c>
      <c r="B82" s="213" t="s">
        <v>29</v>
      </c>
      <c r="C82" s="282"/>
      <c r="D82" s="189">
        <f aca="true" t="shared" si="2" ref="D82:D89">C82+G23+F23+E23+D23+C23</f>
        <v>21201</v>
      </c>
      <c r="E82" s="310">
        <f>'33_sz_ melléklet'!C14</f>
        <v>178</v>
      </c>
      <c r="F82" s="309">
        <f>SUM(D82:E82)</f>
        <v>21379</v>
      </c>
      <c r="G82" s="1"/>
    </row>
    <row r="83" spans="1:7" ht="12.75">
      <c r="A83" s="786" t="s">
        <v>1167</v>
      </c>
      <c r="B83" s="213" t="s">
        <v>38</v>
      </c>
      <c r="C83" s="282"/>
      <c r="D83" s="189">
        <f t="shared" si="2"/>
        <v>944</v>
      </c>
      <c r="E83" s="310"/>
      <c r="F83" s="309">
        <f aca="true" t="shared" si="3" ref="F83:F89">SUM(D83:E83)</f>
        <v>944</v>
      </c>
      <c r="G83" s="1"/>
    </row>
    <row r="84" spans="1:7" ht="12.75">
      <c r="A84" s="786" t="s">
        <v>1168</v>
      </c>
      <c r="B84" s="213" t="s">
        <v>497</v>
      </c>
      <c r="C84" s="282">
        <f>C85+C86+C87</f>
        <v>0</v>
      </c>
      <c r="D84" s="189">
        <f t="shared" si="2"/>
        <v>0</v>
      </c>
      <c r="E84" s="282">
        <f>E85+E86+E87</f>
        <v>0</v>
      </c>
      <c r="F84" s="309">
        <f t="shared" si="3"/>
        <v>0</v>
      </c>
      <c r="G84" s="1"/>
    </row>
    <row r="85" spans="1:7" ht="12.75">
      <c r="A85" s="786" t="s">
        <v>1169</v>
      </c>
      <c r="B85" s="213" t="s">
        <v>499</v>
      </c>
      <c r="C85" s="282"/>
      <c r="D85" s="189">
        <f t="shared" si="2"/>
        <v>0</v>
      </c>
      <c r="E85" s="310"/>
      <c r="F85" s="309">
        <f t="shared" si="3"/>
        <v>0</v>
      </c>
      <c r="G85" s="1"/>
    </row>
    <row r="86" spans="1:7" s="26" customFormat="1" ht="12.75">
      <c r="A86" s="786" t="s">
        <v>1170</v>
      </c>
      <c r="B86" s="213" t="s">
        <v>562</v>
      </c>
      <c r="C86" s="286"/>
      <c r="D86" s="189">
        <f t="shared" si="2"/>
        <v>0</v>
      </c>
      <c r="E86" s="292"/>
      <c r="F86" s="309">
        <f t="shared" si="3"/>
        <v>0</v>
      </c>
      <c r="G86" s="1"/>
    </row>
    <row r="87" spans="1:7" ht="12.75">
      <c r="A87" s="786" t="s">
        <v>1171</v>
      </c>
      <c r="B87" s="213" t="s">
        <v>500</v>
      </c>
      <c r="C87" s="282"/>
      <c r="D87" s="189">
        <f t="shared" si="2"/>
        <v>0</v>
      </c>
      <c r="E87" s="310"/>
      <c r="F87" s="309">
        <f t="shared" si="3"/>
        <v>0</v>
      </c>
      <c r="G87" s="1"/>
    </row>
    <row r="88" spans="1:7" ht="12.75">
      <c r="A88" s="786" t="s">
        <v>1173</v>
      </c>
      <c r="B88" s="213" t="s">
        <v>501</v>
      </c>
      <c r="C88" s="282"/>
      <c r="D88" s="189">
        <f t="shared" si="2"/>
        <v>0</v>
      </c>
      <c r="E88" s="310"/>
      <c r="F88" s="309">
        <f t="shared" si="3"/>
        <v>0</v>
      </c>
      <c r="G88" s="1"/>
    </row>
    <row r="89" spans="1:7" ht="13.5" thickBot="1">
      <c r="A89" s="786" t="s">
        <v>1174</v>
      </c>
      <c r="B89" s="213" t="s">
        <v>502</v>
      </c>
      <c r="C89" s="287">
        <f>-C72</f>
        <v>0</v>
      </c>
      <c r="D89" s="189">
        <f t="shared" si="2"/>
        <v>0</v>
      </c>
      <c r="E89" s="287">
        <f>-E72</f>
        <v>0</v>
      </c>
      <c r="F89" s="309">
        <f t="shared" si="3"/>
        <v>0</v>
      </c>
      <c r="G89" s="1"/>
    </row>
    <row r="90" spans="1:7" ht="13.5" thickBot="1">
      <c r="A90" s="786" t="s">
        <v>1175</v>
      </c>
      <c r="B90" s="250" t="s">
        <v>30</v>
      </c>
      <c r="C90" s="289">
        <f>C82+C83+C84+C88+C89</f>
        <v>0</v>
      </c>
      <c r="D90" s="289">
        <f>D82+D83+D84+D88+D89</f>
        <v>22145</v>
      </c>
      <c r="E90" s="289">
        <f>E82+E83+E84+E88+E89</f>
        <v>178</v>
      </c>
      <c r="F90" s="289">
        <f>F82+F83+F84+F88+F89</f>
        <v>22323</v>
      </c>
      <c r="G90" s="1"/>
    </row>
    <row r="91" spans="1:7" ht="4.5" customHeight="1">
      <c r="A91" s="786"/>
      <c r="B91" s="251"/>
      <c r="C91" s="288"/>
      <c r="D91" s="301"/>
      <c r="E91" s="319"/>
      <c r="F91" s="320"/>
      <c r="G91" s="1"/>
    </row>
    <row r="92" spans="1:7" ht="25.5">
      <c r="A92" s="786" t="s">
        <v>1176</v>
      </c>
      <c r="B92" s="252" t="s">
        <v>505</v>
      </c>
      <c r="C92" s="282"/>
      <c r="D92" s="189"/>
      <c r="E92" s="310"/>
      <c r="F92" s="309"/>
      <c r="G92" s="1"/>
    </row>
    <row r="93" spans="1:7" ht="12.75">
      <c r="A93" s="786" t="s">
        <v>1177</v>
      </c>
      <c r="B93" s="247" t="s">
        <v>506</v>
      </c>
      <c r="C93" s="282"/>
      <c r="D93" s="189">
        <f>C93+G34+F34+E34+D34+C34</f>
        <v>0</v>
      </c>
      <c r="E93" s="310"/>
      <c r="F93" s="309">
        <f>SUM(D93:E93)</f>
        <v>0</v>
      </c>
      <c r="G93" s="1"/>
    </row>
    <row r="94" spans="1:7" ht="12.75">
      <c r="A94" s="786" t="s">
        <v>1178</v>
      </c>
      <c r="B94" s="305" t="s">
        <v>507</v>
      </c>
      <c r="C94" s="282"/>
      <c r="D94" s="189">
        <f>C94+G35+F35+E35+D35+C35</f>
        <v>0</v>
      </c>
      <c r="E94" s="310"/>
      <c r="F94" s="309">
        <f>SUM(D94:E94)</f>
        <v>0</v>
      </c>
      <c r="G94" s="1"/>
    </row>
    <row r="95" spans="1:7" ht="13.5" thickBot="1">
      <c r="A95" s="786" t="s">
        <v>1179</v>
      </c>
      <c r="B95" s="316" t="s">
        <v>508</v>
      </c>
      <c r="C95" s="287"/>
      <c r="D95" s="189">
        <f>C95+G36+F36+E36+D36+C36</f>
        <v>0</v>
      </c>
      <c r="E95" s="317"/>
      <c r="F95" s="309">
        <f>SUM(D95:E95)</f>
        <v>0</v>
      </c>
      <c r="G95" s="1"/>
    </row>
    <row r="96" spans="1:7" ht="26.25" thickBot="1">
      <c r="A96" s="786" t="s">
        <v>1180</v>
      </c>
      <c r="B96" s="255" t="s">
        <v>509</v>
      </c>
      <c r="C96" s="289">
        <f>C93+C94+C95</f>
        <v>0</v>
      </c>
      <c r="D96" s="289">
        <f>D93+D94+D95</f>
        <v>0</v>
      </c>
      <c r="E96" s="289">
        <f>E93+E94+E95</f>
        <v>0</v>
      </c>
      <c r="F96" s="289">
        <f>F93+F94+F95</f>
        <v>0</v>
      </c>
      <c r="G96" s="1"/>
    </row>
    <row r="97" spans="1:7" ht="5.25" customHeight="1" thickBot="1">
      <c r="A97" s="786"/>
      <c r="B97" s="209"/>
      <c r="C97" s="285"/>
      <c r="D97" s="299"/>
      <c r="E97" s="311"/>
      <c r="F97" s="312"/>
      <c r="G97" s="1"/>
    </row>
    <row r="98" spans="1:7" ht="12.75">
      <c r="A98" s="786" t="s">
        <v>1181</v>
      </c>
      <c r="B98" s="211" t="s">
        <v>510</v>
      </c>
      <c r="C98" s="282"/>
      <c r="D98" s="189"/>
      <c r="E98" s="310"/>
      <c r="F98" s="309"/>
      <c r="G98" s="1"/>
    </row>
    <row r="99" spans="1:7" ht="12.75">
      <c r="A99" s="786" t="s">
        <v>1182</v>
      </c>
      <c r="B99" s="213" t="s">
        <v>511</v>
      </c>
      <c r="C99" s="282"/>
      <c r="D99" s="189">
        <f>C99+G40+F40+E40+D40+C40</f>
        <v>0</v>
      </c>
      <c r="E99" s="310"/>
      <c r="F99" s="309">
        <f>SUM(D99:E99)</f>
        <v>0</v>
      </c>
      <c r="G99" s="1"/>
    </row>
    <row r="100" spans="1:7" ht="12.75">
      <c r="A100" s="786" t="s">
        <v>1183</v>
      </c>
      <c r="B100" s="213" t="s">
        <v>52</v>
      </c>
      <c r="C100" s="282"/>
      <c r="D100" s="189">
        <f>C100+G41+F41+E41+D41+C41</f>
        <v>0</v>
      </c>
      <c r="E100" s="310"/>
      <c r="F100" s="309">
        <f>SUM(D100:E100)</f>
        <v>0</v>
      </c>
      <c r="G100" s="1"/>
    </row>
    <row r="101" spans="1:7" ht="12.75">
      <c r="A101" s="786" t="s">
        <v>1184</v>
      </c>
      <c r="B101" s="213" t="s">
        <v>1288</v>
      </c>
      <c r="C101" s="286"/>
      <c r="D101" s="189">
        <f>C101+G42+F42+E42+D42+C42</f>
        <v>0</v>
      </c>
      <c r="E101" s="292"/>
      <c r="F101" s="309">
        <f>SUM(D101:E101)</f>
        <v>0</v>
      </c>
      <c r="G101" s="1"/>
    </row>
    <row r="102" spans="1:7" ht="13.5" thickBot="1">
      <c r="A102" s="786" t="s">
        <v>1185</v>
      </c>
      <c r="B102" s="213" t="s">
        <v>513</v>
      </c>
      <c r="C102" s="287"/>
      <c r="D102" s="189">
        <f>C102+G43+F43+E43+D43+C43</f>
        <v>0</v>
      </c>
      <c r="E102" s="317"/>
      <c r="F102" s="309">
        <f>SUM(D102:E102)</f>
        <v>0</v>
      </c>
      <c r="G102" s="1"/>
    </row>
    <row r="103" spans="1:7" ht="13.5" thickBot="1">
      <c r="A103" s="786" t="s">
        <v>1186</v>
      </c>
      <c r="B103" s="250" t="s">
        <v>516</v>
      </c>
      <c r="C103" s="335">
        <f>C99+C100+C101+C102</f>
        <v>0</v>
      </c>
      <c r="D103" s="335">
        <f>D99+D100+D101+D102</f>
        <v>0</v>
      </c>
      <c r="E103" s="335">
        <f>E99+E100+E101+E102</f>
        <v>0</v>
      </c>
      <c r="F103" s="335">
        <f>F99+F100+F101+F102</f>
        <v>0</v>
      </c>
      <c r="G103" s="1"/>
    </row>
    <row r="104" spans="1:7" ht="4.5" customHeight="1" thickBot="1">
      <c r="A104" s="786"/>
      <c r="B104" s="256"/>
      <c r="C104" s="291"/>
      <c r="D104" s="41"/>
      <c r="E104" s="321"/>
      <c r="F104" s="322"/>
      <c r="G104" s="1"/>
    </row>
    <row r="105" spans="1:7" ht="26.25" thickBot="1">
      <c r="A105" s="786" t="s">
        <v>1187</v>
      </c>
      <c r="B105" s="257" t="s">
        <v>512</v>
      </c>
      <c r="C105" s="289">
        <f>C103+C96+C90+C79</f>
        <v>300866</v>
      </c>
      <c r="D105" s="289">
        <f>D103+D96+D90+D79</f>
        <v>1877897</v>
      </c>
      <c r="E105" s="289">
        <f>E103+E96+E90+E79</f>
        <v>2579</v>
      </c>
      <c r="F105" s="289">
        <f>F103+F96+F90+F79</f>
        <v>1880476</v>
      </c>
      <c r="G105" s="1"/>
    </row>
    <row r="106" spans="1:7" ht="6" customHeight="1">
      <c r="A106" s="786"/>
      <c r="B106" s="258"/>
      <c r="C106" s="288"/>
      <c r="D106" s="301"/>
      <c r="E106" s="319"/>
      <c r="F106" s="320"/>
      <c r="G106" s="1"/>
    </row>
    <row r="107" spans="1:7" ht="13.5" customHeight="1">
      <c r="A107" s="786" t="s">
        <v>1188</v>
      </c>
      <c r="B107" s="259" t="s">
        <v>519</v>
      </c>
      <c r="C107" s="282"/>
      <c r="D107" s="189"/>
      <c r="E107" s="310"/>
      <c r="F107" s="309"/>
      <c r="G107" s="1"/>
    </row>
    <row r="108" spans="1:7" s="26" customFormat="1" ht="12.75">
      <c r="A108" s="786" t="s">
        <v>1189</v>
      </c>
      <c r="B108" s="260" t="s">
        <v>514</v>
      </c>
      <c r="C108" s="286"/>
      <c r="D108" s="300">
        <f>C108+G49+F49+E49+C49</f>
        <v>0</v>
      </c>
      <c r="E108" s="292"/>
      <c r="F108" s="279">
        <f>SUM(D108:E108)</f>
        <v>0</v>
      </c>
      <c r="G108" s="1"/>
    </row>
    <row r="109" spans="1:7" ht="14.25" customHeight="1" thickBot="1">
      <c r="A109" s="786" t="s">
        <v>1190</v>
      </c>
      <c r="B109" s="261" t="s">
        <v>515</v>
      </c>
      <c r="C109" s="287"/>
      <c r="D109" s="300">
        <f>C109+G50+F50+E50+C50</f>
        <v>0</v>
      </c>
      <c r="E109" s="317"/>
      <c r="F109" s="279">
        <f>SUM(D109:E109)</f>
        <v>0</v>
      </c>
      <c r="G109" s="1"/>
    </row>
    <row r="110" spans="1:7" ht="13.5" thickBot="1">
      <c r="A110" s="786" t="s">
        <v>1191</v>
      </c>
      <c r="B110" s="262" t="s">
        <v>517</v>
      </c>
      <c r="C110" s="289">
        <f>C108+C109</f>
        <v>0</v>
      </c>
      <c r="D110" s="289">
        <f>D108+D109</f>
        <v>0</v>
      </c>
      <c r="E110" s="289">
        <f>E108+E109</f>
        <v>0</v>
      </c>
      <c r="F110" s="289">
        <f>F108+F109</f>
        <v>0</v>
      </c>
      <c r="G110" s="1"/>
    </row>
    <row r="111" spans="1:7" ht="5.25" customHeight="1">
      <c r="A111" s="786"/>
      <c r="B111" s="263"/>
      <c r="C111" s="285"/>
      <c r="D111" s="299"/>
      <c r="E111" s="311"/>
      <c r="F111" s="312"/>
      <c r="G111" s="1"/>
    </row>
    <row r="112" spans="1:7" s="26" customFormat="1" ht="27.75" customHeight="1">
      <c r="A112" s="786" t="s">
        <v>1192</v>
      </c>
      <c r="B112" s="328" t="s">
        <v>518</v>
      </c>
      <c r="C112" s="286"/>
      <c r="D112" s="300"/>
      <c r="E112" s="292"/>
      <c r="F112" s="279"/>
      <c r="G112" s="1"/>
    </row>
    <row r="113" spans="1:7" ht="12.75">
      <c r="A113" s="786" t="s">
        <v>1193</v>
      </c>
      <c r="B113" s="327" t="s">
        <v>520</v>
      </c>
      <c r="C113" s="308"/>
      <c r="D113" s="726">
        <f>C113+G54+F54+E54+D54+C54</f>
        <v>0</v>
      </c>
      <c r="E113" s="308"/>
      <c r="F113" s="727">
        <f>SUM(D113:E113)</f>
        <v>0</v>
      </c>
      <c r="G113" s="25"/>
    </row>
    <row r="114" spans="1:7" ht="13.5" thickBot="1">
      <c r="A114" s="786" t="s">
        <v>1194</v>
      </c>
      <c r="B114" s="266" t="s">
        <v>521</v>
      </c>
      <c r="C114" s="323"/>
      <c r="D114" s="726">
        <f>C114+G55+F55+E55+D55+C55</f>
        <v>0</v>
      </c>
      <c r="E114" s="323"/>
      <c r="F114" s="727">
        <f>SUM(D114:E114)</f>
        <v>0</v>
      </c>
      <c r="G114" s="25"/>
    </row>
    <row r="115" spans="1:7" ht="13.5" thickBot="1">
      <c r="A115" s="786" t="s">
        <v>1195</v>
      </c>
      <c r="B115" s="250" t="s">
        <v>522</v>
      </c>
      <c r="C115" s="342">
        <f>C113+C114</f>
        <v>0</v>
      </c>
      <c r="D115" s="342">
        <f>D113+D114</f>
        <v>0</v>
      </c>
      <c r="E115" s="342">
        <f>E113+E114</f>
        <v>0</v>
      </c>
      <c r="F115" s="342">
        <f>F113+F114</f>
        <v>0</v>
      </c>
      <c r="G115" s="25"/>
    </row>
    <row r="116" spans="1:7" ht="6.75" customHeight="1" thickBot="1">
      <c r="A116" s="786"/>
      <c r="B116" s="247"/>
      <c r="C116" s="324"/>
      <c r="D116" s="325"/>
      <c r="E116" s="324"/>
      <c r="F116" s="326"/>
      <c r="G116" s="25"/>
    </row>
    <row r="117" spans="1:7" ht="18.75" customHeight="1" thickBot="1">
      <c r="A117" s="823" t="s">
        <v>1196</v>
      </c>
      <c r="B117" s="267" t="s">
        <v>31</v>
      </c>
      <c r="C117" s="289">
        <f>C105+C110+C115</f>
        <v>300866</v>
      </c>
      <c r="D117" s="289">
        <f>D105+D110+D115</f>
        <v>1877897</v>
      </c>
      <c r="E117" s="289">
        <f>E105+E110+E115</f>
        <v>2579</v>
      </c>
      <c r="F117" s="289">
        <f>F105+F110+F115</f>
        <v>1880476</v>
      </c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</sheetData>
  <sheetProtection/>
  <mergeCells count="13">
    <mergeCell ref="B63:G63"/>
    <mergeCell ref="B64:G64"/>
    <mergeCell ref="B2:G2"/>
    <mergeCell ref="B3:G3"/>
    <mergeCell ref="C6:C7"/>
    <mergeCell ref="D6:D7"/>
    <mergeCell ref="E6:E7"/>
    <mergeCell ref="F6:F7"/>
    <mergeCell ref="G6:G7"/>
    <mergeCell ref="B62:G62"/>
    <mergeCell ref="A6:A7"/>
    <mergeCell ref="A1:E1"/>
    <mergeCell ref="A61:E61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2"/>
  <sheetViews>
    <sheetView zoomScalePageLayoutView="0" workbookViewId="0" topLeftCell="A428">
      <selection activeCell="I53" sqref="I53"/>
    </sheetView>
  </sheetViews>
  <sheetFormatPr defaultColWidth="9.140625" defaultRowHeight="12.75"/>
  <cols>
    <col min="1" max="1" width="4.7109375" style="0" customWidth="1"/>
    <col min="2" max="2" width="37.8515625" style="0" customWidth="1"/>
    <col min="3" max="3" width="10.7109375" style="0" customWidth="1"/>
    <col min="4" max="4" width="10.8515625" style="0" customWidth="1"/>
    <col min="5" max="5" width="11.00390625" style="0" customWidth="1"/>
    <col min="6" max="6" width="11.140625" style="0" customWidth="1"/>
    <col min="7" max="7" width="11.00390625" style="0" customWidth="1"/>
  </cols>
  <sheetData>
    <row r="1" spans="1:7" ht="12.75">
      <c r="A1" s="1547" t="s">
        <v>1295</v>
      </c>
      <c r="B1" s="1547"/>
      <c r="C1" s="1547"/>
      <c r="D1" s="1547"/>
      <c r="E1" s="1547"/>
      <c r="F1" s="331"/>
      <c r="G1" s="331"/>
    </row>
    <row r="2" spans="2:7" ht="12.75">
      <c r="B2" s="1561" t="s">
        <v>527</v>
      </c>
      <c r="C2" s="1561"/>
      <c r="D2" s="1561"/>
      <c r="E2" s="1561"/>
      <c r="F2" s="1561"/>
      <c r="G2" s="1561"/>
    </row>
    <row r="3" spans="2:7" ht="12.75">
      <c r="B3" s="1561" t="s">
        <v>48</v>
      </c>
      <c r="C3" s="1561"/>
      <c r="D3" s="1561"/>
      <c r="E3" s="1561"/>
      <c r="F3" s="1561"/>
      <c r="G3" s="1561"/>
    </row>
    <row r="4" spans="2:7" ht="13.5" thickBot="1">
      <c r="B4" s="1"/>
      <c r="C4" s="1"/>
      <c r="D4" s="1"/>
      <c r="E4" s="1"/>
      <c r="F4" s="31" t="s">
        <v>33</v>
      </c>
      <c r="G4" s="1"/>
    </row>
    <row r="5" spans="1:7" ht="40.5" customHeight="1" thickBot="1">
      <c r="A5" s="830" t="s">
        <v>1148</v>
      </c>
      <c r="B5" s="248" t="s">
        <v>49</v>
      </c>
      <c r="C5" s="836" t="s">
        <v>50</v>
      </c>
      <c r="D5" s="314" t="s">
        <v>51</v>
      </c>
      <c r="E5" s="837" t="s">
        <v>1208</v>
      </c>
      <c r="F5" s="314" t="s">
        <v>1207</v>
      </c>
      <c r="G5" s="838" t="s">
        <v>1131</v>
      </c>
    </row>
    <row r="6" spans="1:7" ht="12" customHeight="1">
      <c r="A6" s="825" t="s">
        <v>1149</v>
      </c>
      <c r="B6" s="869" t="s">
        <v>1150</v>
      </c>
      <c r="C6" s="870" t="s">
        <v>1151</v>
      </c>
      <c r="D6" s="871" t="s">
        <v>1152</v>
      </c>
      <c r="E6" s="872" t="s">
        <v>1172</v>
      </c>
      <c r="F6" s="834" t="s">
        <v>1197</v>
      </c>
      <c r="G6" s="873" t="s">
        <v>1198</v>
      </c>
    </row>
    <row r="7" spans="1:7" ht="12.75">
      <c r="A7" s="789" t="s">
        <v>1153</v>
      </c>
      <c r="B7" s="256" t="s">
        <v>503</v>
      </c>
      <c r="C7" s="405"/>
      <c r="D7" s="405"/>
      <c r="E7" s="406"/>
      <c r="F7" s="405"/>
      <c r="G7" s="866"/>
    </row>
    <row r="8" spans="1:7" ht="12.75">
      <c r="A8" s="786" t="s">
        <v>1154</v>
      </c>
      <c r="B8" s="245" t="s">
        <v>24</v>
      </c>
      <c r="C8" s="282">
        <f>41067-11439</f>
        <v>29628</v>
      </c>
      <c r="D8" s="282">
        <f>139814+3705-342-254-1404+397-2090+1994+286-1834+1414+470+1917</f>
        <v>144073</v>
      </c>
      <c r="E8" s="189">
        <f>13669-3532</f>
        <v>10137</v>
      </c>
      <c r="F8" s="282">
        <f>2162+654</f>
        <v>2816</v>
      </c>
      <c r="G8" s="272"/>
    </row>
    <row r="9" spans="1:7" ht="12.75">
      <c r="A9" s="786" t="s">
        <v>1155</v>
      </c>
      <c r="B9" s="213" t="s">
        <v>25</v>
      </c>
      <c r="C9" s="282">
        <f>10746-3513</f>
        <v>7233</v>
      </c>
      <c r="D9" s="282">
        <f>36417+487-44-34-351+107-282+538+77-495+118-37</f>
        <v>36501</v>
      </c>
      <c r="E9" s="189">
        <f>3614-1176</f>
        <v>2438</v>
      </c>
      <c r="F9" s="282">
        <f>550+160</f>
        <v>710</v>
      </c>
      <c r="G9" s="272"/>
    </row>
    <row r="10" spans="1:7" ht="12.75">
      <c r="A10" s="786" t="s">
        <v>1156</v>
      </c>
      <c r="B10" s="213" t="s">
        <v>26</v>
      </c>
      <c r="C10" s="282">
        <f>3774+150+791</f>
        <v>4715</v>
      </c>
      <c r="D10" s="282">
        <f>149442-1-75000-2000-1105-13+8735+2017+75000-2017+6191+3821+228851+9714+2214+645+11430+221+111018+9+40464+41+18+61471+7+96292+7+26375+2+2+46+5436+4808+1+118+100+21218+7889</f>
        <v>793467</v>
      </c>
      <c r="E10" s="189">
        <f>1035-77</f>
        <v>958</v>
      </c>
      <c r="F10" s="282">
        <f>1819-1526</f>
        <v>293</v>
      </c>
      <c r="G10" s="272">
        <f>88118-88118</f>
        <v>0</v>
      </c>
    </row>
    <row r="11" spans="1:7" ht="12.75">
      <c r="A11" s="786" t="s">
        <v>1157</v>
      </c>
      <c r="B11" s="213" t="s">
        <v>27</v>
      </c>
      <c r="C11" s="282">
        <v>-150</v>
      </c>
      <c r="D11" s="282">
        <f>-75000-5793-70</f>
        <v>-80863</v>
      </c>
      <c r="E11" s="189"/>
      <c r="F11" s="282"/>
      <c r="G11" s="272">
        <v>0</v>
      </c>
    </row>
    <row r="12" spans="1:7" ht="12.75">
      <c r="A12" s="786" t="s">
        <v>1158</v>
      </c>
      <c r="B12" s="213" t="s">
        <v>498</v>
      </c>
      <c r="C12" s="282">
        <f>C13+C14+C15+C16</f>
        <v>0</v>
      </c>
      <c r="D12" s="282">
        <f>D13+D14+D15+D16</f>
        <v>0</v>
      </c>
      <c r="E12" s="282">
        <f>E13+E14+E15+E16</f>
        <v>0</v>
      </c>
      <c r="F12" s="282">
        <f>F13+F14+F15+F16</f>
        <v>0</v>
      </c>
      <c r="G12" s="282">
        <f>G13+G14+G15+G16</f>
        <v>0</v>
      </c>
    </row>
    <row r="13" spans="1:7" ht="12.75">
      <c r="A13" s="786" t="s">
        <v>1159</v>
      </c>
      <c r="B13" s="213" t="s">
        <v>492</v>
      </c>
      <c r="C13" s="282"/>
      <c r="D13" s="282"/>
      <c r="E13" s="189"/>
      <c r="F13" s="282"/>
      <c r="G13" s="272"/>
    </row>
    <row r="14" spans="1:7" ht="12.75">
      <c r="A14" s="786" t="s">
        <v>1160</v>
      </c>
      <c r="B14" s="246" t="s">
        <v>493</v>
      </c>
      <c r="C14" s="282"/>
      <c r="D14" s="282"/>
      <c r="E14" s="189"/>
      <c r="F14" s="282"/>
      <c r="G14" s="272"/>
    </row>
    <row r="15" spans="1:7" s="26" customFormat="1" ht="12.75">
      <c r="A15" s="786" t="s">
        <v>1161</v>
      </c>
      <c r="B15" s="213" t="s">
        <v>494</v>
      </c>
      <c r="C15" s="286"/>
      <c r="D15" s="286"/>
      <c r="E15" s="300"/>
      <c r="F15" s="286"/>
      <c r="G15" s="275"/>
    </row>
    <row r="16" spans="1:7" ht="12" customHeight="1">
      <c r="A16" s="786" t="s">
        <v>1162</v>
      </c>
      <c r="B16" s="213" t="s">
        <v>495</v>
      </c>
      <c r="C16" s="282"/>
      <c r="D16" s="282"/>
      <c r="E16" s="189"/>
      <c r="F16" s="282"/>
      <c r="G16" s="272"/>
    </row>
    <row r="17" spans="1:7" ht="13.5" thickBot="1">
      <c r="A17" s="786" t="s">
        <v>1163</v>
      </c>
      <c r="B17" s="247" t="s">
        <v>496</v>
      </c>
      <c r="C17" s="287"/>
      <c r="D17" s="287"/>
      <c r="E17" s="193"/>
      <c r="F17" s="287"/>
      <c r="G17" s="276"/>
    </row>
    <row r="18" spans="1:7" ht="13.5" thickBot="1">
      <c r="A18" s="786" t="s">
        <v>1164</v>
      </c>
      <c r="B18" s="248" t="s">
        <v>28</v>
      </c>
      <c r="C18" s="289">
        <f>C8+C9+C10+C11+C12+C17</f>
        <v>41426</v>
      </c>
      <c r="D18" s="289">
        <f>D8+D9+D10+D11+D12+D17</f>
        <v>893178</v>
      </c>
      <c r="E18" s="289">
        <f>E8+E9+E10+E11+E12+E17</f>
        <v>13533</v>
      </c>
      <c r="F18" s="289">
        <f>F8+F9+F10+F11+F12+F17</f>
        <v>3819</v>
      </c>
      <c r="G18" s="289">
        <f>G8+G9+G10+G11+G12+G17</f>
        <v>0</v>
      </c>
    </row>
    <row r="19" spans="1:7" ht="6.75" customHeight="1">
      <c r="A19" s="786"/>
      <c r="B19" s="249"/>
      <c r="C19" s="285"/>
      <c r="D19" s="285"/>
      <c r="E19" s="299"/>
      <c r="F19" s="285"/>
      <c r="G19" s="274"/>
    </row>
    <row r="20" spans="1:7" ht="12.75">
      <c r="A20" s="786" t="s">
        <v>1165</v>
      </c>
      <c r="B20" s="249" t="s">
        <v>504</v>
      </c>
      <c r="C20" s="282"/>
      <c r="D20" s="282"/>
      <c r="E20" s="189"/>
      <c r="F20" s="282"/>
      <c r="G20" s="272"/>
    </row>
    <row r="21" spans="1:7" s="26" customFormat="1" ht="12.75">
      <c r="A21" s="786" t="s">
        <v>1166</v>
      </c>
      <c r="B21" s="213" t="s">
        <v>29</v>
      </c>
      <c r="C21" s="286"/>
      <c r="D21" s="286"/>
      <c r="E21" s="300"/>
      <c r="F21" s="286"/>
      <c r="G21" s="275"/>
    </row>
    <row r="22" spans="1:7" ht="12.75">
      <c r="A22" s="786" t="s">
        <v>1167</v>
      </c>
      <c r="B22" s="213" t="s">
        <v>38</v>
      </c>
      <c r="C22" s="282"/>
      <c r="D22" s="282"/>
      <c r="E22" s="189"/>
      <c r="F22" s="282"/>
      <c r="G22" s="272"/>
    </row>
    <row r="23" spans="1:7" ht="12.75">
      <c r="A23" s="786" t="s">
        <v>1168</v>
      </c>
      <c r="B23" s="213" t="s">
        <v>497</v>
      </c>
      <c r="C23" s="282">
        <f>C24+C25+C26</f>
        <v>0</v>
      </c>
      <c r="D23" s="282">
        <f>D24+D25+D26</f>
        <v>0</v>
      </c>
      <c r="E23" s="282">
        <f>E24+E25+E26</f>
        <v>0</v>
      </c>
      <c r="F23" s="282">
        <f>F24+F25+F26</f>
        <v>0</v>
      </c>
      <c r="G23" s="282">
        <f>G24+G25+G26</f>
        <v>0</v>
      </c>
    </row>
    <row r="24" spans="1:7" ht="12.75">
      <c r="A24" s="786" t="s">
        <v>1169</v>
      </c>
      <c r="B24" s="213" t="s">
        <v>499</v>
      </c>
      <c r="C24" s="282"/>
      <c r="D24" s="282"/>
      <c r="E24" s="189"/>
      <c r="F24" s="282"/>
      <c r="G24" s="272"/>
    </row>
    <row r="25" spans="1:7" ht="12.75">
      <c r="A25" s="786" t="s">
        <v>1170</v>
      </c>
      <c r="B25" s="213" t="s">
        <v>562</v>
      </c>
      <c r="C25" s="282"/>
      <c r="D25" s="282"/>
      <c r="E25" s="189"/>
      <c r="F25" s="282"/>
      <c r="G25" s="272"/>
    </row>
    <row r="26" spans="1:7" ht="12.75">
      <c r="A26" s="786" t="s">
        <v>1171</v>
      </c>
      <c r="B26" s="213" t="s">
        <v>500</v>
      </c>
      <c r="C26" s="286"/>
      <c r="D26" s="286"/>
      <c r="E26" s="300"/>
      <c r="F26" s="286"/>
      <c r="G26" s="275"/>
    </row>
    <row r="27" spans="1:7" ht="12.75">
      <c r="A27" s="786" t="s">
        <v>1173</v>
      </c>
      <c r="B27" s="213" t="s">
        <v>501</v>
      </c>
      <c r="C27" s="282"/>
      <c r="D27" s="282">
        <f>'11 12 sz_melléklet'!C14</f>
        <v>1250</v>
      </c>
      <c r="E27" s="189"/>
      <c r="F27" s="282"/>
      <c r="G27" s="272"/>
    </row>
    <row r="28" spans="1:7" ht="13.5" thickBot="1">
      <c r="A28" s="786" t="s">
        <v>1174</v>
      </c>
      <c r="B28" s="247" t="s">
        <v>502</v>
      </c>
      <c r="C28" s="287">
        <f>-C11</f>
        <v>150</v>
      </c>
      <c r="D28" s="287">
        <f>-D11</f>
        <v>80863</v>
      </c>
      <c r="E28" s="287">
        <f>-E11</f>
        <v>0</v>
      </c>
      <c r="F28" s="287">
        <f>-F11</f>
        <v>0</v>
      </c>
      <c r="G28" s="287">
        <f>-G11</f>
        <v>0</v>
      </c>
    </row>
    <row r="29" spans="1:7" ht="13.5" thickBot="1">
      <c r="A29" s="786" t="s">
        <v>1175</v>
      </c>
      <c r="B29" s="248" t="s">
        <v>30</v>
      </c>
      <c r="C29" s="289">
        <f>C21+C22+C23+C27+C28</f>
        <v>150</v>
      </c>
      <c r="D29" s="289">
        <f>D21+D22+D23+D27+D28</f>
        <v>82113</v>
      </c>
      <c r="E29" s="289">
        <f>E21+E22+E23+E27+E28</f>
        <v>0</v>
      </c>
      <c r="F29" s="289">
        <f>F21+F22+F23+F27+F28</f>
        <v>0</v>
      </c>
      <c r="G29" s="289">
        <f>G21+G22+G23+G27+G28</f>
        <v>0</v>
      </c>
    </row>
    <row r="30" spans="1:7" ht="7.5" customHeight="1">
      <c r="A30" s="786"/>
      <c r="B30" s="268"/>
      <c r="C30" s="285"/>
      <c r="D30" s="285"/>
      <c r="E30" s="299"/>
      <c r="F30" s="285"/>
      <c r="G30" s="274"/>
    </row>
    <row r="31" spans="1:7" ht="25.5">
      <c r="A31" s="786" t="s">
        <v>1176</v>
      </c>
      <c r="B31" s="252" t="s">
        <v>505</v>
      </c>
      <c r="C31" s="286"/>
      <c r="D31" s="286"/>
      <c r="E31" s="300"/>
      <c r="F31" s="286"/>
      <c r="G31" s="275"/>
    </row>
    <row r="32" spans="1:7" ht="15" customHeight="1">
      <c r="A32" s="786" t="s">
        <v>1177</v>
      </c>
      <c r="B32" s="253" t="s">
        <v>506</v>
      </c>
      <c r="C32" s="282"/>
      <c r="D32" s="282"/>
      <c r="E32" s="189"/>
      <c r="F32" s="282"/>
      <c r="G32" s="272"/>
    </row>
    <row r="33" spans="1:7" ht="12.75">
      <c r="A33" s="786" t="s">
        <v>1178</v>
      </c>
      <c r="B33" s="254" t="s">
        <v>507</v>
      </c>
      <c r="C33" s="282"/>
      <c r="D33" s="282"/>
      <c r="E33" s="189"/>
      <c r="F33" s="282"/>
      <c r="G33" s="272"/>
    </row>
    <row r="34" spans="1:7" ht="13.5" thickBot="1">
      <c r="A34" s="786" t="s">
        <v>1179</v>
      </c>
      <c r="B34" s="253" t="s">
        <v>508</v>
      </c>
      <c r="C34" s="287"/>
      <c r="D34" s="287"/>
      <c r="E34" s="193"/>
      <c r="F34" s="287"/>
      <c r="G34" s="276"/>
    </row>
    <row r="35" spans="1:7" ht="25.5" customHeight="1" thickBot="1">
      <c r="A35" s="786" t="s">
        <v>1180</v>
      </c>
      <c r="B35" s="269" t="s">
        <v>509</v>
      </c>
      <c r="C35" s="289">
        <f>C32+C33+C34</f>
        <v>0</v>
      </c>
      <c r="D35" s="289">
        <f>D32+D33+D34</f>
        <v>0</v>
      </c>
      <c r="E35" s="289">
        <f>E32+E33+E34</f>
        <v>0</v>
      </c>
      <c r="F35" s="289">
        <f>F32+F33+F34</f>
        <v>0</v>
      </c>
      <c r="G35" s="289">
        <f>G32+G33+G34</f>
        <v>0</v>
      </c>
    </row>
    <row r="36" spans="1:7" ht="5.25" customHeight="1" thickBot="1">
      <c r="A36" s="786"/>
      <c r="B36" s="256"/>
      <c r="C36" s="285"/>
      <c r="D36" s="285"/>
      <c r="E36" s="299"/>
      <c r="F36" s="285"/>
      <c r="G36" s="274"/>
    </row>
    <row r="37" spans="1:7" ht="12.75">
      <c r="A37" s="786" t="s">
        <v>1181</v>
      </c>
      <c r="B37" s="211" t="s">
        <v>510</v>
      </c>
      <c r="C37" s="282"/>
      <c r="D37" s="282"/>
      <c r="E37" s="189"/>
      <c r="F37" s="282"/>
      <c r="G37" s="272"/>
    </row>
    <row r="38" spans="1:7" ht="12.75">
      <c r="A38" s="786" t="s">
        <v>1182</v>
      </c>
      <c r="B38" s="213" t="s">
        <v>511</v>
      </c>
      <c r="C38" s="282"/>
      <c r="D38" s="282"/>
      <c r="E38" s="189"/>
      <c r="F38" s="282"/>
      <c r="G38" s="272"/>
    </row>
    <row r="39" spans="1:7" ht="12.75">
      <c r="A39" s="786" t="s">
        <v>1183</v>
      </c>
      <c r="B39" s="213" t="s">
        <v>52</v>
      </c>
      <c r="C39" s="286"/>
      <c r="D39" s="286"/>
      <c r="E39" s="300"/>
      <c r="F39" s="286"/>
      <c r="G39" s="275"/>
    </row>
    <row r="40" spans="1:7" ht="12.75">
      <c r="A40" s="786" t="s">
        <v>1184</v>
      </c>
      <c r="B40" s="213" t="s">
        <v>1288</v>
      </c>
      <c r="C40" s="282"/>
      <c r="D40" s="282"/>
      <c r="E40" s="189"/>
      <c r="F40" s="282"/>
      <c r="G40" s="272"/>
    </row>
    <row r="41" spans="1:7" ht="13.5" thickBot="1">
      <c r="A41" s="786" t="s">
        <v>1185</v>
      </c>
      <c r="B41" s="247" t="s">
        <v>513</v>
      </c>
      <c r="C41" s="304"/>
      <c r="D41" s="304"/>
      <c r="E41" s="333"/>
      <c r="F41" s="317"/>
      <c r="G41" s="318"/>
    </row>
    <row r="42" spans="1:7" s="26" customFormat="1" ht="13.5" thickBot="1">
      <c r="A42" s="786" t="s">
        <v>1186</v>
      </c>
      <c r="B42" s="248" t="s">
        <v>516</v>
      </c>
      <c r="C42" s="335">
        <f>C38+C39+C40+C41</f>
        <v>0</v>
      </c>
      <c r="D42" s="335">
        <f>D38+D39+D40+D41</f>
        <v>0</v>
      </c>
      <c r="E42" s="335">
        <f>E38+E39+E40+E41</f>
        <v>0</v>
      </c>
      <c r="F42" s="335">
        <f>F38+F39+F40+F41</f>
        <v>0</v>
      </c>
      <c r="G42" s="335">
        <f>G38+G39+G40+G41</f>
        <v>0</v>
      </c>
    </row>
    <row r="43" spans="1:7" ht="7.5" customHeight="1" thickBot="1">
      <c r="A43" s="786"/>
      <c r="B43" s="256"/>
      <c r="C43" s="336"/>
      <c r="D43" s="336"/>
      <c r="E43" s="41"/>
      <c r="F43" s="291"/>
      <c r="G43" s="278"/>
    </row>
    <row r="44" spans="1:7" ht="26.25" thickBot="1">
      <c r="A44" s="786" t="s">
        <v>1187</v>
      </c>
      <c r="B44" s="271" t="s">
        <v>512</v>
      </c>
      <c r="C44" s="335">
        <f>C42+C35+C29+C18</f>
        <v>41576</v>
      </c>
      <c r="D44" s="335">
        <f>D42+D35+D29+D18</f>
        <v>975291</v>
      </c>
      <c r="E44" s="335">
        <f>E42+E35+E29+E18</f>
        <v>13533</v>
      </c>
      <c r="F44" s="335">
        <f>F42+F35+F29+F18</f>
        <v>3819</v>
      </c>
      <c r="G44" s="335">
        <f>G42+G35+G29+G18</f>
        <v>0</v>
      </c>
    </row>
    <row r="45" spans="1:7" ht="6" customHeight="1">
      <c r="A45" s="786"/>
      <c r="B45" s="258"/>
      <c r="C45" s="334"/>
      <c r="D45" s="334"/>
      <c r="E45" s="299"/>
      <c r="F45" s="285"/>
      <c r="G45" s="274"/>
    </row>
    <row r="46" spans="1:7" ht="12.75">
      <c r="A46" s="786" t="s">
        <v>1188</v>
      </c>
      <c r="B46" s="259" t="s">
        <v>519</v>
      </c>
      <c r="C46" s="307"/>
      <c r="D46" s="307"/>
      <c r="E46" s="189"/>
      <c r="F46" s="282"/>
      <c r="G46" s="272"/>
    </row>
    <row r="47" spans="1:7" ht="12.75">
      <c r="A47" s="786" t="s">
        <v>1189</v>
      </c>
      <c r="B47" s="260" t="s">
        <v>514</v>
      </c>
      <c r="C47" s="307"/>
      <c r="D47" s="307"/>
      <c r="E47" s="189"/>
      <c r="F47" s="282"/>
      <c r="G47" s="272"/>
    </row>
    <row r="48" spans="1:7" ht="13.5" thickBot="1">
      <c r="A48" s="786" t="s">
        <v>1190</v>
      </c>
      <c r="B48" s="261" t="s">
        <v>515</v>
      </c>
      <c r="C48" s="304"/>
      <c r="D48" s="304"/>
      <c r="E48" s="304"/>
      <c r="F48" s="304"/>
      <c r="G48" s="304">
        <f>'52 53 sz melléklet'!D12</f>
        <v>100572</v>
      </c>
    </row>
    <row r="49" spans="1:7" ht="13.5" thickBot="1">
      <c r="A49" s="786" t="s">
        <v>1191</v>
      </c>
      <c r="B49" s="262" t="s">
        <v>517</v>
      </c>
      <c r="C49" s="335">
        <f>C47+C48</f>
        <v>0</v>
      </c>
      <c r="D49" s="335">
        <f>D47+D48</f>
        <v>0</v>
      </c>
      <c r="E49" s="335">
        <f>E47+E48</f>
        <v>0</v>
      </c>
      <c r="F49" s="335">
        <f>F47+F48</f>
        <v>0</v>
      </c>
      <c r="G49" s="335">
        <f>G47+G48</f>
        <v>100572</v>
      </c>
    </row>
    <row r="50" spans="1:7" ht="6" customHeight="1">
      <c r="A50" s="786"/>
      <c r="B50" s="263"/>
      <c r="C50" s="334"/>
      <c r="D50" s="334"/>
      <c r="E50" s="299"/>
      <c r="F50" s="285"/>
      <c r="G50" s="274"/>
    </row>
    <row r="51" spans="1:7" ht="22.5" thickBot="1">
      <c r="A51" s="786" t="s">
        <v>1192</v>
      </c>
      <c r="B51" s="264" t="s">
        <v>518</v>
      </c>
      <c r="C51" s="307"/>
      <c r="D51" s="307"/>
      <c r="E51" s="189"/>
      <c r="F51" s="282"/>
      <c r="G51" s="272"/>
    </row>
    <row r="52" spans="1:7" ht="12.75">
      <c r="A52" s="786" t="s">
        <v>1193</v>
      </c>
      <c r="B52" s="265" t="s">
        <v>520</v>
      </c>
      <c r="C52" s="307"/>
      <c r="D52" s="307"/>
      <c r="E52" s="189"/>
      <c r="F52" s="282"/>
      <c r="G52" s="272"/>
    </row>
    <row r="53" spans="1:7" ht="13.5" thickBot="1">
      <c r="A53" s="786" t="s">
        <v>1194</v>
      </c>
      <c r="B53" s="266" t="s">
        <v>521</v>
      </c>
      <c r="C53" s="304"/>
      <c r="D53" s="304"/>
      <c r="E53" s="193"/>
      <c r="F53" s="287"/>
      <c r="G53" s="276">
        <f>'42_sz_ melléklet'!L12</f>
        <v>14520</v>
      </c>
    </row>
    <row r="54" spans="1:7" ht="13.5" thickBot="1">
      <c r="A54" s="786" t="s">
        <v>1195</v>
      </c>
      <c r="B54" s="248" t="s">
        <v>522</v>
      </c>
      <c r="C54" s="335">
        <f>C52+C53</f>
        <v>0</v>
      </c>
      <c r="D54" s="335">
        <f>D52+D53</f>
        <v>0</v>
      </c>
      <c r="E54" s="335">
        <f>E52+E53</f>
        <v>0</v>
      </c>
      <c r="F54" s="335">
        <f>F52+F53</f>
        <v>0</v>
      </c>
      <c r="G54" s="335">
        <f>G52+G53</f>
        <v>14520</v>
      </c>
    </row>
    <row r="55" spans="1:7" s="26" customFormat="1" ht="7.5" customHeight="1" thickBot="1">
      <c r="A55" s="786"/>
      <c r="B55" s="247"/>
      <c r="C55" s="337"/>
      <c r="D55" s="337"/>
      <c r="E55" s="330"/>
      <c r="F55" s="337"/>
      <c r="G55" s="338"/>
    </row>
    <row r="56" spans="1:7" ht="21" customHeight="1" thickBot="1">
      <c r="A56" s="823" t="s">
        <v>1196</v>
      </c>
      <c r="B56" s="262" t="s">
        <v>31</v>
      </c>
      <c r="C56" s="289">
        <f>C44+C49+C54</f>
        <v>41576</v>
      </c>
      <c r="D56" s="289">
        <f>D44+D49+D54</f>
        <v>975291</v>
      </c>
      <c r="E56" s="289">
        <f>E44+E49+E54</f>
        <v>13533</v>
      </c>
      <c r="F56" s="289">
        <f>F44+F49+F54</f>
        <v>3819</v>
      </c>
      <c r="G56" s="289">
        <f>G44+G49+G54</f>
        <v>115092</v>
      </c>
    </row>
    <row r="57" spans="2:7" ht="12.75">
      <c r="B57" s="306"/>
      <c r="C57" s="41"/>
      <c r="D57" s="41"/>
      <c r="E57" s="41"/>
      <c r="F57" s="41"/>
      <c r="G57" s="57"/>
    </row>
    <row r="58" spans="1:7" ht="12.75">
      <c r="A58" s="1547" t="s">
        <v>1295</v>
      </c>
      <c r="B58" s="1547"/>
      <c r="C58" s="1547"/>
      <c r="D58" s="1547"/>
      <c r="E58" s="1547"/>
      <c r="F58" s="41"/>
      <c r="G58" s="57"/>
    </row>
    <row r="59" spans="2:7" ht="12.75">
      <c r="B59" s="1565">
        <v>2</v>
      </c>
      <c r="C59" s="1565"/>
      <c r="D59" s="1565"/>
      <c r="E59" s="1565"/>
      <c r="F59" s="1565"/>
      <c r="G59" s="1565"/>
    </row>
    <row r="60" spans="2:7" ht="12.75">
      <c r="B60" s="1561" t="s">
        <v>527</v>
      </c>
      <c r="C60" s="1561"/>
      <c r="D60" s="1561"/>
      <c r="E60" s="1561"/>
      <c r="F60" s="1561"/>
      <c r="G60" s="1561"/>
    </row>
    <row r="61" spans="2:7" ht="12.75">
      <c r="B61" s="1561" t="s">
        <v>48</v>
      </c>
      <c r="C61" s="1561"/>
      <c r="D61" s="1561"/>
      <c r="E61" s="1561"/>
      <c r="F61" s="1561"/>
      <c r="G61" s="1561"/>
    </row>
    <row r="62" spans="2:7" ht="13.5" thickBot="1">
      <c r="B62" s="1"/>
      <c r="C62" s="1"/>
      <c r="D62" s="1"/>
      <c r="E62" s="1"/>
      <c r="F62" s="31" t="s">
        <v>33</v>
      </c>
      <c r="G62" s="1"/>
    </row>
    <row r="63" spans="1:7" ht="39" customHeight="1" thickBot="1">
      <c r="A63" s="830" t="s">
        <v>1148</v>
      </c>
      <c r="B63" s="182" t="s">
        <v>49</v>
      </c>
      <c r="C63" s="868" t="s">
        <v>53</v>
      </c>
      <c r="D63" s="840" t="s">
        <v>1209</v>
      </c>
      <c r="E63" s="779" t="s">
        <v>54</v>
      </c>
      <c r="F63" s="779" t="s">
        <v>55</v>
      </c>
      <c r="G63" s="780" t="s">
        <v>56</v>
      </c>
    </row>
    <row r="64" spans="1:7" ht="12" customHeight="1">
      <c r="A64" s="867" t="s">
        <v>1149</v>
      </c>
      <c r="B64" s="800" t="s">
        <v>1150</v>
      </c>
      <c r="C64" s="797" t="s">
        <v>1151</v>
      </c>
      <c r="D64" s="798" t="s">
        <v>1152</v>
      </c>
      <c r="E64" s="799" t="s">
        <v>1172</v>
      </c>
      <c r="F64" s="832" t="s">
        <v>1197</v>
      </c>
      <c r="G64" s="833" t="s">
        <v>1198</v>
      </c>
    </row>
    <row r="65" spans="1:7" ht="12.75">
      <c r="A65" s="789" t="s">
        <v>1153</v>
      </c>
      <c r="B65" s="256" t="s">
        <v>503</v>
      </c>
      <c r="C65" s="405"/>
      <c r="D65" s="405"/>
      <c r="E65" s="406"/>
      <c r="F65" s="405"/>
      <c r="G65" s="866"/>
    </row>
    <row r="66" spans="1:7" ht="12.75">
      <c r="A66" s="786" t="s">
        <v>1154</v>
      </c>
      <c r="B66" s="245" t="s">
        <v>24</v>
      </c>
      <c r="C66" s="282">
        <f>53069-2813</f>
        <v>50256</v>
      </c>
      <c r="D66" s="282"/>
      <c r="E66" s="189"/>
      <c r="F66" s="282"/>
      <c r="G66" s="272"/>
    </row>
    <row r="67" spans="1:7" ht="12.75">
      <c r="A67" s="786" t="s">
        <v>1155</v>
      </c>
      <c r="B67" s="213" t="s">
        <v>25</v>
      </c>
      <c r="C67" s="282">
        <f>14163-827</f>
        <v>13336</v>
      </c>
      <c r="D67" s="282"/>
      <c r="E67" s="189"/>
      <c r="F67" s="282"/>
      <c r="G67" s="272"/>
    </row>
    <row r="68" spans="1:7" ht="12.75">
      <c r="A68" s="786" t="s">
        <v>1156</v>
      </c>
      <c r="B68" s="213" t="s">
        <v>26</v>
      </c>
      <c r="C68" s="282">
        <f>1254-63</f>
        <v>1191</v>
      </c>
      <c r="D68" s="282"/>
      <c r="E68" s="189"/>
      <c r="F68" s="282"/>
      <c r="G68" s="272">
        <f>72134+477+2827+671+535+2940+2348-34930+17+21</f>
        <v>47040</v>
      </c>
    </row>
    <row r="69" spans="1:7" ht="12.75">
      <c r="A69" s="786" t="s">
        <v>1157</v>
      </c>
      <c r="B69" s="213" t="s">
        <v>27</v>
      </c>
      <c r="C69" s="282"/>
      <c r="D69" s="282"/>
      <c r="E69" s="189"/>
      <c r="F69" s="282"/>
      <c r="G69" s="272">
        <v>-2827</v>
      </c>
    </row>
    <row r="70" spans="1:7" ht="12.75">
      <c r="A70" s="786" t="s">
        <v>1158</v>
      </c>
      <c r="B70" s="213" t="s">
        <v>498</v>
      </c>
      <c r="C70" s="282">
        <f>C71+C72+C73+C74</f>
        <v>0</v>
      </c>
      <c r="D70" s="282">
        <f>D71+D72+D73+D74</f>
        <v>126934</v>
      </c>
      <c r="E70" s="282">
        <f>E71+E72+E73+E74</f>
        <v>0</v>
      </c>
      <c r="F70" s="282">
        <f>F71+F72+F73+F74</f>
        <v>10500</v>
      </c>
      <c r="G70" s="282">
        <f>G71+G72+G73+G74</f>
        <v>36627</v>
      </c>
    </row>
    <row r="71" spans="1:7" ht="12.75">
      <c r="A71" s="786" t="s">
        <v>1159</v>
      </c>
      <c r="B71" s="213" t="s">
        <v>492</v>
      </c>
      <c r="C71" s="282"/>
      <c r="D71" s="282"/>
      <c r="E71" s="189"/>
      <c r="F71" s="282"/>
      <c r="G71" s="272">
        <f>'6 7_sz_melléklet'!D8+'6 7_sz_melléklet'!D10</f>
        <v>36627</v>
      </c>
    </row>
    <row r="72" spans="1:7" ht="12.75">
      <c r="A72" s="786" t="s">
        <v>1160</v>
      </c>
      <c r="B72" s="246" t="s">
        <v>493</v>
      </c>
      <c r="C72" s="282"/>
      <c r="D72" s="282">
        <f>'6 7_sz_melléklet'!D25+'6 7_sz_melléklet'!D26+'6 7_sz_melléklet'!D30+'6 7_sz_melléklet'!D27+'6 7_sz_melléklet'!D28+'6 7_sz_melléklet'!D29+'6 7_sz_melléklet'!D36+'6 7_sz_melléklet'!D37+'6 7_sz_melléklet'!D38+'6 7_sz_melléklet'!D43+'6 7_sz_melléklet'!D42+'6 7_sz_melléklet'!D45-1880</f>
        <v>126934</v>
      </c>
      <c r="E72" s="189"/>
      <c r="F72" s="282">
        <f>'6 7_sz_melléklet'!D31+'6 7_sz_melléklet'!D32</f>
        <v>10500</v>
      </c>
      <c r="G72" s="272"/>
    </row>
    <row r="73" spans="1:7" s="26" customFormat="1" ht="12.75">
      <c r="A73" s="786" t="s">
        <v>1161</v>
      </c>
      <c r="B73" s="213" t="s">
        <v>494</v>
      </c>
      <c r="C73" s="286"/>
      <c r="D73" s="286"/>
      <c r="E73" s="300"/>
      <c r="F73" s="286"/>
      <c r="G73" s="275"/>
    </row>
    <row r="74" spans="1:7" ht="12.75">
      <c r="A74" s="786" t="s">
        <v>1162</v>
      </c>
      <c r="B74" s="213" t="s">
        <v>495</v>
      </c>
      <c r="C74" s="282"/>
      <c r="D74" s="282"/>
      <c r="E74" s="189"/>
      <c r="F74" s="282"/>
      <c r="G74" s="272"/>
    </row>
    <row r="75" spans="1:7" ht="13.5" thickBot="1">
      <c r="A75" s="786" t="s">
        <v>1163</v>
      </c>
      <c r="B75" s="247" t="s">
        <v>496</v>
      </c>
      <c r="C75" s="287"/>
      <c r="D75" s="287"/>
      <c r="E75" s="193"/>
      <c r="F75" s="287"/>
      <c r="G75" s="276"/>
    </row>
    <row r="76" spans="1:7" ht="13.5" thickBot="1">
      <c r="A76" s="786" t="s">
        <v>1164</v>
      </c>
      <c r="B76" s="248" t="s">
        <v>28</v>
      </c>
      <c r="C76" s="289">
        <f>C66+C67+C68+C69+C75</f>
        <v>64783</v>
      </c>
      <c r="D76" s="289">
        <f>D66+D67+D68+D69+D75+D70</f>
        <v>126934</v>
      </c>
      <c r="E76" s="289">
        <f>E66+E67+E68+E69+E75</f>
        <v>0</v>
      </c>
      <c r="F76" s="289">
        <f>F66+F67+F68+F69+F75+F70</f>
        <v>10500</v>
      </c>
      <c r="G76" s="289">
        <f>G66+G67+G68+G69+G75+G70</f>
        <v>80840</v>
      </c>
    </row>
    <row r="77" spans="1:7" ht="6.75" customHeight="1">
      <c r="A77" s="786"/>
      <c r="B77" s="249"/>
      <c r="C77" s="285"/>
      <c r="D77" s="285"/>
      <c r="E77" s="299"/>
      <c r="F77" s="285"/>
      <c r="G77" s="274"/>
    </row>
    <row r="78" spans="1:7" ht="12.75">
      <c r="A78" s="786" t="s">
        <v>1165</v>
      </c>
      <c r="B78" s="249" t="s">
        <v>504</v>
      </c>
      <c r="C78" s="282"/>
      <c r="D78" s="282"/>
      <c r="E78" s="189"/>
      <c r="F78" s="282"/>
      <c r="G78" s="272"/>
    </row>
    <row r="79" spans="1:7" ht="12.75">
      <c r="A79" s="786" t="s">
        <v>1166</v>
      </c>
      <c r="B79" s="213" t="s">
        <v>29</v>
      </c>
      <c r="C79" s="282">
        <f>'33_sz_ melléklet'!C88</f>
        <v>3715</v>
      </c>
      <c r="D79" s="282"/>
      <c r="E79" s="189"/>
      <c r="F79" s="282"/>
      <c r="G79" s="272">
        <f>'33_sz_ melléklet'!C77</f>
        <v>1844336</v>
      </c>
    </row>
    <row r="80" spans="1:7" ht="12.75">
      <c r="A80" s="786" t="s">
        <v>1167</v>
      </c>
      <c r="B80" s="213" t="s">
        <v>38</v>
      </c>
      <c r="C80" s="282"/>
      <c r="D80" s="282"/>
      <c r="E80" s="189"/>
      <c r="F80" s="282"/>
      <c r="G80" s="272">
        <f>'32_sz_ melléklet'!C29</f>
        <v>14626</v>
      </c>
    </row>
    <row r="81" spans="1:7" s="26" customFormat="1" ht="12.75">
      <c r="A81" s="786" t="s">
        <v>1168</v>
      </c>
      <c r="B81" s="213" t="s">
        <v>497</v>
      </c>
      <c r="C81" s="282">
        <f>C82+C83+C84</f>
        <v>0</v>
      </c>
      <c r="D81" s="282">
        <f>D82+D83+D84</f>
        <v>600</v>
      </c>
      <c r="E81" s="282">
        <f>E82+E83+E84</f>
        <v>5000</v>
      </c>
      <c r="F81" s="282">
        <f>F82+F83+F84</f>
        <v>0</v>
      </c>
      <c r="G81" s="282">
        <f>G82+G83+G84</f>
        <v>0</v>
      </c>
    </row>
    <row r="82" spans="1:7" ht="11.25" customHeight="1">
      <c r="A82" s="786" t="s">
        <v>1169</v>
      </c>
      <c r="B82" s="213" t="s">
        <v>499</v>
      </c>
      <c r="C82" s="282"/>
      <c r="D82" s="282"/>
      <c r="E82" s="189"/>
      <c r="F82" s="282"/>
      <c r="G82" s="272"/>
    </row>
    <row r="83" spans="1:7" ht="12.75">
      <c r="A83" s="786" t="s">
        <v>1170</v>
      </c>
      <c r="B83" s="213" t="s">
        <v>562</v>
      </c>
      <c r="C83" s="282"/>
      <c r="D83" s="282">
        <f>' 8 10 sz. melléklet'!D65+' 8 10 sz. melléklet'!D67</f>
        <v>600</v>
      </c>
      <c r="E83" s="189">
        <f>' 8 10 sz. melléklet'!D63</f>
        <v>5000</v>
      </c>
      <c r="F83" s="282"/>
      <c r="G83" s="272"/>
    </row>
    <row r="84" spans="1:7" ht="12.75">
      <c r="A84" s="786" t="s">
        <v>1171</v>
      </c>
      <c r="B84" s="213" t="s">
        <v>500</v>
      </c>
      <c r="C84" s="286"/>
      <c r="D84" s="286"/>
      <c r="E84" s="300"/>
      <c r="F84" s="286"/>
      <c r="G84" s="275"/>
    </row>
    <row r="85" spans="1:7" ht="12.75">
      <c r="A85" s="786" t="s">
        <v>1173</v>
      </c>
      <c r="B85" s="213" t="s">
        <v>501</v>
      </c>
      <c r="C85" s="282"/>
      <c r="D85" s="282"/>
      <c r="E85" s="189"/>
      <c r="F85" s="282"/>
      <c r="G85" s="272"/>
    </row>
    <row r="86" spans="1:7" s="26" customFormat="1" ht="13.5" thickBot="1">
      <c r="A86" s="786" t="s">
        <v>1174</v>
      </c>
      <c r="B86" s="247" t="s">
        <v>502</v>
      </c>
      <c r="C86" s="287">
        <f>-C69</f>
        <v>0</v>
      </c>
      <c r="D86" s="287">
        <f>-D69</f>
        <v>0</v>
      </c>
      <c r="E86" s="287">
        <f>-E69</f>
        <v>0</v>
      </c>
      <c r="F86" s="287">
        <f>-F69</f>
        <v>0</v>
      </c>
      <c r="G86" s="287">
        <f>-G69</f>
        <v>2827</v>
      </c>
    </row>
    <row r="87" spans="1:7" ht="13.5" thickBot="1">
      <c r="A87" s="786" t="s">
        <v>1175</v>
      </c>
      <c r="B87" s="248" t="s">
        <v>30</v>
      </c>
      <c r="C87" s="289">
        <f>C79+C80+C81+C85+C86</f>
        <v>3715</v>
      </c>
      <c r="D87" s="289">
        <f>D79+D80+D81+D85+D86</f>
        <v>600</v>
      </c>
      <c r="E87" s="289">
        <f>E79+E80+E81+E85+E86</f>
        <v>5000</v>
      </c>
      <c r="F87" s="289">
        <f>F79+F80+F81+F85+F86</f>
        <v>0</v>
      </c>
      <c r="G87" s="289">
        <f>G79+G80+G81+G85+G86</f>
        <v>1861789</v>
      </c>
    </row>
    <row r="88" spans="1:7" ht="6.75" customHeight="1">
      <c r="A88" s="786"/>
      <c r="B88" s="268"/>
      <c r="C88" s="285"/>
      <c r="D88" s="285"/>
      <c r="E88" s="299"/>
      <c r="F88" s="285"/>
      <c r="G88" s="274"/>
    </row>
    <row r="89" spans="1:7" ht="25.5">
      <c r="A89" s="786" t="s">
        <v>1176</v>
      </c>
      <c r="B89" s="252" t="s">
        <v>505</v>
      </c>
      <c r="C89" s="286"/>
      <c r="D89" s="286"/>
      <c r="E89" s="300"/>
      <c r="F89" s="286"/>
      <c r="G89" s="275"/>
    </row>
    <row r="90" spans="1:7" ht="12.75">
      <c r="A90" s="786" t="s">
        <v>1177</v>
      </c>
      <c r="B90" s="253" t="s">
        <v>506</v>
      </c>
      <c r="C90" s="282"/>
      <c r="D90" s="282"/>
      <c r="E90" s="189"/>
      <c r="F90" s="282"/>
      <c r="G90" s="272"/>
    </row>
    <row r="91" spans="1:7" s="26" customFormat="1" ht="12.75">
      <c r="A91" s="786" t="s">
        <v>1178</v>
      </c>
      <c r="B91" s="254" t="s">
        <v>507</v>
      </c>
      <c r="C91" s="282"/>
      <c r="D91" s="282">
        <v>3200</v>
      </c>
      <c r="E91" s="189">
        <f>'11 12 sz_melléklet'!C32-3200</f>
        <v>6000</v>
      </c>
      <c r="F91" s="282"/>
      <c r="G91" s="272"/>
    </row>
    <row r="92" spans="1:7" ht="13.5" customHeight="1" thickBot="1">
      <c r="A92" s="786" t="s">
        <v>1179</v>
      </c>
      <c r="B92" s="253" t="s">
        <v>508</v>
      </c>
      <c r="C92" s="287"/>
      <c r="D92" s="287"/>
      <c r="E92" s="193"/>
      <c r="F92" s="287"/>
      <c r="G92" s="276"/>
    </row>
    <row r="93" spans="1:7" ht="25.5" customHeight="1" thickBot="1">
      <c r="A93" s="786" t="s">
        <v>1180</v>
      </c>
      <c r="B93" s="269" t="s">
        <v>509</v>
      </c>
      <c r="C93" s="289">
        <f>C92+C91+C90</f>
        <v>0</v>
      </c>
      <c r="D93" s="289">
        <f>D92+D91+D90</f>
        <v>3200</v>
      </c>
      <c r="E93" s="289">
        <f>E92+E91+E90</f>
        <v>6000</v>
      </c>
      <c r="F93" s="289">
        <f>F92+F91+F90</f>
        <v>0</v>
      </c>
      <c r="G93" s="289">
        <f>G92+G91+G90</f>
        <v>0</v>
      </c>
    </row>
    <row r="94" spans="1:7" ht="8.25" customHeight="1" thickBot="1">
      <c r="A94" s="786"/>
      <c r="B94" s="256"/>
      <c r="C94" s="285"/>
      <c r="D94" s="285"/>
      <c r="E94" s="299"/>
      <c r="F94" s="285"/>
      <c r="G94" s="274"/>
    </row>
    <row r="95" spans="1:7" s="26" customFormat="1" ht="12.75">
      <c r="A95" s="786" t="s">
        <v>1181</v>
      </c>
      <c r="B95" s="211" t="s">
        <v>510</v>
      </c>
      <c r="C95" s="282"/>
      <c r="D95" s="282"/>
      <c r="E95" s="189"/>
      <c r="F95" s="282"/>
      <c r="G95" s="272"/>
    </row>
    <row r="96" spans="1:7" ht="11.25" customHeight="1">
      <c r="A96" s="786" t="s">
        <v>1182</v>
      </c>
      <c r="B96" s="213" t="s">
        <v>511</v>
      </c>
      <c r="C96" s="282"/>
      <c r="D96" s="282"/>
      <c r="E96" s="189"/>
      <c r="F96" s="282"/>
      <c r="G96" s="272"/>
    </row>
    <row r="97" spans="1:7" ht="12.75">
      <c r="A97" s="786" t="s">
        <v>1183</v>
      </c>
      <c r="B97" s="213" t="s">
        <v>52</v>
      </c>
      <c r="C97" s="286"/>
      <c r="D97" s="286"/>
      <c r="E97" s="300"/>
      <c r="F97" s="286"/>
      <c r="G97" s="275"/>
    </row>
    <row r="98" spans="1:7" ht="12.75">
      <c r="A98" s="786" t="s">
        <v>1184</v>
      </c>
      <c r="B98" s="213" t="s">
        <v>1288</v>
      </c>
      <c r="C98" s="282"/>
      <c r="D98" s="282"/>
      <c r="E98" s="189"/>
      <c r="F98" s="282"/>
      <c r="G98" s="272"/>
    </row>
    <row r="99" spans="1:7" s="26" customFormat="1" ht="13.5" thickBot="1">
      <c r="A99" s="786" t="s">
        <v>1185</v>
      </c>
      <c r="B99" s="247" t="s">
        <v>513</v>
      </c>
      <c r="C99" s="304"/>
      <c r="D99" s="304"/>
      <c r="E99" s="333"/>
      <c r="F99" s="317"/>
      <c r="G99" s="318"/>
    </row>
    <row r="100" spans="1:7" ht="13.5" thickBot="1">
      <c r="A100" s="786" t="s">
        <v>1186</v>
      </c>
      <c r="B100" s="248" t="s">
        <v>516</v>
      </c>
      <c r="C100" s="335">
        <f>C96+C97+C98+C99</f>
        <v>0</v>
      </c>
      <c r="D100" s="335">
        <f>D96+D97+D98+D99</f>
        <v>0</v>
      </c>
      <c r="E100" s="335">
        <f>E96+E97+E98+E99</f>
        <v>0</v>
      </c>
      <c r="F100" s="335">
        <f>F96+F97+F98+F99</f>
        <v>0</v>
      </c>
      <c r="G100" s="335">
        <f>G96+G97+G98+G99</f>
        <v>0</v>
      </c>
    </row>
    <row r="101" spans="1:7" ht="5.25" customHeight="1" thickBot="1">
      <c r="A101" s="786"/>
      <c r="B101" s="256"/>
      <c r="C101" s="336"/>
      <c r="D101" s="336"/>
      <c r="E101" s="41"/>
      <c r="F101" s="291"/>
      <c r="G101" s="278"/>
    </row>
    <row r="102" spans="1:7" s="26" customFormat="1" ht="26.25" thickBot="1">
      <c r="A102" s="786" t="s">
        <v>1187</v>
      </c>
      <c r="B102" s="271" t="s">
        <v>512</v>
      </c>
      <c r="C102" s="335">
        <f>C100+C93+C87+C76</f>
        <v>68498</v>
      </c>
      <c r="D102" s="335">
        <f>D100+D93+D87+D76</f>
        <v>130734</v>
      </c>
      <c r="E102" s="335">
        <f>E100+E93+E87+E76</f>
        <v>11000</v>
      </c>
      <c r="F102" s="335">
        <f>F100+F93+F87+F76</f>
        <v>10500</v>
      </c>
      <c r="G102" s="335">
        <f>G100+G93+G87+G76</f>
        <v>1942629</v>
      </c>
    </row>
    <row r="103" spans="1:7" ht="8.25" customHeight="1">
      <c r="A103" s="786"/>
      <c r="B103" s="258"/>
      <c r="C103" s="334"/>
      <c r="D103" s="334"/>
      <c r="E103" s="299"/>
      <c r="F103" s="285"/>
      <c r="G103" s="274"/>
    </row>
    <row r="104" spans="1:7" ht="12.75">
      <c r="A104" s="786" t="s">
        <v>1188</v>
      </c>
      <c r="B104" s="259" t="s">
        <v>519</v>
      </c>
      <c r="C104" s="307"/>
      <c r="D104" s="307"/>
      <c r="E104" s="189"/>
      <c r="F104" s="282"/>
      <c r="G104" s="272"/>
    </row>
    <row r="105" spans="1:7" ht="12.75">
      <c r="A105" s="786" t="s">
        <v>1189</v>
      </c>
      <c r="B105" s="260" t="s">
        <v>514</v>
      </c>
      <c r="C105" s="307"/>
      <c r="D105" s="307"/>
      <c r="E105" s="189"/>
      <c r="F105" s="282"/>
      <c r="G105" s="272"/>
    </row>
    <row r="106" spans="1:7" ht="13.5" thickBot="1">
      <c r="A106" s="786" t="s">
        <v>1190</v>
      </c>
      <c r="B106" s="261" t="s">
        <v>515</v>
      </c>
      <c r="C106" s="304"/>
      <c r="D106" s="304"/>
      <c r="E106" s="193"/>
      <c r="F106" s="287"/>
      <c r="G106" s="276"/>
    </row>
    <row r="107" spans="1:7" ht="13.5" thickBot="1">
      <c r="A107" s="786" t="s">
        <v>1191</v>
      </c>
      <c r="B107" s="262" t="s">
        <v>517</v>
      </c>
      <c r="C107" s="290">
        <f>C105+C106</f>
        <v>0</v>
      </c>
      <c r="D107" s="290">
        <f>D105+D106</f>
        <v>0</v>
      </c>
      <c r="E107" s="290">
        <f>E105+E106</f>
        <v>0</v>
      </c>
      <c r="F107" s="290">
        <f>F105+F106</f>
        <v>0</v>
      </c>
      <c r="G107" s="290">
        <f>G105+G106</f>
        <v>0</v>
      </c>
    </row>
    <row r="108" spans="1:7" ht="6.75" customHeight="1">
      <c r="A108" s="786"/>
      <c r="B108" s="263"/>
      <c r="C108" s="334"/>
      <c r="D108" s="334"/>
      <c r="E108" s="299"/>
      <c r="F108" s="285"/>
      <c r="G108" s="274"/>
    </row>
    <row r="109" spans="1:7" ht="21.75">
      <c r="A109" s="786" t="s">
        <v>1192</v>
      </c>
      <c r="B109" s="341" t="s">
        <v>518</v>
      </c>
      <c r="C109" s="307"/>
      <c r="D109" s="307"/>
      <c r="E109" s="189"/>
      <c r="F109" s="282"/>
      <c r="G109" s="272"/>
    </row>
    <row r="110" spans="1:7" ht="12.75">
      <c r="A110" s="786" t="s">
        <v>1193</v>
      </c>
      <c r="B110" s="327" t="s">
        <v>520</v>
      </c>
      <c r="C110" s="307"/>
      <c r="D110" s="307"/>
      <c r="E110" s="189"/>
      <c r="F110" s="282"/>
      <c r="G110" s="272"/>
    </row>
    <row r="111" spans="1:7" ht="13.5" thickBot="1">
      <c r="A111" s="786" t="s">
        <v>1194</v>
      </c>
      <c r="B111" s="266" t="s">
        <v>521</v>
      </c>
      <c r="C111" s="304"/>
      <c r="D111" s="304"/>
      <c r="E111" s="193"/>
      <c r="F111" s="287"/>
      <c r="G111" s="276"/>
    </row>
    <row r="112" spans="1:7" ht="13.5" thickBot="1">
      <c r="A112" s="786" t="s">
        <v>1195</v>
      </c>
      <c r="B112" s="248" t="s">
        <v>522</v>
      </c>
      <c r="C112" s="335">
        <f>C111+C110</f>
        <v>0</v>
      </c>
      <c r="D112" s="335">
        <f>D111+D110</f>
        <v>0</v>
      </c>
      <c r="E112" s="335">
        <f>E111+E110</f>
        <v>0</v>
      </c>
      <c r="F112" s="335">
        <f>F111+F110</f>
        <v>0</v>
      </c>
      <c r="G112" s="335">
        <f>G111+G110</f>
        <v>0</v>
      </c>
    </row>
    <row r="113" spans="1:7" ht="5.25" customHeight="1" thickBot="1">
      <c r="A113" s="786"/>
      <c r="B113" s="247"/>
      <c r="C113" s="337"/>
      <c r="D113" s="337"/>
      <c r="E113" s="330"/>
      <c r="F113" s="337"/>
      <c r="G113" s="338"/>
    </row>
    <row r="114" spans="1:7" ht="18" customHeight="1" thickBot="1">
      <c r="A114" s="823" t="s">
        <v>1196</v>
      </c>
      <c r="B114" s="262" t="s">
        <v>31</v>
      </c>
      <c r="C114" s="289">
        <f>C112+C107+C102</f>
        <v>68498</v>
      </c>
      <c r="D114" s="289">
        <f>D112+D107+D102</f>
        <v>130734</v>
      </c>
      <c r="E114" s="289">
        <f>E112+E107+E102</f>
        <v>11000</v>
      </c>
      <c r="F114" s="289">
        <f>F112+F107+F102</f>
        <v>10500</v>
      </c>
      <c r="G114" s="289">
        <f>G112+G107+G102</f>
        <v>1942629</v>
      </c>
    </row>
    <row r="115" spans="1:7" ht="12" customHeight="1">
      <c r="A115" s="1547" t="s">
        <v>1295</v>
      </c>
      <c r="B115" s="1547"/>
      <c r="C115" s="1547"/>
      <c r="D115" s="1547"/>
      <c r="E115" s="1547"/>
      <c r="F115" s="41"/>
      <c r="G115" s="41"/>
    </row>
    <row r="116" spans="2:7" ht="12.75">
      <c r="B116" s="1565">
        <v>3</v>
      </c>
      <c r="C116" s="1565"/>
      <c r="D116" s="1565"/>
      <c r="E116" s="1565"/>
      <c r="F116" s="1565"/>
      <c r="G116" s="1565"/>
    </row>
    <row r="117" spans="2:7" ht="12.75">
      <c r="B117" s="1561" t="s">
        <v>527</v>
      </c>
      <c r="C117" s="1561"/>
      <c r="D117" s="1561"/>
      <c r="E117" s="1561"/>
      <c r="F117" s="1561"/>
      <c r="G117" s="1561"/>
    </row>
    <row r="118" spans="2:7" ht="12.75">
      <c r="B118" s="1561" t="s">
        <v>48</v>
      </c>
      <c r="C118" s="1561"/>
      <c r="D118" s="1561"/>
      <c r="E118" s="1561"/>
      <c r="F118" s="1561"/>
      <c r="G118" s="1561"/>
    </row>
    <row r="119" spans="2:7" ht="13.5" thickBot="1">
      <c r="B119" s="1"/>
      <c r="C119" s="1"/>
      <c r="D119" s="1"/>
      <c r="E119" s="1"/>
      <c r="F119" s="31" t="s">
        <v>33</v>
      </c>
      <c r="G119" s="1"/>
    </row>
    <row r="120" spans="1:7" ht="42" customHeight="1" thickBot="1">
      <c r="A120" s="830" t="s">
        <v>1148</v>
      </c>
      <c r="B120" s="182" t="s">
        <v>49</v>
      </c>
      <c r="C120" s="779" t="s">
        <v>529</v>
      </c>
      <c r="D120" s="840" t="s">
        <v>1425</v>
      </c>
      <c r="E120" s="779" t="s">
        <v>57</v>
      </c>
      <c r="F120" s="779" t="s">
        <v>58</v>
      </c>
      <c r="G120" s="780" t="s">
        <v>59</v>
      </c>
    </row>
    <row r="121" spans="1:7" ht="12" customHeight="1">
      <c r="A121" s="825" t="s">
        <v>1149</v>
      </c>
      <c r="B121" s="869" t="s">
        <v>1150</v>
      </c>
      <c r="C121" s="870" t="s">
        <v>1151</v>
      </c>
      <c r="D121" s="871" t="s">
        <v>1152</v>
      </c>
      <c r="E121" s="872" t="s">
        <v>1172</v>
      </c>
      <c r="F121" s="834" t="s">
        <v>1197</v>
      </c>
      <c r="G121" s="873" t="s">
        <v>1198</v>
      </c>
    </row>
    <row r="122" spans="1:7" ht="12.75">
      <c r="A122" s="789" t="s">
        <v>1153</v>
      </c>
      <c r="B122" s="256" t="s">
        <v>503</v>
      </c>
      <c r="C122" s="405"/>
      <c r="D122" s="405"/>
      <c r="E122" s="406"/>
      <c r="F122" s="405"/>
      <c r="G122" s="866"/>
    </row>
    <row r="123" spans="1:7" ht="12.75">
      <c r="A123" s="786" t="s">
        <v>1154</v>
      </c>
      <c r="B123" s="245" t="s">
        <v>24</v>
      </c>
      <c r="C123" s="282">
        <f>4245-198</f>
        <v>4047</v>
      </c>
      <c r="D123" s="282">
        <f>140400-10891+2090-5512+2127+3746-117737+9800</f>
        <v>24023</v>
      </c>
      <c r="E123" s="189"/>
      <c r="F123" s="282"/>
      <c r="G123" s="272"/>
    </row>
    <row r="124" spans="1:7" ht="12.75">
      <c r="A124" s="786" t="s">
        <v>1155</v>
      </c>
      <c r="B124" s="213" t="s">
        <v>25</v>
      </c>
      <c r="C124" s="282">
        <f>1065-131</f>
        <v>934</v>
      </c>
      <c r="D124" s="282">
        <f>18954-2940+282-1488+574+1011-13627+529</f>
        <v>3295</v>
      </c>
      <c r="E124" s="189"/>
      <c r="F124" s="282"/>
      <c r="G124" s="272"/>
    </row>
    <row r="125" spans="1:7" ht="12.75">
      <c r="A125" s="786" t="s">
        <v>1156</v>
      </c>
      <c r="B125" s="213" t="s">
        <v>26</v>
      </c>
      <c r="C125" s="282">
        <f>400+48</f>
        <v>448</v>
      </c>
      <c r="D125" s="282">
        <f>375+13+159-348+450</f>
        <v>649</v>
      </c>
      <c r="E125" s="189">
        <f>33750-5624</f>
        <v>28126</v>
      </c>
      <c r="F125" s="282">
        <f>1375-83</f>
        <v>1292</v>
      </c>
      <c r="G125" s="272">
        <v>43588</v>
      </c>
    </row>
    <row r="126" spans="1:7" ht="12.75">
      <c r="A126" s="786" t="s">
        <v>1157</v>
      </c>
      <c r="B126" s="213" t="s">
        <v>27</v>
      </c>
      <c r="C126" s="282"/>
      <c r="D126" s="282"/>
      <c r="E126" s="189"/>
      <c r="F126" s="282"/>
      <c r="G126" s="272"/>
    </row>
    <row r="127" spans="1:7" ht="12.75">
      <c r="A127" s="786" t="s">
        <v>1158</v>
      </c>
      <c r="B127" s="213" t="s">
        <v>498</v>
      </c>
      <c r="C127" s="282">
        <f>C128+C129+C130+C131</f>
        <v>0</v>
      </c>
      <c r="D127" s="282">
        <f>D128+D129+D130+D131</f>
        <v>8547</v>
      </c>
      <c r="E127" s="282">
        <f>E128+E129+E130+E131</f>
        <v>0</v>
      </c>
      <c r="F127" s="282">
        <f>F128+F129+F130+F131</f>
        <v>54857</v>
      </c>
      <c r="G127" s="282">
        <f>G128+G129+G130+G131</f>
        <v>0</v>
      </c>
    </row>
    <row r="128" spans="1:7" ht="12.75">
      <c r="A128" s="786" t="s">
        <v>1159</v>
      </c>
      <c r="B128" s="213" t="s">
        <v>492</v>
      </c>
      <c r="C128" s="282"/>
      <c r="D128" s="282"/>
      <c r="E128" s="189"/>
      <c r="F128" s="282"/>
      <c r="G128" s="272"/>
    </row>
    <row r="129" spans="1:7" ht="12.75">
      <c r="A129" s="786" t="s">
        <v>1160</v>
      </c>
      <c r="B129" s="246" t="s">
        <v>493</v>
      </c>
      <c r="C129" s="282"/>
      <c r="D129" s="282"/>
      <c r="E129" s="189"/>
      <c r="F129" s="282">
        <f>'6 7_sz_melléklet'!D44</f>
        <v>54857</v>
      </c>
      <c r="G129" s="272"/>
    </row>
    <row r="130" spans="1:7" s="26" customFormat="1" ht="12.75">
      <c r="A130" s="786" t="s">
        <v>1161</v>
      </c>
      <c r="B130" s="213" t="s">
        <v>494</v>
      </c>
      <c r="C130" s="286"/>
      <c r="D130" s="282">
        <f>' 8 10 sz. melléklet'!E30</f>
        <v>8547</v>
      </c>
      <c r="E130" s="300"/>
      <c r="F130" s="286"/>
      <c r="G130" s="275"/>
    </row>
    <row r="131" spans="1:7" ht="12.75">
      <c r="A131" s="786" t="s">
        <v>1162</v>
      </c>
      <c r="B131" s="213" t="s">
        <v>495</v>
      </c>
      <c r="C131" s="282"/>
      <c r="D131" s="282"/>
      <c r="E131" s="189"/>
      <c r="F131" s="282"/>
      <c r="G131" s="272"/>
    </row>
    <row r="132" spans="1:7" ht="13.5" thickBot="1">
      <c r="A132" s="786" t="s">
        <v>1163</v>
      </c>
      <c r="B132" s="247" t="s">
        <v>496</v>
      </c>
      <c r="C132" s="287"/>
      <c r="D132" s="287"/>
      <c r="E132" s="193"/>
      <c r="F132" s="287"/>
      <c r="G132" s="276"/>
    </row>
    <row r="133" spans="1:7" ht="13.5" thickBot="1">
      <c r="A133" s="786" t="s">
        <v>1164</v>
      </c>
      <c r="B133" s="248" t="s">
        <v>28</v>
      </c>
      <c r="C133" s="289">
        <f>C123+C124+C125+C126+C127+C132</f>
        <v>5429</v>
      </c>
      <c r="D133" s="289">
        <f>D123+D124+D125+D126+D127+D132</f>
        <v>36514</v>
      </c>
      <c r="E133" s="289">
        <f>E123+E124+E125+E126+E127+E132</f>
        <v>28126</v>
      </c>
      <c r="F133" s="289">
        <f>F123+F124+F125+F126+F127+F132</f>
        <v>56149</v>
      </c>
      <c r="G133" s="289">
        <f>G123+G124+G125+G126+G127+G132</f>
        <v>43588</v>
      </c>
    </row>
    <row r="134" spans="1:7" ht="6" customHeight="1">
      <c r="A134" s="786"/>
      <c r="B134" s="249"/>
      <c r="C134" s="285"/>
      <c r="D134" s="285"/>
      <c r="E134" s="299"/>
      <c r="F134" s="285"/>
      <c r="G134" s="274"/>
    </row>
    <row r="135" spans="1:7" ht="12.75">
      <c r="A135" s="786" t="s">
        <v>1165</v>
      </c>
      <c r="B135" s="249" t="s">
        <v>504</v>
      </c>
      <c r="C135" s="282"/>
      <c r="D135" s="282"/>
      <c r="E135" s="189"/>
      <c r="F135" s="282"/>
      <c r="G135" s="272"/>
    </row>
    <row r="136" spans="1:7" ht="12.75">
      <c r="A136" s="786" t="s">
        <v>1166</v>
      </c>
      <c r="B136" s="213" t="s">
        <v>29</v>
      </c>
      <c r="C136" s="286"/>
      <c r="D136" s="282">
        <f>'33_sz_ melléklet'!C100</f>
        <v>630</v>
      </c>
      <c r="E136" s="300"/>
      <c r="F136" s="286"/>
      <c r="G136" s="272">
        <f>'33_sz_ melléklet'!C80</f>
        <v>1600</v>
      </c>
    </row>
    <row r="137" spans="1:7" ht="12.75">
      <c r="A137" s="786" t="s">
        <v>1167</v>
      </c>
      <c r="B137" s="213" t="s">
        <v>38</v>
      </c>
      <c r="C137" s="282"/>
      <c r="D137" s="282"/>
      <c r="E137" s="189"/>
      <c r="F137" s="282">
        <f>'32_sz_ melléklet'!C41</f>
        <v>20734</v>
      </c>
      <c r="G137" s="272"/>
    </row>
    <row r="138" spans="1:7" s="26" customFormat="1" ht="12.75">
      <c r="A138" s="786" t="s">
        <v>1168</v>
      </c>
      <c r="B138" s="213" t="s">
        <v>497</v>
      </c>
      <c r="C138" s="282">
        <f>C139+C140+C141</f>
        <v>0</v>
      </c>
      <c r="D138" s="282">
        <f>D139+D140+D141</f>
        <v>0</v>
      </c>
      <c r="E138" s="282">
        <f>E139+E140+E141</f>
        <v>0</v>
      </c>
      <c r="F138" s="282">
        <f>F139+F140+F141</f>
        <v>0</v>
      </c>
      <c r="G138" s="282">
        <f>G139+G140+G141</f>
        <v>0</v>
      </c>
    </row>
    <row r="139" spans="1:7" ht="12.75">
      <c r="A139" s="786" t="s">
        <v>1169</v>
      </c>
      <c r="B139" s="213" t="s">
        <v>499</v>
      </c>
      <c r="C139" s="282"/>
      <c r="D139" s="282"/>
      <c r="E139" s="189"/>
      <c r="F139" s="282"/>
      <c r="G139" s="272"/>
    </row>
    <row r="140" spans="1:7" ht="12.75">
      <c r="A140" s="786" t="s">
        <v>1170</v>
      </c>
      <c r="B140" s="213" t="s">
        <v>562</v>
      </c>
      <c r="C140" s="282"/>
      <c r="D140" s="282"/>
      <c r="E140" s="189"/>
      <c r="F140" s="282"/>
      <c r="G140" s="272"/>
    </row>
    <row r="141" spans="1:7" ht="12.75">
      <c r="A141" s="786" t="s">
        <v>1171</v>
      </c>
      <c r="B141" s="213" t="s">
        <v>500</v>
      </c>
      <c r="C141" s="286"/>
      <c r="D141" s="286"/>
      <c r="E141" s="300"/>
      <c r="F141" s="286"/>
      <c r="G141" s="275"/>
    </row>
    <row r="142" spans="1:7" ht="12.75">
      <c r="A142" s="786" t="s">
        <v>1173</v>
      </c>
      <c r="B142" s="213" t="s">
        <v>501</v>
      </c>
      <c r="C142" s="282"/>
      <c r="D142" s="282"/>
      <c r="E142" s="189"/>
      <c r="F142" s="282"/>
      <c r="G142" s="272"/>
    </row>
    <row r="143" spans="1:7" ht="13.5" thickBot="1">
      <c r="A143" s="786" t="s">
        <v>1174</v>
      </c>
      <c r="B143" s="247" t="s">
        <v>502</v>
      </c>
      <c r="C143" s="287">
        <f>-C126</f>
        <v>0</v>
      </c>
      <c r="D143" s="287">
        <f>-D126</f>
        <v>0</v>
      </c>
      <c r="E143" s="287">
        <f>-E126</f>
        <v>0</v>
      </c>
      <c r="F143" s="287">
        <f>-F126</f>
        <v>0</v>
      </c>
      <c r="G143" s="287">
        <f>-G126</f>
        <v>0</v>
      </c>
    </row>
    <row r="144" spans="1:7" ht="12.75" customHeight="1" thickBot="1">
      <c r="A144" s="786" t="s">
        <v>1175</v>
      </c>
      <c r="B144" s="248" t="s">
        <v>30</v>
      </c>
      <c r="C144" s="289">
        <f>C136+C137+C138+C142+C143</f>
        <v>0</v>
      </c>
      <c r="D144" s="289">
        <f>D136+D137+D138+D142+D143</f>
        <v>630</v>
      </c>
      <c r="E144" s="289">
        <f>E136+E137+E138+E142+E143</f>
        <v>0</v>
      </c>
      <c r="F144" s="289">
        <f>F136+F137+F138+F142+F143</f>
        <v>20734</v>
      </c>
      <c r="G144" s="289">
        <f>G136+G137+G138+G142+G143</f>
        <v>1600</v>
      </c>
    </row>
    <row r="145" spans="1:7" ht="6.75" customHeight="1">
      <c r="A145" s="786"/>
      <c r="B145" s="268"/>
      <c r="C145" s="285"/>
      <c r="D145" s="285"/>
      <c r="E145" s="299"/>
      <c r="F145" s="285"/>
      <c r="G145" s="274"/>
    </row>
    <row r="146" spans="1:7" ht="25.5">
      <c r="A146" s="786" t="s">
        <v>1176</v>
      </c>
      <c r="B146" s="252" t="s">
        <v>505</v>
      </c>
      <c r="C146" s="286"/>
      <c r="D146" s="286"/>
      <c r="E146" s="300"/>
      <c r="F146" s="286"/>
      <c r="G146" s="275"/>
    </row>
    <row r="147" spans="1:7" ht="12.75">
      <c r="A147" s="786" t="s">
        <v>1177</v>
      </c>
      <c r="B147" s="253" t="s">
        <v>506</v>
      </c>
      <c r="C147" s="282"/>
      <c r="D147" s="282"/>
      <c r="E147" s="189"/>
      <c r="F147" s="282"/>
      <c r="G147" s="272"/>
    </row>
    <row r="148" spans="1:7" s="26" customFormat="1" ht="12.75">
      <c r="A148" s="786" t="s">
        <v>1178</v>
      </c>
      <c r="B148" s="254" t="s">
        <v>507</v>
      </c>
      <c r="C148" s="282"/>
      <c r="D148" s="282"/>
      <c r="E148" s="189"/>
      <c r="F148" s="282"/>
      <c r="G148" s="272"/>
    </row>
    <row r="149" spans="1:7" ht="12.75" customHeight="1" thickBot="1">
      <c r="A149" s="786" t="s">
        <v>1179</v>
      </c>
      <c r="B149" s="253" t="s">
        <v>508</v>
      </c>
      <c r="C149" s="287"/>
      <c r="D149" s="287"/>
      <c r="E149" s="193"/>
      <c r="F149" s="287"/>
      <c r="G149" s="276"/>
    </row>
    <row r="150" spans="1:7" ht="26.25" thickBot="1">
      <c r="A150" s="786" t="s">
        <v>1180</v>
      </c>
      <c r="B150" s="269" t="s">
        <v>509</v>
      </c>
      <c r="C150" s="289">
        <f>C149+C148+C147</f>
        <v>0</v>
      </c>
      <c r="D150" s="289">
        <f>D149+D148+D147</f>
        <v>0</v>
      </c>
      <c r="E150" s="289">
        <f>E149+E148+E147</f>
        <v>0</v>
      </c>
      <c r="F150" s="289">
        <f>F149+F148+F147</f>
        <v>0</v>
      </c>
      <c r="G150" s="289">
        <f>G149+G148+G147</f>
        <v>0</v>
      </c>
    </row>
    <row r="151" spans="1:7" ht="6.75" customHeight="1" thickBot="1">
      <c r="A151" s="786"/>
      <c r="B151" s="256"/>
      <c r="C151" s="285"/>
      <c r="D151" s="285"/>
      <c r="E151" s="299"/>
      <c r="F151" s="285"/>
      <c r="G151" s="274"/>
    </row>
    <row r="152" spans="1:7" s="26" customFormat="1" ht="12.75">
      <c r="A152" s="786" t="s">
        <v>1181</v>
      </c>
      <c r="B152" s="211" t="s">
        <v>510</v>
      </c>
      <c r="C152" s="282"/>
      <c r="D152" s="282"/>
      <c r="E152" s="189"/>
      <c r="F152" s="282"/>
      <c r="G152" s="272"/>
    </row>
    <row r="153" spans="1:7" ht="12" customHeight="1">
      <c r="A153" s="786" t="s">
        <v>1182</v>
      </c>
      <c r="B153" s="213" t="s">
        <v>511</v>
      </c>
      <c r="C153" s="282"/>
      <c r="D153" s="282"/>
      <c r="E153" s="189"/>
      <c r="F153" s="282"/>
      <c r="G153" s="272"/>
    </row>
    <row r="154" spans="1:7" ht="12.75">
      <c r="A154" s="786" t="s">
        <v>1183</v>
      </c>
      <c r="B154" s="213" t="s">
        <v>52</v>
      </c>
      <c r="C154" s="286"/>
      <c r="D154" s="286"/>
      <c r="E154" s="300"/>
      <c r="F154" s="286"/>
      <c r="G154" s="275"/>
    </row>
    <row r="155" spans="1:7" ht="12.75">
      <c r="A155" s="786" t="s">
        <v>1184</v>
      </c>
      <c r="B155" s="213" t="s">
        <v>1288</v>
      </c>
      <c r="C155" s="282"/>
      <c r="D155" s="282"/>
      <c r="E155" s="189"/>
      <c r="F155" s="282"/>
      <c r="G155" s="272"/>
    </row>
    <row r="156" spans="1:7" ht="13.5" thickBot="1">
      <c r="A156" s="786" t="s">
        <v>1185</v>
      </c>
      <c r="B156" s="247" t="s">
        <v>513</v>
      </c>
      <c r="C156" s="304"/>
      <c r="D156" s="304"/>
      <c r="E156" s="333"/>
      <c r="F156" s="317"/>
      <c r="G156" s="318"/>
    </row>
    <row r="157" spans="1:7" ht="13.5" thickBot="1">
      <c r="A157" s="786" t="s">
        <v>1186</v>
      </c>
      <c r="B157" s="248" t="s">
        <v>516</v>
      </c>
      <c r="C157" s="335">
        <f>C156+C155+C154+C153</f>
        <v>0</v>
      </c>
      <c r="D157" s="335">
        <f>D156+D155+D154+D153</f>
        <v>0</v>
      </c>
      <c r="E157" s="335">
        <f>E156+E155+E154+E153</f>
        <v>0</v>
      </c>
      <c r="F157" s="335">
        <f>F156+F155+F154+F153</f>
        <v>0</v>
      </c>
      <c r="G157" s="335">
        <f>G156+G155+G154+G153</f>
        <v>0</v>
      </c>
    </row>
    <row r="158" spans="1:7" ht="13.5" thickBot="1">
      <c r="A158" s="786"/>
      <c r="B158" s="256"/>
      <c r="C158" s="336"/>
      <c r="D158" s="336"/>
      <c r="E158" s="41"/>
      <c r="F158" s="291"/>
      <c r="G158" s="278"/>
    </row>
    <row r="159" spans="1:7" s="26" customFormat="1" ht="26.25" thickBot="1">
      <c r="A159" s="786" t="s">
        <v>1187</v>
      </c>
      <c r="B159" s="271" t="s">
        <v>512</v>
      </c>
      <c r="C159" s="335">
        <f>C157+C150+C144+C133</f>
        <v>5429</v>
      </c>
      <c r="D159" s="335">
        <f>D157+D150+D144+D133</f>
        <v>37144</v>
      </c>
      <c r="E159" s="335">
        <f>E157+E150+E144+E133</f>
        <v>28126</v>
      </c>
      <c r="F159" s="335">
        <f>F157+F150+F144+F133</f>
        <v>76883</v>
      </c>
      <c r="G159" s="335">
        <f>G157+G150+G144+G133</f>
        <v>45188</v>
      </c>
    </row>
    <row r="160" spans="1:7" ht="6.75" customHeight="1">
      <c r="A160" s="786"/>
      <c r="B160" s="258"/>
      <c r="C160" s="334"/>
      <c r="D160" s="334"/>
      <c r="E160" s="299"/>
      <c r="F160" s="285"/>
      <c r="G160" s="274"/>
    </row>
    <row r="161" spans="1:7" ht="12.75">
      <c r="A161" s="786" t="s">
        <v>1188</v>
      </c>
      <c r="B161" s="259" t="s">
        <v>519</v>
      </c>
      <c r="C161" s="307"/>
      <c r="D161" s="307"/>
      <c r="E161" s="189"/>
      <c r="F161" s="282"/>
      <c r="G161" s="272"/>
    </row>
    <row r="162" spans="1:7" ht="12.75">
      <c r="A162" s="786" t="s">
        <v>1189</v>
      </c>
      <c r="B162" s="260" t="s">
        <v>514</v>
      </c>
      <c r="C162" s="307"/>
      <c r="D162" s="307"/>
      <c r="E162" s="189"/>
      <c r="F162" s="282"/>
      <c r="G162" s="272"/>
    </row>
    <row r="163" spans="1:7" s="26" customFormat="1" ht="13.5" thickBot="1">
      <c r="A163" s="786" t="s">
        <v>1190</v>
      </c>
      <c r="B163" s="261" t="s">
        <v>515</v>
      </c>
      <c r="C163" s="304"/>
      <c r="D163" s="304"/>
      <c r="E163" s="193"/>
      <c r="F163" s="287"/>
      <c r="G163" s="276"/>
    </row>
    <row r="164" spans="1:7" ht="13.5" thickBot="1">
      <c r="A164" s="786" t="s">
        <v>1191</v>
      </c>
      <c r="B164" s="262" t="s">
        <v>517</v>
      </c>
      <c r="C164" s="335">
        <f>C163+C162</f>
        <v>0</v>
      </c>
      <c r="D164" s="335">
        <f>D163+D162</f>
        <v>0</v>
      </c>
      <c r="E164" s="335">
        <f>E163+E162</f>
        <v>0</v>
      </c>
      <c r="F164" s="335">
        <f>F163+F162</f>
        <v>0</v>
      </c>
      <c r="G164" s="335">
        <f>G163+G162</f>
        <v>0</v>
      </c>
    </row>
    <row r="165" spans="1:7" s="26" customFormat="1" ht="6.75" customHeight="1">
      <c r="A165" s="786"/>
      <c r="B165" s="263"/>
      <c r="C165" s="334"/>
      <c r="D165" s="334"/>
      <c r="E165" s="299"/>
      <c r="F165" s="285"/>
      <c r="G165" s="274"/>
    </row>
    <row r="166" spans="1:7" s="26" customFormat="1" ht="22.5" thickBot="1">
      <c r="A166" s="786" t="s">
        <v>1192</v>
      </c>
      <c r="B166" s="264" t="s">
        <v>518</v>
      </c>
      <c r="C166" s="307"/>
      <c r="D166" s="307"/>
      <c r="E166" s="189"/>
      <c r="F166" s="282"/>
      <c r="G166" s="272"/>
    </row>
    <row r="167" spans="1:7" ht="12.75">
      <c r="A167" s="786" t="s">
        <v>1193</v>
      </c>
      <c r="B167" s="265" t="s">
        <v>520</v>
      </c>
      <c r="C167" s="307"/>
      <c r="D167" s="307"/>
      <c r="E167" s="189"/>
      <c r="F167" s="282"/>
      <c r="G167" s="272"/>
    </row>
    <row r="168" spans="1:7" ht="13.5" thickBot="1">
      <c r="A168" s="786" t="s">
        <v>1194</v>
      </c>
      <c r="B168" s="266" t="s">
        <v>521</v>
      </c>
      <c r="C168" s="304"/>
      <c r="D168" s="304"/>
      <c r="E168" s="193"/>
      <c r="F168" s="287"/>
      <c r="G168" s="276"/>
    </row>
    <row r="169" spans="1:7" ht="13.5" thickBot="1">
      <c r="A169" s="786" t="s">
        <v>1195</v>
      </c>
      <c r="B169" s="248" t="s">
        <v>522</v>
      </c>
      <c r="C169" s="335">
        <f>C168+C167</f>
        <v>0</v>
      </c>
      <c r="D169" s="335">
        <f>D168+D167</f>
        <v>0</v>
      </c>
      <c r="E169" s="335">
        <f>E168+E167</f>
        <v>0</v>
      </c>
      <c r="F169" s="335">
        <f>F168+F167</f>
        <v>0</v>
      </c>
      <c r="G169" s="335">
        <f>G168+G167</f>
        <v>0</v>
      </c>
    </row>
    <row r="170" spans="1:7" ht="6.75" customHeight="1" thickBot="1">
      <c r="A170" s="907"/>
      <c r="B170" s="247"/>
      <c r="C170" s="337"/>
      <c r="D170" s="337"/>
      <c r="E170" s="330"/>
      <c r="F170" s="337"/>
      <c r="G170" s="338"/>
    </row>
    <row r="171" spans="1:7" ht="18" customHeight="1" thickBot="1">
      <c r="A171" s="841" t="s">
        <v>1196</v>
      </c>
      <c r="B171" s="262" t="s">
        <v>31</v>
      </c>
      <c r="C171" s="289">
        <f>C169+C164+C159</f>
        <v>5429</v>
      </c>
      <c r="D171" s="289">
        <f>D169+D164+D159</f>
        <v>37144</v>
      </c>
      <c r="E171" s="289">
        <f>E169+E164+E159</f>
        <v>28126</v>
      </c>
      <c r="F171" s="289">
        <f>F169+F164+F159</f>
        <v>76883</v>
      </c>
      <c r="G171" s="289">
        <f>G169+G164+G159</f>
        <v>45188</v>
      </c>
    </row>
    <row r="172" spans="1:7" ht="10.5" customHeight="1">
      <c r="A172" s="1566" t="s">
        <v>1295</v>
      </c>
      <c r="B172" s="1566"/>
      <c r="C172" s="1566"/>
      <c r="D172" s="1566"/>
      <c r="E172" s="1566"/>
      <c r="F172" s="57"/>
      <c r="G172" s="57"/>
    </row>
    <row r="173" spans="1:7" ht="12.75">
      <c r="A173" s="24"/>
      <c r="B173" s="1565">
        <v>4</v>
      </c>
      <c r="C173" s="1565"/>
      <c r="D173" s="1565"/>
      <c r="E173" s="1565"/>
      <c r="F173" s="1565"/>
      <c r="G173" s="1565"/>
    </row>
    <row r="174" spans="1:7" ht="12.75">
      <c r="A174" s="24"/>
      <c r="B174" s="1561" t="s">
        <v>527</v>
      </c>
      <c r="C174" s="1561"/>
      <c r="D174" s="1561"/>
      <c r="E174" s="1561"/>
      <c r="F174" s="1561"/>
      <c r="G174" s="1561"/>
    </row>
    <row r="175" spans="1:7" ht="12.75">
      <c r="A175" s="24"/>
      <c r="B175" s="1561" t="s">
        <v>48</v>
      </c>
      <c r="C175" s="1561"/>
      <c r="D175" s="1561"/>
      <c r="E175" s="1561"/>
      <c r="F175" s="1561"/>
      <c r="G175" s="1561"/>
    </row>
    <row r="176" spans="1:7" ht="13.5" thickBot="1">
      <c r="A176" s="24"/>
      <c r="B176" s="48"/>
      <c r="C176" s="48"/>
      <c r="D176" s="48"/>
      <c r="E176" s="48"/>
      <c r="F176" s="242" t="s">
        <v>33</v>
      </c>
      <c r="G176" s="48"/>
    </row>
    <row r="177" spans="1:7" ht="55.5" customHeight="1" thickBot="1">
      <c r="A177" s="830" t="s">
        <v>1148</v>
      </c>
      <c r="B177" s="752" t="s">
        <v>49</v>
      </c>
      <c r="C177" s="836" t="s">
        <v>533</v>
      </c>
      <c r="D177" s="836" t="s">
        <v>530</v>
      </c>
      <c r="E177" s="880" t="s">
        <v>1454</v>
      </c>
      <c r="F177" s="836" t="s">
        <v>60</v>
      </c>
      <c r="G177" s="829" t="s">
        <v>531</v>
      </c>
    </row>
    <row r="178" spans="1:7" ht="10.5" customHeight="1">
      <c r="A178" s="867" t="s">
        <v>1149</v>
      </c>
      <c r="B178" s="800" t="s">
        <v>1150</v>
      </c>
      <c r="C178" s="797" t="s">
        <v>1151</v>
      </c>
      <c r="D178" s="798" t="s">
        <v>1152</v>
      </c>
      <c r="E178" s="799" t="s">
        <v>1172</v>
      </c>
      <c r="F178" s="832" t="s">
        <v>1197</v>
      </c>
      <c r="G178" s="833" t="s">
        <v>1198</v>
      </c>
    </row>
    <row r="179" spans="1:7" ht="15.75" customHeight="1">
      <c r="A179" s="789" t="s">
        <v>1153</v>
      </c>
      <c r="B179" s="256" t="s">
        <v>503</v>
      </c>
      <c r="C179" s="776"/>
      <c r="D179" s="776"/>
      <c r="E179" s="777"/>
      <c r="F179" s="776"/>
      <c r="G179" s="778"/>
    </row>
    <row r="180" spans="1:7" ht="12" customHeight="1">
      <c r="A180" s="786" t="s">
        <v>1154</v>
      </c>
      <c r="B180" s="245" t="s">
        <v>24</v>
      </c>
      <c r="C180" s="282">
        <f>4105+247+13666+230-734-247+2160+445</f>
        <v>19872</v>
      </c>
      <c r="D180" s="282"/>
      <c r="E180" s="189"/>
      <c r="F180" s="282"/>
      <c r="G180" s="272"/>
    </row>
    <row r="181" spans="1:7" ht="12.75">
      <c r="A181" s="786" t="s">
        <v>1155</v>
      </c>
      <c r="B181" s="213" t="s">
        <v>25</v>
      </c>
      <c r="C181" s="282">
        <f>1020+173+5424+60-195-173+528-445</f>
        <v>6392</v>
      </c>
      <c r="D181" s="282"/>
      <c r="E181" s="189"/>
      <c r="F181" s="282">
        <f>12857-1416</f>
        <v>11441</v>
      </c>
      <c r="G181" s="272"/>
    </row>
    <row r="182" spans="1:7" ht="12.75">
      <c r="A182" s="786" t="s">
        <v>1156</v>
      </c>
      <c r="B182" s="213" t="s">
        <v>26</v>
      </c>
      <c r="C182" s="282">
        <f>1817+27104+140+448+7268+11577-23069+800+497-3993-2384+90+310-338+83</f>
        <v>20350</v>
      </c>
      <c r="D182" s="282">
        <f>936+1475+23</f>
        <v>2434</v>
      </c>
      <c r="E182" s="189">
        <f>50836+6250-1238+34+80</f>
        <v>55962</v>
      </c>
      <c r="F182" s="282">
        <f>600+150+12820-240-5224-43</f>
        <v>8063</v>
      </c>
      <c r="G182" s="272">
        <v>78</v>
      </c>
    </row>
    <row r="183" spans="1:7" ht="12.75">
      <c r="A183" s="786" t="s">
        <v>1157</v>
      </c>
      <c r="B183" s="213" t="s">
        <v>27</v>
      </c>
      <c r="C183" s="282"/>
      <c r="D183" s="282"/>
      <c r="E183" s="189"/>
      <c r="F183" s="282"/>
      <c r="G183" s="272"/>
    </row>
    <row r="184" spans="1:7" ht="12.75">
      <c r="A184" s="786" t="s">
        <v>1158</v>
      </c>
      <c r="B184" s="213" t="s">
        <v>498</v>
      </c>
      <c r="C184" s="282">
        <f>C185+C186+C187+C188</f>
        <v>1735</v>
      </c>
      <c r="D184" s="282">
        <f>D185+D186+D187+D188</f>
        <v>0</v>
      </c>
      <c r="E184" s="282">
        <f>E185+E186+E187+E188</f>
        <v>0</v>
      </c>
      <c r="F184" s="282">
        <f>F185+F186+F187+F188</f>
        <v>376512</v>
      </c>
      <c r="G184" s="282">
        <f>G185+G186+G187+G188</f>
        <v>0</v>
      </c>
    </row>
    <row r="185" spans="1:7" ht="12.75">
      <c r="A185" s="786" t="s">
        <v>1159</v>
      </c>
      <c r="B185" s="213" t="s">
        <v>492</v>
      </c>
      <c r="C185" s="282">
        <f>'6 7_sz_melléklet'!D9+'6 7_sz_melléklet'!D11</f>
        <v>1735</v>
      </c>
      <c r="D185" s="282"/>
      <c r="E185" s="189"/>
      <c r="F185" s="282"/>
      <c r="G185" s="272"/>
    </row>
    <row r="186" spans="1:7" ht="12.75">
      <c r="A186" s="786" t="s">
        <v>1160</v>
      </c>
      <c r="B186" s="246" t="s">
        <v>493</v>
      </c>
      <c r="C186" s="282"/>
      <c r="D186" s="282"/>
      <c r="E186" s="189"/>
      <c r="F186" s="282"/>
      <c r="G186" s="272">
        <f>'6 7_sz_melléklet'!D39</f>
        <v>0</v>
      </c>
    </row>
    <row r="187" spans="1:7" ht="12.75">
      <c r="A187" s="786" t="s">
        <v>1161</v>
      </c>
      <c r="B187" s="213" t="s">
        <v>494</v>
      </c>
      <c r="C187" s="286"/>
      <c r="D187" s="286"/>
      <c r="E187" s="300"/>
      <c r="F187" s="282">
        <f>' 8 10 sz. melléklet'!D37-' 8 10 sz. melléklet'!D30</f>
        <v>376512</v>
      </c>
      <c r="G187" s="275"/>
    </row>
    <row r="188" spans="1:7" s="26" customFormat="1" ht="12.75">
      <c r="A188" s="786" t="s">
        <v>1162</v>
      </c>
      <c r="B188" s="213" t="s">
        <v>495</v>
      </c>
      <c r="C188" s="282"/>
      <c r="D188" s="282"/>
      <c r="E188" s="189"/>
      <c r="F188" s="282"/>
      <c r="G188" s="272"/>
    </row>
    <row r="189" spans="1:7" ht="15" customHeight="1" thickBot="1">
      <c r="A189" s="786" t="s">
        <v>1163</v>
      </c>
      <c r="B189" s="247" t="s">
        <v>496</v>
      </c>
      <c r="C189" s="287"/>
      <c r="D189" s="287"/>
      <c r="E189" s="193"/>
      <c r="F189" s="287"/>
      <c r="G189" s="276"/>
    </row>
    <row r="190" spans="1:7" ht="13.5" thickBot="1">
      <c r="A190" s="786" t="s">
        <v>1164</v>
      </c>
      <c r="B190" s="248" t="s">
        <v>28</v>
      </c>
      <c r="C190" s="289">
        <f>C181+C180+C182+C183+C184+C189</f>
        <v>48349</v>
      </c>
      <c r="D190" s="289">
        <f>D181+D180+D182+D183+D184+D189</f>
        <v>2434</v>
      </c>
      <c r="E190" s="289">
        <f>E181+E180+E182+E183+E184+E189</f>
        <v>55962</v>
      </c>
      <c r="F190" s="289">
        <f>F181+F180+F182+F183+F184+F189</f>
        <v>396016</v>
      </c>
      <c r="G190" s="289">
        <f>G181+G180+G182+G183+G184+G189</f>
        <v>78</v>
      </c>
    </row>
    <row r="191" spans="1:7" ht="4.5" customHeight="1">
      <c r="A191" s="786"/>
      <c r="B191" s="249"/>
      <c r="C191" s="285"/>
      <c r="D191" s="285"/>
      <c r="E191" s="299"/>
      <c r="F191" s="285"/>
      <c r="G191" s="274"/>
    </row>
    <row r="192" spans="1:7" ht="12.75">
      <c r="A192" s="786" t="s">
        <v>1165</v>
      </c>
      <c r="B192" s="249" t="s">
        <v>504</v>
      </c>
      <c r="C192" s="282"/>
      <c r="D192" s="282"/>
      <c r="E192" s="189"/>
      <c r="F192" s="282"/>
      <c r="G192" s="272"/>
    </row>
    <row r="193" spans="1:7" ht="11.25" customHeight="1">
      <c r="A193" s="786" t="s">
        <v>1166</v>
      </c>
      <c r="B193" s="213" t="s">
        <v>29</v>
      </c>
      <c r="C193" s="282">
        <f>'33_sz_ melléklet'!C97</f>
        <v>18145</v>
      </c>
      <c r="D193" s="282"/>
      <c r="E193" s="189">
        <f>'33_sz_ melléklet'!C54</f>
        <v>175290</v>
      </c>
      <c r="F193" s="282"/>
      <c r="G193" s="272">
        <f>'33_sz_ melléklet'!C93</f>
        <v>2180195</v>
      </c>
    </row>
    <row r="194" spans="1:7" ht="12.75">
      <c r="A194" s="786" t="s">
        <v>1167</v>
      </c>
      <c r="B194" s="213" t="s">
        <v>38</v>
      </c>
      <c r="C194" s="282">
        <f>'32_sz_ melléklet'!C38</f>
        <v>30125</v>
      </c>
      <c r="D194" s="282"/>
      <c r="E194" s="189">
        <f>'32_sz_ melléklet'!C32</f>
        <v>6500</v>
      </c>
      <c r="F194" s="282"/>
      <c r="G194" s="272"/>
    </row>
    <row r="195" spans="1:7" ht="14.25" customHeight="1">
      <c r="A195" s="786" t="s">
        <v>1168</v>
      </c>
      <c r="B195" s="213" t="s">
        <v>497</v>
      </c>
      <c r="C195" s="282">
        <f>C196+C197+C198</f>
        <v>0</v>
      </c>
      <c r="D195" s="282">
        <f>D196+D197+D198</f>
        <v>0</v>
      </c>
      <c r="E195" s="282">
        <f>E196+E197+E198</f>
        <v>1323</v>
      </c>
      <c r="F195" s="282">
        <f>F196+F197+F198</f>
        <v>0</v>
      </c>
      <c r="G195" s="282">
        <f>G196+G197+G198</f>
        <v>26923</v>
      </c>
    </row>
    <row r="196" spans="1:7" ht="12.75">
      <c r="A196" s="786" t="s">
        <v>1169</v>
      </c>
      <c r="B196" s="213" t="s">
        <v>499</v>
      </c>
      <c r="C196" s="282"/>
      <c r="D196" s="282"/>
      <c r="E196" s="189">
        <f>' 8 10 sz. melléklet'!D47</f>
        <v>1323</v>
      </c>
      <c r="F196" s="282"/>
      <c r="G196" s="272"/>
    </row>
    <row r="197" spans="1:7" ht="11.25" customHeight="1">
      <c r="A197" s="786" t="s">
        <v>1170</v>
      </c>
      <c r="B197" s="213" t="s">
        <v>562</v>
      </c>
      <c r="C197" s="282"/>
      <c r="D197" s="282"/>
      <c r="E197" s="189"/>
      <c r="F197" s="282"/>
      <c r="G197" s="272">
        <f>' 8 10 sz. melléklet'!D60+' 8 10 sz. melléklet'!D61+' 8 10 sz. melléklet'!D62</f>
        <v>26923</v>
      </c>
    </row>
    <row r="198" spans="1:7" ht="12.75">
      <c r="A198" s="786" t="s">
        <v>1171</v>
      </c>
      <c r="B198" s="213" t="s">
        <v>500</v>
      </c>
      <c r="C198" s="286"/>
      <c r="D198" s="286"/>
      <c r="E198" s="300"/>
      <c r="F198" s="286"/>
      <c r="G198" s="275"/>
    </row>
    <row r="199" spans="1:7" ht="12.75">
      <c r="A199" s="786" t="s">
        <v>1173</v>
      </c>
      <c r="B199" s="213" t="s">
        <v>501</v>
      </c>
      <c r="C199" s="282"/>
      <c r="D199" s="282"/>
      <c r="E199" s="189"/>
      <c r="F199" s="282"/>
      <c r="G199" s="272"/>
    </row>
    <row r="200" spans="1:7" ht="13.5" thickBot="1">
      <c r="A200" s="786" t="s">
        <v>1174</v>
      </c>
      <c r="B200" s="247" t="s">
        <v>502</v>
      </c>
      <c r="C200" s="287">
        <f>-C183</f>
        <v>0</v>
      </c>
      <c r="D200" s="287">
        <f>-D183</f>
        <v>0</v>
      </c>
      <c r="E200" s="287">
        <f>-E183</f>
        <v>0</v>
      </c>
      <c r="F200" s="287">
        <f>-F183</f>
        <v>0</v>
      </c>
      <c r="G200" s="287">
        <f>-G183</f>
        <v>0</v>
      </c>
    </row>
    <row r="201" spans="1:7" ht="13.5" thickBot="1">
      <c r="A201" s="786" t="s">
        <v>1175</v>
      </c>
      <c r="B201" s="248" t="s">
        <v>30</v>
      </c>
      <c r="C201" s="289">
        <f>C193+C194+C195+C199+C200</f>
        <v>48270</v>
      </c>
      <c r="D201" s="289">
        <f>D193+D194+D195+D199+D200</f>
        <v>0</v>
      </c>
      <c r="E201" s="289">
        <f>E193+E194+E195+E199+E200</f>
        <v>183113</v>
      </c>
      <c r="F201" s="289">
        <f>F193+F194+F195+F199+F200</f>
        <v>0</v>
      </c>
      <c r="G201" s="289">
        <f>G193+G194+G195+G199+G200</f>
        <v>2207118</v>
      </c>
    </row>
    <row r="202" spans="1:7" ht="3.75" customHeight="1">
      <c r="A202" s="786"/>
      <c r="B202" s="268"/>
      <c r="C202" s="285"/>
      <c r="D202" s="285"/>
      <c r="E202" s="299"/>
      <c r="F202" s="285"/>
      <c r="G202" s="274"/>
    </row>
    <row r="203" spans="1:7" ht="25.5">
      <c r="A203" s="786" t="s">
        <v>1176</v>
      </c>
      <c r="B203" s="252" t="s">
        <v>505</v>
      </c>
      <c r="C203" s="286"/>
      <c r="D203" s="286"/>
      <c r="E203" s="300"/>
      <c r="F203" s="286"/>
      <c r="G203" s="275"/>
    </row>
    <row r="204" spans="1:7" ht="12.75">
      <c r="A204" s="786" t="s">
        <v>1177</v>
      </c>
      <c r="B204" s="253" t="s">
        <v>506</v>
      </c>
      <c r="C204" s="282"/>
      <c r="D204" s="282"/>
      <c r="E204" s="189"/>
      <c r="F204" s="282"/>
      <c r="G204" s="272"/>
    </row>
    <row r="205" spans="1:7" ht="12.75">
      <c r="A205" s="786" t="s">
        <v>1178</v>
      </c>
      <c r="B205" s="254" t="s">
        <v>507</v>
      </c>
      <c r="C205" s="282"/>
      <c r="D205" s="282"/>
      <c r="E205" s="189"/>
      <c r="F205" s="282"/>
      <c r="G205" s="272"/>
    </row>
    <row r="206" spans="1:7" ht="13.5" thickBot="1">
      <c r="A206" s="786" t="s">
        <v>1179</v>
      </c>
      <c r="B206" s="253" t="s">
        <v>508</v>
      </c>
      <c r="C206" s="287"/>
      <c r="D206" s="287"/>
      <c r="E206" s="193"/>
      <c r="F206" s="287"/>
      <c r="G206" s="276"/>
    </row>
    <row r="207" spans="1:7" ht="24.75" customHeight="1" thickBot="1">
      <c r="A207" s="786" t="s">
        <v>1180</v>
      </c>
      <c r="B207" s="269" t="s">
        <v>509</v>
      </c>
      <c r="C207" s="289">
        <f>C206+C205+C204</f>
        <v>0</v>
      </c>
      <c r="D207" s="289">
        <f>D206+D205+D204</f>
        <v>0</v>
      </c>
      <c r="E207" s="289">
        <f>E206+E205+E204</f>
        <v>0</v>
      </c>
      <c r="F207" s="289">
        <f>F206+F205+F204</f>
        <v>0</v>
      </c>
      <c r="G207" s="289">
        <f>G206+G205+G204</f>
        <v>0</v>
      </c>
    </row>
    <row r="208" spans="1:7" ht="6" customHeight="1" thickBot="1">
      <c r="A208" s="786"/>
      <c r="B208" s="256"/>
      <c r="C208" s="285"/>
      <c r="D208" s="285"/>
      <c r="E208" s="299"/>
      <c r="F208" s="285"/>
      <c r="G208" s="274"/>
    </row>
    <row r="209" spans="1:7" ht="12.75">
      <c r="A209" s="786" t="s">
        <v>1181</v>
      </c>
      <c r="B209" s="211" t="s">
        <v>510</v>
      </c>
      <c r="C209" s="282"/>
      <c r="D209" s="282"/>
      <c r="E209" s="189"/>
      <c r="F209" s="282"/>
      <c r="G209" s="272"/>
    </row>
    <row r="210" spans="1:7" ht="10.5" customHeight="1">
      <c r="A210" s="786" t="s">
        <v>1182</v>
      </c>
      <c r="B210" s="213" t="s">
        <v>511</v>
      </c>
      <c r="C210" s="282"/>
      <c r="D210" s="282"/>
      <c r="E210" s="189"/>
      <c r="F210" s="282"/>
      <c r="G210" s="272"/>
    </row>
    <row r="211" spans="1:7" ht="12.75" customHeight="1">
      <c r="A211" s="786" t="s">
        <v>1183</v>
      </c>
      <c r="B211" s="213" t="s">
        <v>52</v>
      </c>
      <c r="C211" s="286"/>
      <c r="D211" s="286"/>
      <c r="E211" s="300"/>
      <c r="F211" s="286"/>
      <c r="G211" s="275"/>
    </row>
    <row r="212" spans="1:7" ht="12.75">
      <c r="A212" s="786" t="s">
        <v>1184</v>
      </c>
      <c r="B212" s="213" t="s">
        <v>1288</v>
      </c>
      <c r="C212" s="282"/>
      <c r="D212" s="282"/>
      <c r="E212" s="189"/>
      <c r="F212" s="282"/>
      <c r="G212" s="272"/>
    </row>
    <row r="213" spans="1:7" ht="13.5" thickBot="1">
      <c r="A213" s="786" t="s">
        <v>1185</v>
      </c>
      <c r="B213" s="247" t="s">
        <v>513</v>
      </c>
      <c r="C213" s="304"/>
      <c r="D213" s="304"/>
      <c r="E213" s="333"/>
      <c r="F213" s="317"/>
      <c r="G213" s="318"/>
    </row>
    <row r="214" spans="1:7" ht="13.5" thickBot="1">
      <c r="A214" s="786" t="s">
        <v>1186</v>
      </c>
      <c r="B214" s="248" t="s">
        <v>516</v>
      </c>
      <c r="C214" s="335">
        <f>C213+C212+C211+C210</f>
        <v>0</v>
      </c>
      <c r="D214" s="335">
        <f>D213+D212+D211+D210</f>
        <v>0</v>
      </c>
      <c r="E214" s="335">
        <f>E213+E212+E211+E210</f>
        <v>0</v>
      </c>
      <c r="F214" s="335">
        <f>F213+F212+F211+F210</f>
        <v>0</v>
      </c>
      <c r="G214" s="335">
        <f>G213+G212+G211+G210</f>
        <v>0</v>
      </c>
    </row>
    <row r="215" spans="1:7" ht="4.5" customHeight="1" thickBot="1">
      <c r="A215" s="786"/>
      <c r="B215" s="256"/>
      <c r="C215" s="336"/>
      <c r="D215" s="336"/>
      <c r="E215" s="41"/>
      <c r="F215" s="291"/>
      <c r="G215" s="278"/>
    </row>
    <row r="216" spans="1:7" ht="26.25" thickBot="1">
      <c r="A216" s="786" t="s">
        <v>1187</v>
      </c>
      <c r="B216" s="271" t="s">
        <v>512</v>
      </c>
      <c r="C216" s="335">
        <f>C214+C207+C201+C190</f>
        <v>96619</v>
      </c>
      <c r="D216" s="335">
        <f>D214+D207+D201+D190</f>
        <v>2434</v>
      </c>
      <c r="E216" s="335">
        <f>E214+E207+E201+E190</f>
        <v>239075</v>
      </c>
      <c r="F216" s="335">
        <f>F214+F207+F201+F190</f>
        <v>396016</v>
      </c>
      <c r="G216" s="335">
        <f>G214+G207+G201+G190</f>
        <v>2207196</v>
      </c>
    </row>
    <row r="217" spans="1:7" s="26" customFormat="1" ht="6.75" customHeight="1">
      <c r="A217" s="786"/>
      <c r="B217" s="258"/>
      <c r="C217" s="334"/>
      <c r="D217" s="334"/>
      <c r="E217" s="299"/>
      <c r="F217" s="285"/>
      <c r="G217" s="274"/>
    </row>
    <row r="218" spans="1:7" ht="12.75">
      <c r="A218" s="786" t="s">
        <v>1188</v>
      </c>
      <c r="B218" s="259" t="s">
        <v>519</v>
      </c>
      <c r="C218" s="307"/>
      <c r="D218" s="307"/>
      <c r="E218" s="189"/>
      <c r="F218" s="282"/>
      <c r="G218" s="272"/>
    </row>
    <row r="219" spans="1:7" ht="12.75">
      <c r="A219" s="786" t="s">
        <v>1189</v>
      </c>
      <c r="B219" s="260" t="s">
        <v>514</v>
      </c>
      <c r="C219" s="307"/>
      <c r="D219" s="307"/>
      <c r="E219" s="189"/>
      <c r="F219" s="282"/>
      <c r="G219" s="272"/>
    </row>
    <row r="220" spans="1:7" ht="13.5" thickBot="1">
      <c r="A220" s="786" t="s">
        <v>1190</v>
      </c>
      <c r="B220" s="261" t="s">
        <v>515</v>
      </c>
      <c r="C220" s="304"/>
      <c r="D220" s="304"/>
      <c r="E220" s="193"/>
      <c r="F220" s="287"/>
      <c r="G220" s="276"/>
    </row>
    <row r="221" spans="1:7" ht="13.5" thickBot="1">
      <c r="A221" s="786" t="s">
        <v>1191</v>
      </c>
      <c r="B221" s="262" t="s">
        <v>517</v>
      </c>
      <c r="C221" s="290">
        <f>C220+C219</f>
        <v>0</v>
      </c>
      <c r="D221" s="290">
        <f>D220+D219</f>
        <v>0</v>
      </c>
      <c r="E221" s="290">
        <f>E220+E219</f>
        <v>0</v>
      </c>
      <c r="F221" s="290">
        <f>F220+F219</f>
        <v>0</v>
      </c>
      <c r="G221" s="290">
        <f>G220+G219</f>
        <v>0</v>
      </c>
    </row>
    <row r="222" spans="1:7" ht="5.25" customHeight="1">
      <c r="A222" s="786"/>
      <c r="B222" s="263"/>
      <c r="C222" s="334"/>
      <c r="D222" s="334"/>
      <c r="E222" s="299"/>
      <c r="F222" s="285"/>
      <c r="G222" s="274"/>
    </row>
    <row r="223" spans="1:7" ht="21.75">
      <c r="A223" s="786" t="s">
        <v>1192</v>
      </c>
      <c r="B223" s="341" t="s">
        <v>518</v>
      </c>
      <c r="C223" s="307"/>
      <c r="D223" s="307"/>
      <c r="E223" s="189"/>
      <c r="F223" s="282"/>
      <c r="G223" s="272"/>
    </row>
    <row r="224" spans="1:7" s="26" customFormat="1" ht="12.75">
      <c r="A224" s="786" t="s">
        <v>1193</v>
      </c>
      <c r="B224" s="327" t="s">
        <v>520</v>
      </c>
      <c r="C224" s="307"/>
      <c r="D224" s="307"/>
      <c r="E224" s="189"/>
      <c r="F224" s="282"/>
      <c r="G224" s="272"/>
    </row>
    <row r="225" spans="1:7" s="26" customFormat="1" ht="13.5" thickBot="1">
      <c r="A225" s="786" t="s">
        <v>1194</v>
      </c>
      <c r="B225" s="266" t="s">
        <v>521</v>
      </c>
      <c r="C225" s="304"/>
      <c r="D225" s="304"/>
      <c r="E225" s="193"/>
      <c r="F225" s="287"/>
      <c r="G225" s="276"/>
    </row>
    <row r="226" spans="1:7" ht="13.5" thickBot="1">
      <c r="A226" s="786" t="s">
        <v>1195</v>
      </c>
      <c r="B226" s="248" t="s">
        <v>522</v>
      </c>
      <c r="C226" s="335">
        <f>C225+C224</f>
        <v>0</v>
      </c>
      <c r="D226" s="335">
        <f>D225+D224</f>
        <v>0</v>
      </c>
      <c r="E226" s="335">
        <f>E225+E224</f>
        <v>0</v>
      </c>
      <c r="F226" s="335">
        <f>F225+F224</f>
        <v>0</v>
      </c>
      <c r="G226" s="335">
        <f>G225+G224</f>
        <v>0</v>
      </c>
    </row>
    <row r="227" spans="1:7" ht="4.5" customHeight="1" thickBot="1">
      <c r="A227" s="786"/>
      <c r="B227" s="247"/>
      <c r="C227" s="337"/>
      <c r="D227" s="337"/>
      <c r="E227" s="330"/>
      <c r="F227" s="337"/>
      <c r="G227" s="338"/>
    </row>
    <row r="228" spans="1:7" ht="15" customHeight="1" thickBot="1">
      <c r="A228" s="823" t="s">
        <v>1196</v>
      </c>
      <c r="B228" s="262" t="s">
        <v>31</v>
      </c>
      <c r="C228" s="289">
        <f>C226+C221+C216</f>
        <v>96619</v>
      </c>
      <c r="D228" s="289">
        <f>D226+D221+D216</f>
        <v>2434</v>
      </c>
      <c r="E228" s="289">
        <f>E226+E221+E216</f>
        <v>239075</v>
      </c>
      <c r="F228" s="289">
        <f>F226+F221+F216</f>
        <v>396016</v>
      </c>
      <c r="G228" s="289">
        <f>G226+G221+G216</f>
        <v>2207196</v>
      </c>
    </row>
    <row r="229" spans="1:7" ht="14.25" customHeight="1">
      <c r="A229" s="1547" t="s">
        <v>1346</v>
      </c>
      <c r="B229" s="1547"/>
      <c r="C229" s="1547"/>
      <c r="D229" s="1547"/>
      <c r="E229" s="1547"/>
      <c r="F229" s="41"/>
      <c r="G229" s="41"/>
    </row>
    <row r="230" spans="2:7" ht="12" customHeight="1">
      <c r="B230" s="1561">
        <v>5</v>
      </c>
      <c r="C230" s="1561"/>
      <c r="D230" s="1561"/>
      <c r="E230" s="1561"/>
      <c r="F230" s="1561"/>
      <c r="G230" s="1561"/>
    </row>
    <row r="231" spans="2:7" ht="12.75">
      <c r="B231" s="1561" t="s">
        <v>527</v>
      </c>
      <c r="C231" s="1561"/>
      <c r="D231" s="1561"/>
      <c r="E231" s="1561"/>
      <c r="F231" s="1561"/>
      <c r="G231" s="1561"/>
    </row>
    <row r="232" spans="2:7" ht="12.75">
      <c r="B232" s="1561" t="s">
        <v>48</v>
      </c>
      <c r="C232" s="1561"/>
      <c r="D232" s="1561"/>
      <c r="E232" s="1561"/>
      <c r="F232" s="1561"/>
      <c r="G232" s="1561"/>
    </row>
    <row r="233" spans="2:7" ht="13.5" thickBot="1">
      <c r="B233" s="1"/>
      <c r="C233" s="1"/>
      <c r="D233" s="1"/>
      <c r="E233" s="1"/>
      <c r="F233" s="31" t="s">
        <v>33</v>
      </c>
      <c r="G233" s="1"/>
    </row>
    <row r="234" spans="1:7" ht="46.5" customHeight="1">
      <c r="A234" s="1326" t="s">
        <v>1148</v>
      </c>
      <c r="B234" s="1335" t="s">
        <v>49</v>
      </c>
      <c r="C234" s="1339" t="s">
        <v>61</v>
      </c>
      <c r="D234" s="1340" t="s">
        <v>62</v>
      </c>
      <c r="E234" s="1426" t="s">
        <v>1448</v>
      </c>
      <c r="F234" s="1342" t="s">
        <v>534</v>
      </c>
      <c r="G234" s="1336" t="s">
        <v>63</v>
      </c>
    </row>
    <row r="235" spans="1:7" ht="12.75" customHeight="1">
      <c r="A235" s="1328" t="s">
        <v>1149</v>
      </c>
      <c r="B235" s="1329" t="s">
        <v>1150</v>
      </c>
      <c r="C235" s="1330" t="s">
        <v>1151</v>
      </c>
      <c r="D235" s="1331" t="s">
        <v>1152</v>
      </c>
      <c r="E235" s="1332" t="s">
        <v>1172</v>
      </c>
      <c r="F235" s="339" t="s">
        <v>1197</v>
      </c>
      <c r="G235" s="340" t="s">
        <v>1198</v>
      </c>
    </row>
    <row r="236" spans="1:7" ht="12.75">
      <c r="A236" s="789" t="s">
        <v>1153</v>
      </c>
      <c r="B236" s="256" t="s">
        <v>503</v>
      </c>
      <c r="C236" s="776"/>
      <c r="D236" s="776"/>
      <c r="E236" s="777"/>
      <c r="F236" s="776"/>
      <c r="G236" s="778"/>
    </row>
    <row r="237" spans="1:7" ht="12.75">
      <c r="A237" s="786" t="s">
        <v>1154</v>
      </c>
      <c r="B237" s="245" t="s">
        <v>24</v>
      </c>
      <c r="C237" s="282">
        <f>150-150+1838</f>
        <v>1838</v>
      </c>
      <c r="D237" s="282"/>
      <c r="E237" s="189"/>
      <c r="F237" s="282"/>
      <c r="G237" s="272">
        <f>'40_ sz_ melléklet'!E41</f>
        <v>0</v>
      </c>
    </row>
    <row r="238" spans="1:7" ht="12.75">
      <c r="A238" s="786" t="s">
        <v>1155</v>
      </c>
      <c r="B238" s="213" t="s">
        <v>25</v>
      </c>
      <c r="C238" s="282">
        <f>55+41-41+672</f>
        <v>727</v>
      </c>
      <c r="D238" s="282"/>
      <c r="E238" s="189"/>
      <c r="F238" s="282"/>
      <c r="G238" s="272">
        <f>'40_ sz_ melléklet'!E42</f>
        <v>8</v>
      </c>
    </row>
    <row r="239" spans="1:7" ht="12" customHeight="1">
      <c r="A239" s="786" t="s">
        <v>1156</v>
      </c>
      <c r="B239" s="213" t="s">
        <v>26</v>
      </c>
      <c r="C239" s="282">
        <f>11441+750-732-6049</f>
        <v>5410</v>
      </c>
      <c r="D239" s="282">
        <v>6003</v>
      </c>
      <c r="E239" s="189">
        <f>12900+1944-2110-6625+4138-86+3259-259+155</f>
        <v>13316</v>
      </c>
      <c r="F239" s="282">
        <f>53+1371</f>
        <v>1424</v>
      </c>
      <c r="G239" s="272">
        <f>'40_ sz_ melléklet'!E43</f>
        <v>513</v>
      </c>
    </row>
    <row r="240" spans="1:7" ht="12.75">
      <c r="A240" s="786" t="s">
        <v>1157</v>
      </c>
      <c r="B240" s="213" t="s">
        <v>27</v>
      </c>
      <c r="C240" s="282"/>
      <c r="D240" s="282">
        <v>-6003</v>
      </c>
      <c r="E240" s="189">
        <v>-4138</v>
      </c>
      <c r="F240" s="282"/>
      <c r="G240" s="272"/>
    </row>
    <row r="241" spans="1:7" ht="12.75">
      <c r="A241" s="786" t="s">
        <v>1158</v>
      </c>
      <c r="B241" s="213" t="s">
        <v>498</v>
      </c>
      <c r="C241" s="282">
        <f>C242+C243+C244+C245</f>
        <v>0</v>
      </c>
      <c r="D241" s="282">
        <f>D242+D243+D244+D245</f>
        <v>0</v>
      </c>
      <c r="E241" s="282">
        <f>E242+E243+E244+E245</f>
        <v>1000</v>
      </c>
      <c r="F241" s="282">
        <f>F242+F243+F244+F245</f>
        <v>73380</v>
      </c>
      <c r="G241" s="272">
        <f>G242+G243+G244+G245</f>
        <v>0</v>
      </c>
    </row>
    <row r="242" spans="1:7" ht="12.75">
      <c r="A242" s="786" t="s">
        <v>1159</v>
      </c>
      <c r="B242" s="213" t="s">
        <v>492</v>
      </c>
      <c r="C242" s="282"/>
      <c r="D242" s="282"/>
      <c r="E242" s="189"/>
      <c r="F242" s="282"/>
      <c r="G242" s="272"/>
    </row>
    <row r="243" spans="1:7" ht="12.75">
      <c r="A243" s="786" t="s">
        <v>1160</v>
      </c>
      <c r="B243" s="246" t="s">
        <v>493</v>
      </c>
      <c r="C243" s="282"/>
      <c r="D243" s="282"/>
      <c r="E243" s="189">
        <f>'6 7_sz_melléklet'!D40</f>
        <v>1000</v>
      </c>
      <c r="F243" s="282">
        <f>'6 7_sz_melléklet'!D34+'6 7_sz_melléklet'!D35+1880</f>
        <v>73380</v>
      </c>
      <c r="G243" s="272"/>
    </row>
    <row r="244" spans="1:7" ht="12.75">
      <c r="A244" s="786" t="s">
        <v>1161</v>
      </c>
      <c r="B244" s="213" t="s">
        <v>494</v>
      </c>
      <c r="C244" s="286"/>
      <c r="D244" s="286"/>
      <c r="E244" s="300"/>
      <c r="F244" s="286"/>
      <c r="G244" s="275"/>
    </row>
    <row r="245" spans="1:7" ht="12.75">
      <c r="A245" s="786" t="s">
        <v>1162</v>
      </c>
      <c r="B245" s="213" t="s">
        <v>495</v>
      </c>
      <c r="C245" s="282"/>
      <c r="D245" s="282"/>
      <c r="E245" s="189"/>
      <c r="F245" s="282"/>
      <c r="G245" s="272"/>
    </row>
    <row r="246" spans="1:7" ht="13.5" thickBot="1">
      <c r="A246" s="786" t="s">
        <v>1163</v>
      </c>
      <c r="B246" s="247" t="s">
        <v>496</v>
      </c>
      <c r="C246" s="287"/>
      <c r="D246" s="287"/>
      <c r="E246" s="193"/>
      <c r="F246" s="287"/>
      <c r="G246" s="276"/>
    </row>
    <row r="247" spans="1:7" ht="13.5" thickBot="1">
      <c r="A247" s="786" t="s">
        <v>1164</v>
      </c>
      <c r="B247" s="248" t="s">
        <v>28</v>
      </c>
      <c r="C247" s="289">
        <f>C237+C238+C239+C240+C241+C246</f>
        <v>7975</v>
      </c>
      <c r="D247" s="289">
        <f>D237+D238+D239+D240+D241+D246</f>
        <v>0</v>
      </c>
      <c r="E247" s="289">
        <f>E237+E238+E239+E240+E241+E246</f>
        <v>10178</v>
      </c>
      <c r="F247" s="289">
        <f>F237+F238+F239+F240+F241+F246</f>
        <v>74804</v>
      </c>
      <c r="G247" s="474">
        <f>G237+G238+G239+G240+G241+G246</f>
        <v>521</v>
      </c>
    </row>
    <row r="248" spans="1:7" ht="8.25" customHeight="1">
      <c r="A248" s="786"/>
      <c r="B248" s="249"/>
      <c r="C248" s="285"/>
      <c r="D248" s="285"/>
      <c r="E248" s="299"/>
      <c r="F248" s="285"/>
      <c r="G248" s="274"/>
    </row>
    <row r="249" spans="1:7" ht="12.75">
      <c r="A249" s="786" t="s">
        <v>1165</v>
      </c>
      <c r="B249" s="249" t="s">
        <v>504</v>
      </c>
      <c r="C249" s="282"/>
      <c r="D249" s="282"/>
      <c r="E249" s="189"/>
      <c r="F249" s="282"/>
      <c r="G249" s="272"/>
    </row>
    <row r="250" spans="1:7" ht="12.75">
      <c r="A250" s="786" t="s">
        <v>1166</v>
      </c>
      <c r="B250" s="213" t="s">
        <v>29</v>
      </c>
      <c r="C250" s="282"/>
      <c r="D250" s="282">
        <f>'33_sz_ melléklet'!C84</f>
        <v>1280714</v>
      </c>
      <c r="E250" s="189">
        <f>'33_sz_ melléklet'!C106</f>
        <v>250</v>
      </c>
      <c r="F250" s="282"/>
      <c r="G250" s="272"/>
    </row>
    <row r="251" spans="1:7" s="26" customFormat="1" ht="12.75">
      <c r="A251" s="786" t="s">
        <v>1167</v>
      </c>
      <c r="B251" s="213" t="s">
        <v>38</v>
      </c>
      <c r="C251" s="282"/>
      <c r="D251" s="282"/>
      <c r="E251" s="189">
        <f>'32_sz_ melléklet'!C35</f>
        <v>5000</v>
      </c>
      <c r="F251" s="282"/>
      <c r="G251" s="272"/>
    </row>
    <row r="252" spans="1:7" ht="12" customHeight="1">
      <c r="A252" s="786" t="s">
        <v>1168</v>
      </c>
      <c r="B252" s="213" t="s">
        <v>497</v>
      </c>
      <c r="C252" s="282">
        <f>C253+C254+C255</f>
        <v>0</v>
      </c>
      <c r="D252" s="282">
        <f>D253+D254+D255</f>
        <v>0</v>
      </c>
      <c r="E252" s="282">
        <f>E253+E254+E255</f>
        <v>400</v>
      </c>
      <c r="F252" s="282">
        <f>F253+F254+F255</f>
        <v>24350</v>
      </c>
      <c r="G252" s="272">
        <f>G253+G254+G255</f>
        <v>0</v>
      </c>
    </row>
    <row r="253" spans="1:7" ht="12.75">
      <c r="A253" s="786" t="s">
        <v>1169</v>
      </c>
      <c r="B253" s="213" t="s">
        <v>499</v>
      </c>
      <c r="C253" s="282"/>
      <c r="D253" s="282"/>
      <c r="E253" s="189"/>
      <c r="F253" s="282"/>
      <c r="G253" s="272"/>
    </row>
    <row r="254" spans="1:7" ht="12.75">
      <c r="A254" s="786" t="s">
        <v>1170</v>
      </c>
      <c r="B254" s="213" t="s">
        <v>562</v>
      </c>
      <c r="C254" s="282"/>
      <c r="D254" s="282"/>
      <c r="E254" s="189">
        <f>' 8 10 sz. melléklet'!D66</f>
        <v>400</v>
      </c>
      <c r="F254" s="282">
        <f>' 8 10 sz. melléklet'!D64</f>
        <v>24350</v>
      </c>
      <c r="G254" s="272"/>
    </row>
    <row r="255" spans="1:7" ht="12.75">
      <c r="A255" s="786" t="s">
        <v>1171</v>
      </c>
      <c r="B255" s="213" t="s">
        <v>500</v>
      </c>
      <c r="C255" s="286"/>
      <c r="D255" s="286"/>
      <c r="E255" s="300"/>
      <c r="F255" s="286"/>
      <c r="G255" s="275"/>
    </row>
    <row r="256" spans="1:7" ht="12.75">
      <c r="A256" s="786" t="s">
        <v>1173</v>
      </c>
      <c r="B256" s="213" t="s">
        <v>501</v>
      </c>
      <c r="C256" s="282"/>
      <c r="D256" s="282"/>
      <c r="E256" s="189"/>
      <c r="F256" s="282"/>
      <c r="G256" s="272"/>
    </row>
    <row r="257" spans="1:7" ht="13.5" thickBot="1">
      <c r="A257" s="786" t="s">
        <v>1174</v>
      </c>
      <c r="B257" s="247" t="s">
        <v>502</v>
      </c>
      <c r="C257" s="287">
        <f>-C240</f>
        <v>0</v>
      </c>
      <c r="D257" s="287">
        <f>-D240</f>
        <v>6003</v>
      </c>
      <c r="E257" s="287">
        <f>-E240</f>
        <v>4138</v>
      </c>
      <c r="F257" s="287">
        <f>-F240</f>
        <v>0</v>
      </c>
      <c r="G257" s="276">
        <f>-G240</f>
        <v>0</v>
      </c>
    </row>
    <row r="258" spans="1:7" ht="12.75" customHeight="1" thickBot="1">
      <c r="A258" s="786" t="s">
        <v>1175</v>
      </c>
      <c r="B258" s="248" t="s">
        <v>30</v>
      </c>
      <c r="C258" s="289">
        <f>C250+C251+C252+C256+C257</f>
        <v>0</v>
      </c>
      <c r="D258" s="289">
        <f>D250+D251+D252+D256+D257</f>
        <v>1286717</v>
      </c>
      <c r="E258" s="289">
        <f>E250+E251+E252+E256+E257</f>
        <v>9788</v>
      </c>
      <c r="F258" s="289">
        <f>F250+F251+F252+F256+F257</f>
        <v>24350</v>
      </c>
      <c r="G258" s="474">
        <f>G250+G251+G252+G256+G257</f>
        <v>0</v>
      </c>
    </row>
    <row r="259" spans="1:7" s="26" customFormat="1" ht="6" customHeight="1">
      <c r="A259" s="786"/>
      <c r="B259" s="268"/>
      <c r="C259" s="285"/>
      <c r="D259" s="285"/>
      <c r="E259" s="299"/>
      <c r="F259" s="285"/>
      <c r="G259" s="274"/>
    </row>
    <row r="260" spans="1:7" ht="26.25" customHeight="1">
      <c r="A260" s="786" t="s">
        <v>1176</v>
      </c>
      <c r="B260" s="252" t="s">
        <v>505</v>
      </c>
      <c r="C260" s="286"/>
      <c r="D260" s="286"/>
      <c r="E260" s="300"/>
      <c r="F260" s="286"/>
      <c r="G260" s="275"/>
    </row>
    <row r="261" spans="1:7" ht="10.5" customHeight="1">
      <c r="A261" s="786" t="s">
        <v>1177</v>
      </c>
      <c r="B261" s="253" t="s">
        <v>506</v>
      </c>
      <c r="C261" s="282"/>
      <c r="D261" s="282"/>
      <c r="E261" s="189"/>
      <c r="F261" s="282"/>
      <c r="G261" s="272"/>
    </row>
    <row r="262" spans="1:7" ht="12.75">
      <c r="A262" s="786" t="s">
        <v>1178</v>
      </c>
      <c r="B262" s="254" t="s">
        <v>507</v>
      </c>
      <c r="C262" s="282"/>
      <c r="D262" s="282"/>
      <c r="E262" s="189"/>
      <c r="F262" s="282"/>
      <c r="G262" s="272"/>
    </row>
    <row r="263" spans="1:7" ht="13.5" thickBot="1">
      <c r="A263" s="786" t="s">
        <v>1179</v>
      </c>
      <c r="B263" s="253" t="s">
        <v>508</v>
      </c>
      <c r="C263" s="287"/>
      <c r="D263" s="287"/>
      <c r="E263" s="193"/>
      <c r="F263" s="287"/>
      <c r="G263" s="276"/>
    </row>
    <row r="264" spans="1:7" s="26" customFormat="1" ht="26.25" thickBot="1">
      <c r="A264" s="786" t="s">
        <v>1180</v>
      </c>
      <c r="B264" s="269" t="s">
        <v>509</v>
      </c>
      <c r="C264" s="289">
        <f>C263+C262+C261</f>
        <v>0</v>
      </c>
      <c r="D264" s="289">
        <f>D263+D262+D261</f>
        <v>0</v>
      </c>
      <c r="E264" s="289">
        <f>E263+E262+E261</f>
        <v>0</v>
      </c>
      <c r="F264" s="289">
        <f>F263+F262+F261</f>
        <v>0</v>
      </c>
      <c r="G264" s="474">
        <f>G263+G262+G261</f>
        <v>0</v>
      </c>
    </row>
    <row r="265" spans="1:7" ht="6" customHeight="1" thickBot="1">
      <c r="A265" s="786"/>
      <c r="B265" s="256"/>
      <c r="C265" s="285"/>
      <c r="D265" s="285"/>
      <c r="E265" s="299"/>
      <c r="F265" s="285"/>
      <c r="G265" s="274"/>
    </row>
    <row r="266" spans="1:7" ht="12.75">
      <c r="A266" s="786" t="s">
        <v>1181</v>
      </c>
      <c r="B266" s="211" t="s">
        <v>510</v>
      </c>
      <c r="C266" s="282"/>
      <c r="D266" s="282"/>
      <c r="E266" s="189"/>
      <c r="F266" s="282"/>
      <c r="G266" s="272"/>
    </row>
    <row r="267" spans="1:7" ht="12.75">
      <c r="A267" s="786" t="s">
        <v>1182</v>
      </c>
      <c r="B267" s="213" t="s">
        <v>511</v>
      </c>
      <c r="C267" s="282"/>
      <c r="D267" s="282"/>
      <c r="E267" s="189"/>
      <c r="F267" s="282"/>
      <c r="G267" s="272"/>
    </row>
    <row r="268" spans="1:7" ht="12.75">
      <c r="A268" s="786" t="s">
        <v>1183</v>
      </c>
      <c r="B268" s="213" t="s">
        <v>52</v>
      </c>
      <c r="C268" s="286"/>
      <c r="D268" s="286"/>
      <c r="E268" s="300"/>
      <c r="F268" s="286"/>
      <c r="G268" s="275"/>
    </row>
    <row r="269" spans="1:7" s="26" customFormat="1" ht="12.75">
      <c r="A269" s="786" t="s">
        <v>1184</v>
      </c>
      <c r="B269" s="213" t="s">
        <v>1288</v>
      </c>
      <c r="C269" s="282"/>
      <c r="D269" s="282"/>
      <c r="E269" s="189"/>
      <c r="F269" s="282"/>
      <c r="G269" s="272"/>
    </row>
    <row r="270" spans="1:7" ht="12.75" customHeight="1" thickBot="1">
      <c r="A270" s="786" t="s">
        <v>1185</v>
      </c>
      <c r="B270" s="247" t="s">
        <v>513</v>
      </c>
      <c r="C270" s="304"/>
      <c r="D270" s="304"/>
      <c r="E270" s="333"/>
      <c r="F270" s="317"/>
      <c r="G270" s="318"/>
    </row>
    <row r="271" spans="1:7" ht="13.5" thickBot="1">
      <c r="A271" s="786" t="s">
        <v>1186</v>
      </c>
      <c r="B271" s="248" t="s">
        <v>516</v>
      </c>
      <c r="C271" s="335">
        <f>C270+C269+C268+C267</f>
        <v>0</v>
      </c>
      <c r="D271" s="335">
        <f>D270+D269+D268+D267</f>
        <v>0</v>
      </c>
      <c r="E271" s="335">
        <f>E270+E269+E268+E267</f>
        <v>0</v>
      </c>
      <c r="F271" s="335">
        <f>F270+F269+F268+F267</f>
        <v>0</v>
      </c>
      <c r="G271" s="1337">
        <f>G270+G269+G268+G267</f>
        <v>0</v>
      </c>
    </row>
    <row r="272" spans="1:7" ht="8.25" customHeight="1" thickBot="1">
      <c r="A272" s="786"/>
      <c r="B272" s="256"/>
      <c r="C272" s="336"/>
      <c r="D272" s="336"/>
      <c r="E272" s="41"/>
      <c r="F272" s="291"/>
      <c r="G272" s="278"/>
    </row>
    <row r="273" spans="1:7" s="26" customFormat="1" ht="26.25" thickBot="1">
      <c r="A273" s="786" t="s">
        <v>1187</v>
      </c>
      <c r="B273" s="271" t="s">
        <v>512</v>
      </c>
      <c r="C273" s="335">
        <f>C271+C264+C258+C247</f>
        <v>7975</v>
      </c>
      <c r="D273" s="335">
        <f>D271+D264+D258+D247</f>
        <v>1286717</v>
      </c>
      <c r="E273" s="335">
        <f>E271+E264+E258+E247</f>
        <v>19966</v>
      </c>
      <c r="F273" s="335">
        <f>F271+F264+F258+F247</f>
        <v>99154</v>
      </c>
      <c r="G273" s="1337">
        <f>G271+G264+G258+G247</f>
        <v>521</v>
      </c>
    </row>
    <row r="274" spans="1:7" ht="8.25" customHeight="1">
      <c r="A274" s="786"/>
      <c r="B274" s="258"/>
      <c r="C274" s="334"/>
      <c r="D274" s="334"/>
      <c r="E274" s="299"/>
      <c r="F274" s="285"/>
      <c r="G274" s="274"/>
    </row>
    <row r="275" spans="1:7" ht="12.75">
      <c r="A275" s="786" t="s">
        <v>1188</v>
      </c>
      <c r="B275" s="259" t="s">
        <v>519</v>
      </c>
      <c r="C275" s="307"/>
      <c r="D275" s="307"/>
      <c r="E275" s="189"/>
      <c r="F275" s="282"/>
      <c r="G275" s="272"/>
    </row>
    <row r="276" spans="1:7" ht="12.75">
      <c r="A276" s="786" t="s">
        <v>1189</v>
      </c>
      <c r="B276" s="260" t="s">
        <v>514</v>
      </c>
      <c r="C276" s="307"/>
      <c r="D276" s="307"/>
      <c r="E276" s="189"/>
      <c r="F276" s="282"/>
      <c r="G276" s="272"/>
    </row>
    <row r="277" spans="1:7" s="26" customFormat="1" ht="13.5" thickBot="1">
      <c r="A277" s="786" t="s">
        <v>1190</v>
      </c>
      <c r="B277" s="261" t="s">
        <v>515</v>
      </c>
      <c r="C277" s="304"/>
      <c r="D277" s="304"/>
      <c r="E277" s="193"/>
      <c r="F277" s="287"/>
      <c r="G277" s="276"/>
    </row>
    <row r="278" spans="1:7" ht="13.5" thickBot="1">
      <c r="A278" s="786" t="s">
        <v>1191</v>
      </c>
      <c r="B278" s="262" t="s">
        <v>517</v>
      </c>
      <c r="C278" s="290">
        <f>C277+C276</f>
        <v>0</v>
      </c>
      <c r="D278" s="290">
        <f>D277+D276</f>
        <v>0</v>
      </c>
      <c r="E278" s="290">
        <f>E277+E276</f>
        <v>0</v>
      </c>
      <c r="F278" s="290">
        <f>F277+F276</f>
        <v>0</v>
      </c>
      <c r="G278" s="1338">
        <f>G277+G276</f>
        <v>0</v>
      </c>
    </row>
    <row r="279" spans="1:7" s="26" customFormat="1" ht="4.5" customHeight="1">
      <c r="A279" s="786"/>
      <c r="B279" s="263"/>
      <c r="C279" s="334"/>
      <c r="D279" s="334"/>
      <c r="E279" s="299"/>
      <c r="F279" s="285"/>
      <c r="G279" s="274"/>
    </row>
    <row r="280" spans="1:7" ht="21.75">
      <c r="A280" s="786" t="s">
        <v>1192</v>
      </c>
      <c r="B280" s="341" t="s">
        <v>518</v>
      </c>
      <c r="C280" s="307"/>
      <c r="D280" s="307"/>
      <c r="E280" s="189"/>
      <c r="F280" s="282"/>
      <c r="G280" s="272"/>
    </row>
    <row r="281" spans="1:7" ht="12.75">
      <c r="A281" s="786" t="s">
        <v>1193</v>
      </c>
      <c r="B281" s="327" t="s">
        <v>520</v>
      </c>
      <c r="C281" s="307"/>
      <c r="D281" s="307"/>
      <c r="E281" s="189"/>
      <c r="F281" s="282"/>
      <c r="G281" s="272"/>
    </row>
    <row r="282" spans="1:7" ht="13.5" thickBot="1">
      <c r="A282" s="786" t="s">
        <v>1194</v>
      </c>
      <c r="B282" s="266" t="s">
        <v>521</v>
      </c>
      <c r="C282" s="304"/>
      <c r="D282" s="304"/>
      <c r="E282" s="193"/>
      <c r="F282" s="287"/>
      <c r="G282" s="276"/>
    </row>
    <row r="283" spans="1:7" ht="13.5" thickBot="1">
      <c r="A283" s="786" t="s">
        <v>1195</v>
      </c>
      <c r="B283" s="248" t="s">
        <v>522</v>
      </c>
      <c r="C283" s="335">
        <f>C282+C281</f>
        <v>0</v>
      </c>
      <c r="D283" s="335">
        <f>D282+D281</f>
        <v>0</v>
      </c>
      <c r="E283" s="335">
        <f>E282+E281</f>
        <v>0</v>
      </c>
      <c r="F283" s="335">
        <f>F282+F281</f>
        <v>0</v>
      </c>
      <c r="G283" s="1337">
        <f>G282+G281</f>
        <v>0</v>
      </c>
    </row>
    <row r="284" spans="1:7" s="26" customFormat="1" ht="6" customHeight="1" thickBot="1">
      <c r="A284" s="786"/>
      <c r="B284" s="247"/>
      <c r="C284" s="337"/>
      <c r="D284" s="337"/>
      <c r="E284" s="330"/>
      <c r="F284" s="337"/>
      <c r="G284" s="338"/>
    </row>
    <row r="285" spans="1:7" ht="18" customHeight="1" thickBot="1">
      <c r="A285" s="823" t="s">
        <v>1196</v>
      </c>
      <c r="B285" s="262" t="s">
        <v>31</v>
      </c>
      <c r="C285" s="289">
        <f>C283+C278+C273</f>
        <v>7975</v>
      </c>
      <c r="D285" s="289">
        <f>D283+D278+D273</f>
        <v>1286717</v>
      </c>
      <c r="E285" s="289">
        <f>E283+E278+E273</f>
        <v>19966</v>
      </c>
      <c r="F285" s="289">
        <f>F283+F278+F273</f>
        <v>99154</v>
      </c>
      <c r="G285" s="474">
        <f>G283+G278+G273</f>
        <v>521</v>
      </c>
    </row>
    <row r="286" spans="1:7" ht="14.25" customHeight="1">
      <c r="A286" s="1547" t="s">
        <v>1295</v>
      </c>
      <c r="B286" s="1547"/>
      <c r="C286" s="1547"/>
      <c r="D286" s="1547"/>
      <c r="E286" s="1547"/>
      <c r="F286" s="41"/>
      <c r="G286" s="41"/>
    </row>
    <row r="287" spans="2:7" s="26" customFormat="1" ht="12.75">
      <c r="B287" s="1561">
        <v>6</v>
      </c>
      <c r="C287" s="1561"/>
      <c r="D287" s="1561"/>
      <c r="E287" s="1561"/>
      <c r="F287" s="1561"/>
      <c r="G287" s="1561"/>
    </row>
    <row r="288" spans="2:7" s="26" customFormat="1" ht="12.75">
      <c r="B288" s="1561" t="s">
        <v>527</v>
      </c>
      <c r="C288" s="1561"/>
      <c r="D288" s="1561"/>
      <c r="E288" s="1561"/>
      <c r="F288" s="1561"/>
      <c r="G288" s="1561"/>
    </row>
    <row r="289" spans="2:7" s="26" customFormat="1" ht="12.75">
      <c r="B289" s="1561" t="s">
        <v>48</v>
      </c>
      <c r="C289" s="1561"/>
      <c r="D289" s="1561"/>
      <c r="E289" s="1561"/>
      <c r="F289" s="1561"/>
      <c r="G289" s="1561"/>
    </row>
    <row r="290" spans="2:7" s="26" customFormat="1" ht="13.5" thickBot="1">
      <c r="B290" s="1"/>
      <c r="C290" s="1"/>
      <c r="D290" s="1"/>
      <c r="E290" s="1"/>
      <c r="F290" s="31" t="s">
        <v>33</v>
      </c>
      <c r="G290" s="1"/>
    </row>
    <row r="291" spans="1:7" s="26" customFormat="1" ht="39" customHeight="1" thickBot="1">
      <c r="A291" s="830" t="s">
        <v>1148</v>
      </c>
      <c r="B291" s="362" t="s">
        <v>49</v>
      </c>
      <c r="C291" s="1301" t="s">
        <v>1528</v>
      </c>
      <c r="D291" s="314" t="s">
        <v>1212</v>
      </c>
      <c r="E291" s="1302" t="s">
        <v>1378</v>
      </c>
      <c r="F291" s="1303" t="s">
        <v>1383</v>
      </c>
      <c r="G291" s="838" t="s">
        <v>1388</v>
      </c>
    </row>
    <row r="292" spans="1:7" s="26" customFormat="1" ht="12.75">
      <c r="A292" s="825" t="s">
        <v>1149</v>
      </c>
      <c r="B292" s="869" t="s">
        <v>1150</v>
      </c>
      <c r="C292" s="870" t="s">
        <v>1151</v>
      </c>
      <c r="D292" s="871" t="s">
        <v>1152</v>
      </c>
      <c r="E292" s="872" t="s">
        <v>1172</v>
      </c>
      <c r="F292" s="834" t="s">
        <v>1197</v>
      </c>
      <c r="G292" s="834" t="s">
        <v>1198</v>
      </c>
    </row>
    <row r="293" spans="1:7" s="26" customFormat="1" ht="12.75">
      <c r="A293" s="789" t="s">
        <v>1153</v>
      </c>
      <c r="B293" s="256" t="s">
        <v>503</v>
      </c>
      <c r="C293" s="776"/>
      <c r="D293" s="776"/>
      <c r="E293" s="777"/>
      <c r="F293" s="776"/>
      <c r="G293" s="778"/>
    </row>
    <row r="294" spans="1:7" s="26" customFormat="1" ht="12.75">
      <c r="A294" s="786" t="s">
        <v>1154</v>
      </c>
      <c r="B294" s="245" t="s">
        <v>24</v>
      </c>
      <c r="C294" s="282"/>
      <c r="D294" s="282">
        <f>379+987+2613</f>
        <v>3979</v>
      </c>
      <c r="E294" s="189">
        <v>50</v>
      </c>
      <c r="F294" s="282"/>
      <c r="G294" s="272"/>
    </row>
    <row r="295" spans="1:7" s="26" customFormat="1" ht="12.75">
      <c r="A295" s="786" t="s">
        <v>1155</v>
      </c>
      <c r="B295" s="213" t="s">
        <v>25</v>
      </c>
      <c r="C295" s="282"/>
      <c r="D295" s="282">
        <f>292+267+607</f>
        <v>1166</v>
      </c>
      <c r="E295" s="189">
        <v>14</v>
      </c>
      <c r="F295" s="282"/>
      <c r="G295" s="272"/>
    </row>
    <row r="296" spans="1:7" s="26" customFormat="1" ht="12.75">
      <c r="A296" s="786" t="s">
        <v>1156</v>
      </c>
      <c r="B296" s="213" t="s">
        <v>26</v>
      </c>
      <c r="C296" s="282">
        <v>2</v>
      </c>
      <c r="D296" s="282">
        <f>99+16+1698+1921+1454</f>
        <v>5188</v>
      </c>
      <c r="E296" s="189">
        <v>3</v>
      </c>
      <c r="F296" s="282"/>
      <c r="G296" s="272">
        <f>1105+172</f>
        <v>1277</v>
      </c>
    </row>
    <row r="297" spans="1:7" s="26" customFormat="1" ht="12.75">
      <c r="A297" s="786" t="s">
        <v>1157</v>
      </c>
      <c r="B297" s="213" t="s">
        <v>27</v>
      </c>
      <c r="C297" s="282"/>
      <c r="D297" s="282"/>
      <c r="E297" s="189"/>
      <c r="F297" s="282"/>
      <c r="G297" s="272"/>
    </row>
    <row r="298" spans="1:7" s="26" customFormat="1" ht="12.75">
      <c r="A298" s="786" t="s">
        <v>1158</v>
      </c>
      <c r="B298" s="213" t="s">
        <v>498</v>
      </c>
      <c r="C298" s="282">
        <f>C299+C300+C301+C302</f>
        <v>0</v>
      </c>
      <c r="D298" s="282">
        <f>D299+D300+D301+D302</f>
        <v>0</v>
      </c>
      <c r="E298" s="282">
        <f>E299+E300+E301+E302</f>
        <v>0</v>
      </c>
      <c r="F298" s="282">
        <f>F299+F300+F301+F302</f>
        <v>600</v>
      </c>
      <c r="G298" s="282">
        <f>G299+G300+G301+G302</f>
        <v>0</v>
      </c>
    </row>
    <row r="299" spans="1:7" s="26" customFormat="1" ht="12.75">
      <c r="A299" s="786" t="s">
        <v>1159</v>
      </c>
      <c r="B299" s="213" t="s">
        <v>492</v>
      </c>
      <c r="C299" s="282"/>
      <c r="D299" s="282"/>
      <c r="E299" s="189"/>
      <c r="F299" s="282"/>
      <c r="G299" s="272"/>
    </row>
    <row r="300" spans="1:7" s="26" customFormat="1" ht="12.75">
      <c r="A300" s="786" t="s">
        <v>1160</v>
      </c>
      <c r="B300" s="246" t="s">
        <v>493</v>
      </c>
      <c r="C300" s="282"/>
      <c r="D300" s="282"/>
      <c r="E300" s="189"/>
      <c r="F300" s="282">
        <f>'6 7_sz_melléklet'!D41</f>
        <v>600</v>
      </c>
      <c r="G300" s="272"/>
    </row>
    <row r="301" spans="1:7" s="26" customFormat="1" ht="12.75">
      <c r="A301" s="786" t="s">
        <v>1161</v>
      </c>
      <c r="B301" s="213" t="s">
        <v>494</v>
      </c>
      <c r="C301" s="286"/>
      <c r="D301" s="286"/>
      <c r="E301" s="300"/>
      <c r="F301" s="286"/>
      <c r="G301" s="275"/>
    </row>
    <row r="302" spans="1:7" s="26" customFormat="1" ht="12.75">
      <c r="A302" s="786" t="s">
        <v>1162</v>
      </c>
      <c r="B302" s="213" t="s">
        <v>495</v>
      </c>
      <c r="C302" s="282"/>
      <c r="D302" s="282"/>
      <c r="E302" s="189"/>
      <c r="F302" s="282"/>
      <c r="G302" s="272"/>
    </row>
    <row r="303" spans="1:7" s="26" customFormat="1" ht="13.5" thickBot="1">
      <c r="A303" s="786" t="s">
        <v>1163</v>
      </c>
      <c r="B303" s="247" t="s">
        <v>496</v>
      </c>
      <c r="C303" s="287"/>
      <c r="D303" s="287"/>
      <c r="E303" s="193"/>
      <c r="F303" s="287"/>
      <c r="G303" s="276"/>
    </row>
    <row r="304" spans="1:7" s="26" customFormat="1" ht="15.75" customHeight="1" thickBot="1">
      <c r="A304" s="786" t="s">
        <v>1164</v>
      </c>
      <c r="B304" s="248" t="s">
        <v>28</v>
      </c>
      <c r="C304" s="289">
        <f>C294+C295+C296+C297+C298+C303</f>
        <v>2</v>
      </c>
      <c r="D304" s="289">
        <f>D294+D295+D296+D297+D298+D303</f>
        <v>10333</v>
      </c>
      <c r="E304" s="289">
        <f>E294+E295+E296+E297+E298+E303</f>
        <v>67</v>
      </c>
      <c r="F304" s="289">
        <f>F294+F295+F296+F297+F298+F303</f>
        <v>600</v>
      </c>
      <c r="G304" s="289">
        <f>G294+G295+G296+G297+G298+G303</f>
        <v>1277</v>
      </c>
    </row>
    <row r="305" spans="1:7" s="26" customFormat="1" ht="6" customHeight="1">
      <c r="A305" s="786"/>
      <c r="B305" s="249"/>
      <c r="C305" s="285"/>
      <c r="D305" s="285"/>
      <c r="E305" s="299"/>
      <c r="F305" s="285"/>
      <c r="G305" s="274"/>
    </row>
    <row r="306" spans="1:7" s="26" customFormat="1" ht="12.75">
      <c r="A306" s="786" t="s">
        <v>1165</v>
      </c>
      <c r="B306" s="249" t="s">
        <v>504</v>
      </c>
      <c r="C306" s="282"/>
      <c r="D306" s="282"/>
      <c r="E306" s="189"/>
      <c r="F306" s="282"/>
      <c r="G306" s="272"/>
    </row>
    <row r="307" spans="1:7" s="26" customFormat="1" ht="12.75">
      <c r="A307" s="786" t="s">
        <v>1166</v>
      </c>
      <c r="B307" s="213" t="s">
        <v>29</v>
      </c>
      <c r="C307" s="282">
        <f>'33_sz_ melléklet'!C66+'33_sz_ melléklet'!C103</f>
        <v>122448</v>
      </c>
      <c r="D307" s="282">
        <f>'33_sz_ melléklet'!C69</f>
        <v>2700</v>
      </c>
      <c r="E307" s="189"/>
      <c r="F307" s="282"/>
      <c r="G307" s="272"/>
    </row>
    <row r="308" spans="1:7" s="26" customFormat="1" ht="12.75">
      <c r="A308" s="786" t="s">
        <v>1167</v>
      </c>
      <c r="B308" s="213" t="s">
        <v>38</v>
      </c>
      <c r="C308" s="282"/>
      <c r="D308" s="282"/>
      <c r="E308" s="189"/>
      <c r="F308" s="282"/>
      <c r="G308" s="272"/>
    </row>
    <row r="309" spans="1:7" s="26" customFormat="1" ht="12.75">
      <c r="A309" s="786" t="s">
        <v>1168</v>
      </c>
      <c r="B309" s="213" t="s">
        <v>497</v>
      </c>
      <c r="C309" s="282">
        <f>C310+C311+C312</f>
        <v>0</v>
      </c>
      <c r="D309" s="282">
        <f>D310+D311+D312</f>
        <v>0</v>
      </c>
      <c r="E309" s="282">
        <f>E310+E311+E312</f>
        <v>0</v>
      </c>
      <c r="F309" s="282">
        <f>F310+F311+F312</f>
        <v>600</v>
      </c>
      <c r="G309" s="282">
        <f>G310+G311+G312</f>
        <v>0</v>
      </c>
    </row>
    <row r="310" spans="1:7" s="26" customFormat="1" ht="12.75">
      <c r="A310" s="786" t="s">
        <v>1169</v>
      </c>
      <c r="B310" s="213" t="s">
        <v>499</v>
      </c>
      <c r="C310" s="282"/>
      <c r="D310" s="282"/>
      <c r="E310" s="189"/>
      <c r="F310" s="282"/>
      <c r="G310" s="272"/>
    </row>
    <row r="311" spans="1:7" s="26" customFormat="1" ht="12.75">
      <c r="A311" s="786" t="s">
        <v>1170</v>
      </c>
      <c r="B311" s="213" t="s">
        <v>562</v>
      </c>
      <c r="C311" s="282"/>
      <c r="D311" s="282"/>
      <c r="E311" s="189">
        <f>' 8 10 sz. melléklet'!D125</f>
        <v>0</v>
      </c>
      <c r="F311" s="282">
        <f>' 8 10 sz. melléklet'!D68</f>
        <v>600</v>
      </c>
      <c r="G311" s="272"/>
    </row>
    <row r="312" spans="1:7" s="26" customFormat="1" ht="12.75">
      <c r="A312" s="786" t="s">
        <v>1171</v>
      </c>
      <c r="B312" s="213" t="s">
        <v>500</v>
      </c>
      <c r="C312" s="286"/>
      <c r="D312" s="286"/>
      <c r="E312" s="300"/>
      <c r="F312" s="286"/>
      <c r="G312" s="275"/>
    </row>
    <row r="313" spans="1:7" s="26" customFormat="1" ht="12.75">
      <c r="A313" s="786" t="s">
        <v>1173</v>
      </c>
      <c r="B313" s="213" t="s">
        <v>501</v>
      </c>
      <c r="C313" s="282"/>
      <c r="D313" s="282"/>
      <c r="E313" s="189"/>
      <c r="F313" s="282"/>
      <c r="G313" s="272"/>
    </row>
    <row r="314" spans="1:7" s="26" customFormat="1" ht="13.5" thickBot="1">
      <c r="A314" s="786" t="s">
        <v>1174</v>
      </c>
      <c r="B314" s="247" t="s">
        <v>502</v>
      </c>
      <c r="C314" s="287">
        <f>-C297</f>
        <v>0</v>
      </c>
      <c r="D314" s="287">
        <f>-D297</f>
        <v>0</v>
      </c>
      <c r="E314" s="287">
        <f>-E297</f>
        <v>0</v>
      </c>
      <c r="F314" s="287">
        <f>-F297</f>
        <v>0</v>
      </c>
      <c r="G314" s="287">
        <f>-G297</f>
        <v>0</v>
      </c>
    </row>
    <row r="315" spans="1:7" s="26" customFormat="1" ht="13.5" customHeight="1" thickBot="1">
      <c r="A315" s="786" t="s">
        <v>1175</v>
      </c>
      <c r="B315" s="248" t="s">
        <v>30</v>
      </c>
      <c r="C315" s="289">
        <f>C307+C308+C309+C313+C314</f>
        <v>122448</v>
      </c>
      <c r="D315" s="289">
        <f>D307+D308+D309+D313+D314</f>
        <v>2700</v>
      </c>
      <c r="E315" s="289">
        <f>E307+E308+E309+E313+E314</f>
        <v>0</v>
      </c>
      <c r="F315" s="289">
        <f>F307+F308+F309+F313+F314</f>
        <v>600</v>
      </c>
      <c r="G315" s="289">
        <f>G307+G308+G309+G313+G314</f>
        <v>0</v>
      </c>
    </row>
    <row r="316" spans="1:7" s="26" customFormat="1" ht="7.5" customHeight="1">
      <c r="A316" s="786"/>
      <c r="B316" s="268"/>
      <c r="C316" s="285"/>
      <c r="D316" s="285"/>
      <c r="E316" s="299"/>
      <c r="F316" s="285"/>
      <c r="G316" s="274"/>
    </row>
    <row r="317" spans="1:7" s="26" customFormat="1" ht="25.5">
      <c r="A317" s="786" t="s">
        <v>1176</v>
      </c>
      <c r="B317" s="252" t="s">
        <v>505</v>
      </c>
      <c r="C317" s="286"/>
      <c r="D317" s="286"/>
      <c r="E317" s="300"/>
      <c r="F317" s="286"/>
      <c r="G317" s="275"/>
    </row>
    <row r="318" spans="1:7" s="26" customFormat="1" ht="12.75">
      <c r="A318" s="786" t="s">
        <v>1177</v>
      </c>
      <c r="B318" s="253" t="s">
        <v>506</v>
      </c>
      <c r="C318" s="282"/>
      <c r="D318" s="282"/>
      <c r="E318" s="189"/>
      <c r="F318" s="282"/>
      <c r="G318" s="272"/>
    </row>
    <row r="319" spans="1:7" s="26" customFormat="1" ht="12.75">
      <c r="A319" s="786" t="s">
        <v>1178</v>
      </c>
      <c r="B319" s="254" t="s">
        <v>507</v>
      </c>
      <c r="C319" s="282"/>
      <c r="D319" s="282"/>
      <c r="E319" s="189"/>
      <c r="F319" s="282"/>
      <c r="G319" s="272"/>
    </row>
    <row r="320" spans="1:7" s="26" customFormat="1" ht="13.5" thickBot="1">
      <c r="A320" s="786" t="s">
        <v>1179</v>
      </c>
      <c r="B320" s="253" t="s">
        <v>508</v>
      </c>
      <c r="C320" s="287"/>
      <c r="D320" s="287"/>
      <c r="E320" s="193"/>
      <c r="F320" s="287"/>
      <c r="G320" s="276"/>
    </row>
    <row r="321" spans="1:7" s="26" customFormat="1" ht="27.75" customHeight="1" thickBot="1">
      <c r="A321" s="786" t="s">
        <v>1180</v>
      </c>
      <c r="B321" s="269" t="s">
        <v>509</v>
      </c>
      <c r="C321" s="289">
        <f>C320+C319+C318</f>
        <v>0</v>
      </c>
      <c r="D321" s="289">
        <f>D320+D319+D318</f>
        <v>0</v>
      </c>
      <c r="E321" s="289">
        <f>E320+E319+E318</f>
        <v>0</v>
      </c>
      <c r="F321" s="289">
        <f>F320+F319+F318</f>
        <v>0</v>
      </c>
      <c r="G321" s="289">
        <f>G320+G319+G318</f>
        <v>0</v>
      </c>
    </row>
    <row r="322" spans="1:7" s="26" customFormat="1" ht="5.25" customHeight="1" thickBot="1">
      <c r="A322" s="786"/>
      <c r="B322" s="256"/>
      <c r="C322" s="285"/>
      <c r="D322" s="285"/>
      <c r="E322" s="299"/>
      <c r="F322" s="285"/>
      <c r="G322" s="274"/>
    </row>
    <row r="323" spans="1:7" s="26" customFormat="1" ht="12.75">
      <c r="A323" s="786" t="s">
        <v>1181</v>
      </c>
      <c r="B323" s="211" t="s">
        <v>510</v>
      </c>
      <c r="C323" s="282"/>
      <c r="D323" s="282"/>
      <c r="E323" s="189"/>
      <c r="F323" s="282"/>
      <c r="G323" s="272"/>
    </row>
    <row r="324" spans="1:7" s="26" customFormat="1" ht="12.75">
      <c r="A324" s="786" t="s">
        <v>1182</v>
      </c>
      <c r="B324" s="213" t="s">
        <v>511</v>
      </c>
      <c r="C324" s="282"/>
      <c r="D324" s="282"/>
      <c r="E324" s="189"/>
      <c r="F324" s="282"/>
      <c r="G324" s="272"/>
    </row>
    <row r="325" spans="1:7" s="26" customFormat="1" ht="12.75">
      <c r="A325" s="786" t="s">
        <v>1183</v>
      </c>
      <c r="B325" s="213" t="s">
        <v>52</v>
      </c>
      <c r="C325" s="286"/>
      <c r="D325" s="286"/>
      <c r="E325" s="300"/>
      <c r="F325" s="286"/>
      <c r="G325" s="275"/>
    </row>
    <row r="326" spans="1:7" s="26" customFormat="1" ht="12.75">
      <c r="A326" s="786" t="s">
        <v>1184</v>
      </c>
      <c r="B326" s="213" t="s">
        <v>1288</v>
      </c>
      <c r="C326" s="282"/>
      <c r="D326" s="282"/>
      <c r="E326" s="189"/>
      <c r="F326" s="282"/>
      <c r="G326" s="272"/>
    </row>
    <row r="327" spans="1:7" s="26" customFormat="1" ht="13.5" thickBot="1">
      <c r="A327" s="786" t="s">
        <v>1185</v>
      </c>
      <c r="B327" s="247" t="s">
        <v>513</v>
      </c>
      <c r="C327" s="304"/>
      <c r="D327" s="304"/>
      <c r="E327" s="333"/>
      <c r="F327" s="317"/>
      <c r="G327" s="318"/>
    </row>
    <row r="328" spans="1:7" s="26" customFormat="1" ht="17.25" customHeight="1" thickBot="1">
      <c r="A328" s="786" t="s">
        <v>1186</v>
      </c>
      <c r="B328" s="248" t="s">
        <v>516</v>
      </c>
      <c r="C328" s="335">
        <f>C327+C326+C325+C324</f>
        <v>0</v>
      </c>
      <c r="D328" s="335">
        <f>D327+D326+D325+D324</f>
        <v>0</v>
      </c>
      <c r="E328" s="335">
        <f>E327+E326+E325+E324</f>
        <v>0</v>
      </c>
      <c r="F328" s="335">
        <f>F327+F326+F325+F324</f>
        <v>0</v>
      </c>
      <c r="G328" s="335">
        <f>G327+G326+G325+G324</f>
        <v>0</v>
      </c>
    </row>
    <row r="329" spans="1:7" s="26" customFormat="1" ht="6" customHeight="1" thickBot="1">
      <c r="A329" s="786"/>
      <c r="B329" s="256"/>
      <c r="C329" s="336"/>
      <c r="D329" s="336"/>
      <c r="E329" s="41"/>
      <c r="F329" s="291"/>
      <c r="G329" s="278"/>
    </row>
    <row r="330" spans="1:7" s="26" customFormat="1" ht="25.5" customHeight="1" thickBot="1">
      <c r="A330" s="786" t="s">
        <v>1187</v>
      </c>
      <c r="B330" s="271" t="s">
        <v>512</v>
      </c>
      <c r="C330" s="335">
        <f>C328+C321+C315+C304</f>
        <v>122450</v>
      </c>
      <c r="D330" s="335">
        <f>D328+D321+D315+D304</f>
        <v>13033</v>
      </c>
      <c r="E330" s="335">
        <f>E328+E321+E315+E304</f>
        <v>67</v>
      </c>
      <c r="F330" s="335">
        <f>F328+F321+F315+F304</f>
        <v>1200</v>
      </c>
      <c r="G330" s="335">
        <f>G328+G321+G315+G304</f>
        <v>1277</v>
      </c>
    </row>
    <row r="331" spans="1:7" s="26" customFormat="1" ht="4.5" customHeight="1">
      <c r="A331" s="786"/>
      <c r="B331" s="258"/>
      <c r="C331" s="334"/>
      <c r="D331" s="334"/>
      <c r="E331" s="299"/>
      <c r="F331" s="285"/>
      <c r="G331" s="274"/>
    </row>
    <row r="332" spans="1:7" s="26" customFormat="1" ht="12.75">
      <c r="A332" s="786" t="s">
        <v>1188</v>
      </c>
      <c r="B332" s="259" t="s">
        <v>519</v>
      </c>
      <c r="C332" s="307"/>
      <c r="D332" s="307"/>
      <c r="E332" s="189"/>
      <c r="F332" s="282"/>
      <c r="G332" s="272"/>
    </row>
    <row r="333" spans="1:7" s="26" customFormat="1" ht="12.75">
      <c r="A333" s="786" t="s">
        <v>1189</v>
      </c>
      <c r="B333" s="260" t="s">
        <v>514</v>
      </c>
      <c r="C333" s="307"/>
      <c r="D333" s="307"/>
      <c r="E333" s="189"/>
      <c r="F333" s="282"/>
      <c r="G333" s="272"/>
    </row>
    <row r="334" spans="1:7" s="26" customFormat="1" ht="13.5" thickBot="1">
      <c r="A334" s="786" t="s">
        <v>1190</v>
      </c>
      <c r="B334" s="261" t="s">
        <v>515</v>
      </c>
      <c r="C334" s="304"/>
      <c r="D334" s="304"/>
      <c r="E334" s="193"/>
      <c r="F334" s="287"/>
      <c r="G334" s="276"/>
    </row>
    <row r="335" spans="1:7" s="26" customFormat="1" ht="18" customHeight="1" thickBot="1">
      <c r="A335" s="786" t="s">
        <v>1191</v>
      </c>
      <c r="B335" s="262" t="s">
        <v>517</v>
      </c>
      <c r="C335" s="290">
        <f>C334+C333</f>
        <v>0</v>
      </c>
      <c r="D335" s="290">
        <f>D334+D333</f>
        <v>0</v>
      </c>
      <c r="E335" s="290">
        <f>E334+E333</f>
        <v>0</v>
      </c>
      <c r="F335" s="290">
        <f>F334+F333</f>
        <v>0</v>
      </c>
      <c r="G335" s="290">
        <f>G334+G333</f>
        <v>0</v>
      </c>
    </row>
    <row r="336" spans="1:7" s="26" customFormat="1" ht="4.5" customHeight="1">
      <c r="A336" s="786"/>
      <c r="B336" s="263"/>
      <c r="C336" s="334"/>
      <c r="D336" s="334"/>
      <c r="E336" s="299"/>
      <c r="F336" s="285"/>
      <c r="G336" s="274"/>
    </row>
    <row r="337" spans="1:7" s="26" customFormat="1" ht="21.75">
      <c r="A337" s="786" t="s">
        <v>1192</v>
      </c>
      <c r="B337" s="341" t="s">
        <v>518</v>
      </c>
      <c r="C337" s="307"/>
      <c r="D337" s="307"/>
      <c r="E337" s="189"/>
      <c r="F337" s="282"/>
      <c r="G337" s="272"/>
    </row>
    <row r="338" spans="1:7" s="26" customFormat="1" ht="12.75">
      <c r="A338" s="786" t="s">
        <v>1193</v>
      </c>
      <c r="B338" s="327" t="s">
        <v>520</v>
      </c>
      <c r="C338" s="307"/>
      <c r="D338" s="307"/>
      <c r="E338" s="189"/>
      <c r="F338" s="282"/>
      <c r="G338" s="272"/>
    </row>
    <row r="339" spans="1:7" s="26" customFormat="1" ht="13.5" thickBot="1">
      <c r="A339" s="786" t="s">
        <v>1194</v>
      </c>
      <c r="B339" s="266" t="s">
        <v>521</v>
      </c>
      <c r="C339" s="304"/>
      <c r="D339" s="304"/>
      <c r="E339" s="193"/>
      <c r="F339" s="287"/>
      <c r="G339" s="276"/>
    </row>
    <row r="340" spans="1:7" s="26" customFormat="1" ht="12.75" customHeight="1" thickBot="1">
      <c r="A340" s="786" t="s">
        <v>1195</v>
      </c>
      <c r="B340" s="248" t="s">
        <v>522</v>
      </c>
      <c r="C340" s="335">
        <f>C339+C338</f>
        <v>0</v>
      </c>
      <c r="D340" s="335">
        <f>D339+D338</f>
        <v>0</v>
      </c>
      <c r="E340" s="335">
        <f>E339+E338</f>
        <v>0</v>
      </c>
      <c r="F340" s="335">
        <f>F339+F338</f>
        <v>0</v>
      </c>
      <c r="G340" s="335">
        <f>G339+G338</f>
        <v>0</v>
      </c>
    </row>
    <row r="341" spans="1:7" s="26" customFormat="1" ht="7.5" customHeight="1" thickBot="1">
      <c r="A341" s="786"/>
      <c r="B341" s="248"/>
      <c r="C341" s="335"/>
      <c r="D341" s="335"/>
      <c r="E341" s="335"/>
      <c r="F341" s="335"/>
      <c r="G341" s="335"/>
    </row>
    <row r="342" spans="1:7" s="26" customFormat="1" ht="14.25" customHeight="1" thickBot="1">
      <c r="A342" s="1343" t="s">
        <v>1196</v>
      </c>
      <c r="B342" s="262" t="s">
        <v>31</v>
      </c>
      <c r="C342" s="289">
        <f>C340+C335+C330</f>
        <v>122450</v>
      </c>
      <c r="D342" s="289">
        <f>D340+D335+D330</f>
        <v>13033</v>
      </c>
      <c r="E342" s="289">
        <f>E340+E335+E330</f>
        <v>67</v>
      </c>
      <c r="F342" s="289">
        <f>F340+F335+F330</f>
        <v>1200</v>
      </c>
      <c r="G342" s="289">
        <f>G340+G335+G330</f>
        <v>1277</v>
      </c>
    </row>
    <row r="343" spans="1:7" s="26" customFormat="1" ht="14.25" customHeight="1">
      <c r="A343" s="1547" t="s">
        <v>1295</v>
      </c>
      <c r="B343" s="1547"/>
      <c r="C343" s="1547"/>
      <c r="D343" s="1547"/>
      <c r="E343" s="1547"/>
      <c r="F343" s="41"/>
      <c r="G343" s="41"/>
    </row>
    <row r="344" spans="2:7" s="26" customFormat="1" ht="11.25" customHeight="1">
      <c r="B344" s="1561">
        <v>7</v>
      </c>
      <c r="C344" s="1561"/>
      <c r="D344" s="1561"/>
      <c r="E344" s="1561"/>
      <c r="F344" s="1561"/>
      <c r="G344" s="1561"/>
    </row>
    <row r="345" spans="2:7" s="26" customFormat="1" ht="14.25" customHeight="1">
      <c r="B345" s="1561" t="s">
        <v>527</v>
      </c>
      <c r="C345" s="1561"/>
      <c r="D345" s="1561"/>
      <c r="E345" s="1561"/>
      <c r="F345" s="1561"/>
      <c r="G345" s="1561"/>
    </row>
    <row r="346" spans="2:7" s="26" customFormat="1" ht="14.25" customHeight="1">
      <c r="B346" s="1561" t="s">
        <v>48</v>
      </c>
      <c r="C346" s="1561"/>
      <c r="D346" s="1561"/>
      <c r="E346" s="1561"/>
      <c r="F346" s="1561"/>
      <c r="G346" s="1561"/>
    </row>
    <row r="347" spans="2:7" s="26" customFormat="1" ht="14.25" customHeight="1" thickBot="1">
      <c r="B347" s="1"/>
      <c r="C347" s="1"/>
      <c r="D347" s="1"/>
      <c r="E347" s="1"/>
      <c r="F347" s="31" t="s">
        <v>33</v>
      </c>
      <c r="G347" s="1"/>
    </row>
    <row r="348" spans="1:7" s="26" customFormat="1" ht="39.75" customHeight="1" thickBot="1">
      <c r="A348" s="830" t="s">
        <v>1148</v>
      </c>
      <c r="B348" s="362" t="s">
        <v>49</v>
      </c>
      <c r="C348" s="314" t="s">
        <v>1427</v>
      </c>
      <c r="D348" s="314" t="s">
        <v>1513</v>
      </c>
      <c r="E348" s="1302" t="s">
        <v>1514</v>
      </c>
      <c r="F348" s="1303" t="s">
        <v>1516</v>
      </c>
      <c r="G348" s="838" t="s">
        <v>1517</v>
      </c>
    </row>
    <row r="349" spans="1:7" s="26" customFormat="1" ht="14.25" customHeight="1">
      <c r="A349" s="825" t="s">
        <v>1149</v>
      </c>
      <c r="B349" s="1327" t="s">
        <v>1150</v>
      </c>
      <c r="C349" s="869" t="s">
        <v>1151</v>
      </c>
      <c r="D349" s="871" t="s">
        <v>1152</v>
      </c>
      <c r="E349" s="872" t="s">
        <v>1172</v>
      </c>
      <c r="F349" s="834" t="s">
        <v>1197</v>
      </c>
      <c r="G349" s="834" t="s">
        <v>1198</v>
      </c>
    </row>
    <row r="350" spans="1:7" s="26" customFormat="1" ht="14.25" customHeight="1">
      <c r="A350" s="789" t="s">
        <v>1153</v>
      </c>
      <c r="B350" s="256" t="s">
        <v>503</v>
      </c>
      <c r="C350" s="776"/>
      <c r="D350" s="776"/>
      <c r="E350" s="777"/>
      <c r="F350" s="776"/>
      <c r="G350" s="778"/>
    </row>
    <row r="351" spans="1:7" s="26" customFormat="1" ht="14.25" customHeight="1">
      <c r="A351" s="786" t="s">
        <v>1154</v>
      </c>
      <c r="B351" s="245" t="s">
        <v>24</v>
      </c>
      <c r="C351" s="282">
        <f>5534+1944</f>
        <v>7478</v>
      </c>
      <c r="D351" s="282"/>
      <c r="E351" s="189"/>
      <c r="F351" s="282"/>
      <c r="G351" s="272"/>
    </row>
    <row r="352" spans="1:7" s="26" customFormat="1" ht="14.25" customHeight="1">
      <c r="A352" s="786" t="s">
        <v>1155</v>
      </c>
      <c r="B352" s="213" t="s">
        <v>25</v>
      </c>
      <c r="C352" s="282">
        <f>1494+323</f>
        <v>1817</v>
      </c>
      <c r="D352" s="282"/>
      <c r="E352" s="189"/>
      <c r="F352" s="282"/>
      <c r="G352" s="272"/>
    </row>
    <row r="353" spans="1:7" s="26" customFormat="1" ht="14.25" customHeight="1">
      <c r="A353" s="786" t="s">
        <v>1156</v>
      </c>
      <c r="B353" s="213" t="s">
        <v>26</v>
      </c>
      <c r="C353" s="282">
        <v>500</v>
      </c>
      <c r="D353" s="282">
        <v>156</v>
      </c>
      <c r="E353" s="189">
        <v>21989</v>
      </c>
      <c r="F353" s="282">
        <v>150</v>
      </c>
      <c r="G353" s="272"/>
    </row>
    <row r="354" spans="1:7" s="26" customFormat="1" ht="14.25" customHeight="1">
      <c r="A354" s="786" t="s">
        <v>1157</v>
      </c>
      <c r="B354" s="213" t="s">
        <v>27</v>
      </c>
      <c r="C354" s="282"/>
      <c r="D354" s="282"/>
      <c r="E354" s="189"/>
      <c r="F354" s="282"/>
      <c r="G354" s="272"/>
    </row>
    <row r="355" spans="1:7" s="26" customFormat="1" ht="14.25" customHeight="1">
      <c r="A355" s="786" t="s">
        <v>1158</v>
      </c>
      <c r="B355" s="213" t="s">
        <v>498</v>
      </c>
      <c r="C355" s="282">
        <f>C356+C357+C358+C359</f>
        <v>0</v>
      </c>
      <c r="D355" s="282">
        <f>D356+D357+D358+D359</f>
        <v>0</v>
      </c>
      <c r="E355" s="282">
        <f>E356+E357+E358+E359</f>
        <v>0</v>
      </c>
      <c r="F355" s="282">
        <f>F356+F357+F358+F359</f>
        <v>0</v>
      </c>
      <c r="G355" s="282">
        <f>G356+G357+G358+G359</f>
        <v>12728</v>
      </c>
    </row>
    <row r="356" spans="1:7" s="26" customFormat="1" ht="14.25" customHeight="1">
      <c r="A356" s="786" t="s">
        <v>1159</v>
      </c>
      <c r="B356" s="213" t="s">
        <v>492</v>
      </c>
      <c r="C356" s="282"/>
      <c r="D356" s="282"/>
      <c r="E356" s="189"/>
      <c r="F356" s="282"/>
      <c r="G356" s="272"/>
    </row>
    <row r="357" spans="1:7" s="26" customFormat="1" ht="14.25" customHeight="1">
      <c r="A357" s="786" t="s">
        <v>1160</v>
      </c>
      <c r="B357" s="246" t="s">
        <v>493</v>
      </c>
      <c r="C357" s="282"/>
      <c r="D357" s="282"/>
      <c r="E357" s="189"/>
      <c r="F357" s="282">
        <f>'6 7_sz_melléklet'!D101</f>
        <v>0</v>
      </c>
      <c r="G357" s="272"/>
    </row>
    <row r="358" spans="1:7" s="26" customFormat="1" ht="14.25" customHeight="1">
      <c r="A358" s="786" t="s">
        <v>1161</v>
      </c>
      <c r="B358" s="213" t="s">
        <v>494</v>
      </c>
      <c r="C358" s="286"/>
      <c r="D358" s="286"/>
      <c r="E358" s="300"/>
      <c r="F358" s="286"/>
      <c r="G358" s="275"/>
    </row>
    <row r="359" spans="1:7" s="26" customFormat="1" ht="14.25" customHeight="1">
      <c r="A359" s="786" t="s">
        <v>1162</v>
      </c>
      <c r="B359" s="213" t="s">
        <v>495</v>
      </c>
      <c r="C359" s="282"/>
      <c r="D359" s="282"/>
      <c r="E359" s="189"/>
      <c r="F359" s="282"/>
      <c r="G359" s="272">
        <v>12728</v>
      </c>
    </row>
    <row r="360" spans="1:7" s="26" customFormat="1" ht="14.25" customHeight="1" thickBot="1">
      <c r="A360" s="786" t="s">
        <v>1163</v>
      </c>
      <c r="B360" s="247" t="s">
        <v>496</v>
      </c>
      <c r="C360" s="287"/>
      <c r="D360" s="287"/>
      <c r="E360" s="193"/>
      <c r="F360" s="287"/>
      <c r="G360" s="276"/>
    </row>
    <row r="361" spans="1:7" s="26" customFormat="1" ht="14.25" customHeight="1" thickBot="1">
      <c r="A361" s="786" t="s">
        <v>1164</v>
      </c>
      <c r="B361" s="248" t="s">
        <v>28</v>
      </c>
      <c r="C361" s="289">
        <f>C351+C352+C353+C354+C355+C360</f>
        <v>9795</v>
      </c>
      <c r="D361" s="289">
        <f>D351+D352+D353+D354+D355+D360</f>
        <v>156</v>
      </c>
      <c r="E361" s="289">
        <f>E351+E352+E353+E354+E355+E360</f>
        <v>21989</v>
      </c>
      <c r="F361" s="289">
        <f>F351+F352+F353+F354+F355+F360</f>
        <v>150</v>
      </c>
      <c r="G361" s="289">
        <f>G351+G352+G353+G354+G355+G360</f>
        <v>12728</v>
      </c>
    </row>
    <row r="362" spans="1:7" s="26" customFormat="1" ht="5.25" customHeight="1">
      <c r="A362" s="786"/>
      <c r="B362" s="249"/>
      <c r="C362" s="285"/>
      <c r="D362" s="285"/>
      <c r="E362" s="299"/>
      <c r="F362" s="285"/>
      <c r="G362" s="274"/>
    </row>
    <row r="363" spans="1:7" s="26" customFormat="1" ht="14.25" customHeight="1">
      <c r="A363" s="786" t="s">
        <v>1165</v>
      </c>
      <c r="B363" s="249" t="s">
        <v>504</v>
      </c>
      <c r="C363" s="282"/>
      <c r="D363" s="282"/>
      <c r="E363" s="189"/>
      <c r="F363" s="282"/>
      <c r="G363" s="272"/>
    </row>
    <row r="364" spans="1:7" s="26" customFormat="1" ht="14.25" customHeight="1">
      <c r="A364" s="786" t="s">
        <v>1166</v>
      </c>
      <c r="B364" s="213" t="s">
        <v>29</v>
      </c>
      <c r="C364" s="282">
        <f>'33_sz_ melléklet'!C130</f>
        <v>0</v>
      </c>
      <c r="D364" s="282">
        <f>'33_sz_ melléklet'!C209</f>
        <v>0</v>
      </c>
      <c r="E364" s="189"/>
      <c r="F364" s="282"/>
      <c r="G364" s="272"/>
    </row>
    <row r="365" spans="1:7" s="26" customFormat="1" ht="14.25" customHeight="1">
      <c r="A365" s="786" t="s">
        <v>1167</v>
      </c>
      <c r="B365" s="213" t="s">
        <v>38</v>
      </c>
      <c r="C365" s="282"/>
      <c r="D365" s="282"/>
      <c r="E365" s="189"/>
      <c r="F365" s="282"/>
      <c r="G365" s="272"/>
    </row>
    <row r="366" spans="1:7" s="26" customFormat="1" ht="14.25" customHeight="1">
      <c r="A366" s="786" t="s">
        <v>1168</v>
      </c>
      <c r="B366" s="213" t="s">
        <v>497</v>
      </c>
      <c r="C366" s="282">
        <f>C367+C368+C369</f>
        <v>0</v>
      </c>
      <c r="D366" s="282">
        <f>D367+D368+D369</f>
        <v>0</v>
      </c>
      <c r="E366" s="282">
        <f>E367+E368+E369</f>
        <v>0</v>
      </c>
      <c r="F366" s="282">
        <f>F367+F368+F369</f>
        <v>0</v>
      </c>
      <c r="G366" s="282">
        <f>G367+G368+G369</f>
        <v>26431</v>
      </c>
    </row>
    <row r="367" spans="1:7" s="26" customFormat="1" ht="14.25" customHeight="1">
      <c r="A367" s="786" t="s">
        <v>1169</v>
      </c>
      <c r="B367" s="213" t="s">
        <v>499</v>
      </c>
      <c r="C367" s="282"/>
      <c r="D367" s="282"/>
      <c r="E367" s="189"/>
      <c r="F367" s="282"/>
      <c r="G367" s="272"/>
    </row>
    <row r="368" spans="1:7" s="26" customFormat="1" ht="14.25" customHeight="1">
      <c r="A368" s="786" t="s">
        <v>1170</v>
      </c>
      <c r="B368" s="213" t="s">
        <v>562</v>
      </c>
      <c r="C368" s="282"/>
      <c r="D368" s="282"/>
      <c r="E368" s="189">
        <f>' 8 10 sz. melléklet'!D183</f>
        <v>0</v>
      </c>
      <c r="F368" s="282">
        <f>' 8 10 sz. melléklet'!D182</f>
        <v>0</v>
      </c>
      <c r="G368" s="272"/>
    </row>
    <row r="369" spans="1:7" s="26" customFormat="1" ht="14.25" customHeight="1">
      <c r="A369" s="786" t="s">
        <v>1171</v>
      </c>
      <c r="B369" s="213" t="s">
        <v>500</v>
      </c>
      <c r="C369" s="286"/>
      <c r="D369" s="286"/>
      <c r="E369" s="300"/>
      <c r="F369" s="286"/>
      <c r="G369" s="272">
        <v>26431</v>
      </c>
    </row>
    <row r="370" spans="1:7" s="26" customFormat="1" ht="14.25" customHeight="1">
      <c r="A370" s="786" t="s">
        <v>1173</v>
      </c>
      <c r="B370" s="213" t="s">
        <v>501</v>
      </c>
      <c r="C370" s="282"/>
      <c r="D370" s="282"/>
      <c r="E370" s="189"/>
      <c r="F370" s="282"/>
      <c r="G370" s="272"/>
    </row>
    <row r="371" spans="1:7" s="26" customFormat="1" ht="14.25" customHeight="1" thickBot="1">
      <c r="A371" s="786" t="s">
        <v>1174</v>
      </c>
      <c r="B371" s="247" t="s">
        <v>502</v>
      </c>
      <c r="C371" s="287">
        <f>-C354</f>
        <v>0</v>
      </c>
      <c r="D371" s="287">
        <f>-D354</f>
        <v>0</v>
      </c>
      <c r="E371" s="287">
        <f>-E354</f>
        <v>0</v>
      </c>
      <c r="F371" s="287">
        <f>-F354</f>
        <v>0</v>
      </c>
      <c r="G371" s="287">
        <f>-G354</f>
        <v>0</v>
      </c>
    </row>
    <row r="372" spans="1:7" s="26" customFormat="1" ht="14.25" customHeight="1" thickBot="1">
      <c r="A372" s="786" t="s">
        <v>1175</v>
      </c>
      <c r="B372" s="248" t="s">
        <v>30</v>
      </c>
      <c r="C372" s="289">
        <f>C364+C365+C366+C370+C371</f>
        <v>0</v>
      </c>
      <c r="D372" s="289">
        <f>D364+D365+D366+D370+D371</f>
        <v>0</v>
      </c>
      <c r="E372" s="289">
        <f>E364+E365+E366+E370+E371</f>
        <v>0</v>
      </c>
      <c r="F372" s="289">
        <f>F364+F365+F366+F370+F371</f>
        <v>0</v>
      </c>
      <c r="G372" s="289">
        <f>G364+G365+G366+G370+G371</f>
        <v>26431</v>
      </c>
    </row>
    <row r="373" spans="1:7" s="26" customFormat="1" ht="4.5" customHeight="1">
      <c r="A373" s="786"/>
      <c r="B373" s="268"/>
      <c r="C373" s="285"/>
      <c r="D373" s="285"/>
      <c r="E373" s="299"/>
      <c r="F373" s="285"/>
      <c r="G373" s="274"/>
    </row>
    <row r="374" spans="1:7" s="26" customFormat="1" ht="14.25" customHeight="1">
      <c r="A374" s="786" t="s">
        <v>1176</v>
      </c>
      <c r="B374" s="252" t="s">
        <v>505</v>
      </c>
      <c r="C374" s="286"/>
      <c r="D374" s="286"/>
      <c r="E374" s="300"/>
      <c r="F374" s="286"/>
      <c r="G374" s="275"/>
    </row>
    <row r="375" spans="1:7" s="26" customFormat="1" ht="14.25" customHeight="1">
      <c r="A375" s="786" t="s">
        <v>1177</v>
      </c>
      <c r="B375" s="253" t="s">
        <v>506</v>
      </c>
      <c r="C375" s="282"/>
      <c r="D375" s="282"/>
      <c r="E375" s="189"/>
      <c r="F375" s="282"/>
      <c r="G375" s="272"/>
    </row>
    <row r="376" spans="1:7" s="26" customFormat="1" ht="14.25" customHeight="1">
      <c r="A376" s="786" t="s">
        <v>1178</v>
      </c>
      <c r="B376" s="254" t="s">
        <v>507</v>
      </c>
      <c r="C376" s="282"/>
      <c r="D376" s="282"/>
      <c r="E376" s="189"/>
      <c r="F376" s="282"/>
      <c r="G376" s="272"/>
    </row>
    <row r="377" spans="1:7" s="26" customFormat="1" ht="14.25" customHeight="1" thickBot="1">
      <c r="A377" s="786" t="s">
        <v>1179</v>
      </c>
      <c r="B377" s="253" t="s">
        <v>508</v>
      </c>
      <c r="C377" s="287"/>
      <c r="D377" s="287"/>
      <c r="E377" s="193"/>
      <c r="F377" s="287"/>
      <c r="G377" s="276"/>
    </row>
    <row r="378" spans="1:7" s="26" customFormat="1" ht="26.25" customHeight="1" thickBot="1">
      <c r="A378" s="786" t="s">
        <v>1180</v>
      </c>
      <c r="B378" s="269" t="s">
        <v>509</v>
      </c>
      <c r="C378" s="289">
        <f>C377+C376+C375</f>
        <v>0</v>
      </c>
      <c r="D378" s="289">
        <f>D377+D376+D375</f>
        <v>0</v>
      </c>
      <c r="E378" s="289">
        <f>E377+E376+E375</f>
        <v>0</v>
      </c>
      <c r="F378" s="289">
        <f>F377+F376+F375</f>
        <v>0</v>
      </c>
      <c r="G378" s="289">
        <f>G377+G376+G375</f>
        <v>0</v>
      </c>
    </row>
    <row r="379" spans="1:7" s="26" customFormat="1" ht="5.25" customHeight="1" thickBot="1">
      <c r="A379" s="786"/>
      <c r="B379" s="256"/>
      <c r="C379" s="285"/>
      <c r="D379" s="285"/>
      <c r="E379" s="299"/>
      <c r="F379" s="285"/>
      <c r="G379" s="274"/>
    </row>
    <row r="380" spans="1:7" s="26" customFormat="1" ht="14.25" customHeight="1">
      <c r="A380" s="786" t="s">
        <v>1181</v>
      </c>
      <c r="B380" s="211" t="s">
        <v>510</v>
      </c>
      <c r="C380" s="282"/>
      <c r="D380" s="282"/>
      <c r="E380" s="189"/>
      <c r="F380" s="282"/>
      <c r="G380" s="272"/>
    </row>
    <row r="381" spans="1:7" s="26" customFormat="1" ht="14.25" customHeight="1">
      <c r="A381" s="786" t="s">
        <v>1182</v>
      </c>
      <c r="B381" s="213" t="s">
        <v>511</v>
      </c>
      <c r="C381" s="282"/>
      <c r="D381" s="282"/>
      <c r="E381" s="189"/>
      <c r="F381" s="282"/>
      <c r="G381" s="272"/>
    </row>
    <row r="382" spans="1:7" s="26" customFormat="1" ht="14.25" customHeight="1">
      <c r="A382" s="786" t="s">
        <v>1183</v>
      </c>
      <c r="B382" s="213" t="s">
        <v>52</v>
      </c>
      <c r="C382" s="286"/>
      <c r="D382" s="286"/>
      <c r="E382" s="300"/>
      <c r="F382" s="286"/>
      <c r="G382" s="275"/>
    </row>
    <row r="383" spans="1:7" s="26" customFormat="1" ht="14.25" customHeight="1">
      <c r="A383" s="786" t="s">
        <v>1184</v>
      </c>
      <c r="B383" s="213" t="s">
        <v>1288</v>
      </c>
      <c r="C383" s="282"/>
      <c r="D383" s="282"/>
      <c r="E383" s="189"/>
      <c r="F383" s="282"/>
      <c r="G383" s="272"/>
    </row>
    <row r="384" spans="1:7" s="26" customFormat="1" ht="14.25" customHeight="1" thickBot="1">
      <c r="A384" s="786" t="s">
        <v>1185</v>
      </c>
      <c r="B384" s="247" t="s">
        <v>513</v>
      </c>
      <c r="C384" s="304"/>
      <c r="D384" s="304"/>
      <c r="E384" s="333"/>
      <c r="F384" s="317"/>
      <c r="G384" s="318"/>
    </row>
    <row r="385" spans="1:7" s="26" customFormat="1" ht="14.25" customHeight="1" thickBot="1">
      <c r="A385" s="786" t="s">
        <v>1186</v>
      </c>
      <c r="B385" s="248" t="s">
        <v>516</v>
      </c>
      <c r="C385" s="335">
        <f>C384+C383+C382+C381</f>
        <v>0</v>
      </c>
      <c r="D385" s="335">
        <f>D384+D383+D382+D381</f>
        <v>0</v>
      </c>
      <c r="E385" s="335">
        <f>E384+E383+E382+E381</f>
        <v>0</v>
      </c>
      <c r="F385" s="335">
        <f>F384+F383+F382+F381</f>
        <v>0</v>
      </c>
      <c r="G385" s="335">
        <f>G384+G383+G382+G381</f>
        <v>0</v>
      </c>
    </row>
    <row r="386" spans="1:7" s="26" customFormat="1" ht="4.5" customHeight="1" thickBot="1">
      <c r="A386" s="786"/>
      <c r="B386" s="256"/>
      <c r="C386" s="336"/>
      <c r="D386" s="336"/>
      <c r="E386" s="41"/>
      <c r="F386" s="291"/>
      <c r="G386" s="278"/>
    </row>
    <row r="387" spans="1:7" s="26" customFormat="1" ht="14.25" customHeight="1" thickBot="1">
      <c r="A387" s="786" t="s">
        <v>1187</v>
      </c>
      <c r="B387" s="271" t="s">
        <v>512</v>
      </c>
      <c r="C387" s="335">
        <f>C385+C378+C372+C361</f>
        <v>9795</v>
      </c>
      <c r="D387" s="335">
        <f>D385+D378+D372+D361</f>
        <v>156</v>
      </c>
      <c r="E387" s="335">
        <f>E385+E378+E372+E361</f>
        <v>21989</v>
      </c>
      <c r="F387" s="335">
        <f>F385+F378+F372+F361</f>
        <v>150</v>
      </c>
      <c r="G387" s="335">
        <f>G385+G378+G372+G361</f>
        <v>39159</v>
      </c>
    </row>
    <row r="388" spans="1:7" s="26" customFormat="1" ht="5.25" customHeight="1">
      <c r="A388" s="786"/>
      <c r="B388" s="258"/>
      <c r="C388" s="334"/>
      <c r="D388" s="334"/>
      <c r="E388" s="299"/>
      <c r="F388" s="285"/>
      <c r="G388" s="274"/>
    </row>
    <row r="389" spans="1:7" s="26" customFormat="1" ht="14.25" customHeight="1">
      <c r="A389" s="786" t="s">
        <v>1188</v>
      </c>
      <c r="B389" s="259" t="s">
        <v>519</v>
      </c>
      <c r="C389" s="307"/>
      <c r="D389" s="307"/>
      <c r="E389" s="189"/>
      <c r="F389" s="282"/>
      <c r="G389" s="272"/>
    </row>
    <row r="390" spans="1:7" s="26" customFormat="1" ht="14.25" customHeight="1">
      <c r="A390" s="786" t="s">
        <v>1189</v>
      </c>
      <c r="B390" s="260" t="s">
        <v>514</v>
      </c>
      <c r="C390" s="307"/>
      <c r="D390" s="307"/>
      <c r="E390" s="189"/>
      <c r="F390" s="282"/>
      <c r="G390" s="272"/>
    </row>
    <row r="391" spans="1:7" s="26" customFormat="1" ht="14.25" customHeight="1" thickBot="1">
      <c r="A391" s="786" t="s">
        <v>1190</v>
      </c>
      <c r="B391" s="261" t="s">
        <v>515</v>
      </c>
      <c r="C391" s="304"/>
      <c r="D391" s="304"/>
      <c r="E391" s="193"/>
      <c r="F391" s="287"/>
      <c r="G391" s="276"/>
    </row>
    <row r="392" spans="1:7" s="26" customFormat="1" ht="14.25" customHeight="1" thickBot="1">
      <c r="A392" s="786" t="s">
        <v>1191</v>
      </c>
      <c r="B392" s="262" t="s">
        <v>517</v>
      </c>
      <c r="C392" s="290">
        <f>C391+C390</f>
        <v>0</v>
      </c>
      <c r="D392" s="290">
        <f>D391+D390</f>
        <v>0</v>
      </c>
      <c r="E392" s="290">
        <f>E391+E390</f>
        <v>0</v>
      </c>
      <c r="F392" s="290">
        <f>F391+F390</f>
        <v>0</v>
      </c>
      <c r="G392" s="290">
        <f>G391+G390</f>
        <v>0</v>
      </c>
    </row>
    <row r="393" spans="1:7" s="26" customFormat="1" ht="4.5" customHeight="1">
      <c r="A393" s="786"/>
      <c r="B393" s="263"/>
      <c r="C393" s="334"/>
      <c r="D393" s="334"/>
      <c r="E393" s="299"/>
      <c r="F393" s="285"/>
      <c r="G393" s="274"/>
    </row>
    <row r="394" spans="1:7" s="26" customFormat="1" ht="14.25" customHeight="1">
      <c r="A394" s="786" t="s">
        <v>1192</v>
      </c>
      <c r="B394" s="341" t="s">
        <v>518</v>
      </c>
      <c r="C394" s="307"/>
      <c r="D394" s="307"/>
      <c r="E394" s="189"/>
      <c r="F394" s="282"/>
      <c r="G394" s="272"/>
    </row>
    <row r="395" spans="1:7" s="26" customFormat="1" ht="14.25" customHeight="1">
      <c r="A395" s="786" t="s">
        <v>1193</v>
      </c>
      <c r="B395" s="327" t="s">
        <v>520</v>
      </c>
      <c r="C395" s="307"/>
      <c r="D395" s="307"/>
      <c r="E395" s="189"/>
      <c r="F395" s="282"/>
      <c r="G395" s="272"/>
    </row>
    <row r="396" spans="1:7" s="26" customFormat="1" ht="14.25" customHeight="1" thickBot="1">
      <c r="A396" s="786" t="s">
        <v>1194</v>
      </c>
      <c r="B396" s="266" t="s">
        <v>521</v>
      </c>
      <c r="C396" s="304"/>
      <c r="D396" s="304"/>
      <c r="E396" s="193"/>
      <c r="F396" s="287"/>
      <c r="G396" s="276"/>
    </row>
    <row r="397" spans="1:7" s="26" customFormat="1" ht="14.25" customHeight="1" thickBot="1">
      <c r="A397" s="786" t="s">
        <v>1195</v>
      </c>
      <c r="B397" s="248" t="s">
        <v>522</v>
      </c>
      <c r="C397" s="335">
        <f>C396+C395</f>
        <v>0</v>
      </c>
      <c r="D397" s="335">
        <f>D396+D395</f>
        <v>0</v>
      </c>
      <c r="E397" s="335">
        <f>E396+E395</f>
        <v>0</v>
      </c>
      <c r="F397" s="335">
        <f>F396+F395</f>
        <v>0</v>
      </c>
      <c r="G397" s="335">
        <f>G396+G395</f>
        <v>0</v>
      </c>
    </row>
    <row r="398" spans="1:7" s="26" customFormat="1" ht="4.5" customHeight="1" thickBot="1">
      <c r="A398" s="786"/>
      <c r="B398" s="248"/>
      <c r="C398" s="335"/>
      <c r="D398" s="335"/>
      <c r="E398" s="335"/>
      <c r="F398" s="335"/>
      <c r="G398" s="335"/>
    </row>
    <row r="399" spans="1:7" s="26" customFormat="1" ht="14.25" customHeight="1" thickBot="1">
      <c r="A399" s="961" t="s">
        <v>1196</v>
      </c>
      <c r="B399" s="262" t="s">
        <v>31</v>
      </c>
      <c r="C399" s="289">
        <f>C397+C392+C387</f>
        <v>9795</v>
      </c>
      <c r="D399" s="289">
        <f>D397+D392+D387</f>
        <v>156</v>
      </c>
      <c r="E399" s="289">
        <f>E397+E392+E387</f>
        <v>21989</v>
      </c>
      <c r="F399" s="289">
        <f>F397+F392+F387</f>
        <v>150</v>
      </c>
      <c r="G399" s="289">
        <f>G397+G392+G387</f>
        <v>39159</v>
      </c>
    </row>
    <row r="400" spans="1:7" s="26" customFormat="1" ht="14.25" customHeight="1">
      <c r="A400" s="1547" t="s">
        <v>1295</v>
      </c>
      <c r="B400" s="1547"/>
      <c r="C400" s="1547"/>
      <c r="D400" s="1547"/>
      <c r="E400" s="1547"/>
      <c r="F400" s="57"/>
      <c r="G400" s="57"/>
    </row>
    <row r="401" spans="1:7" s="26" customFormat="1" ht="12.75">
      <c r="A401" s="824"/>
      <c r="B401" s="49"/>
      <c r="C401" s="49"/>
      <c r="D401" s="49"/>
      <c r="E401" s="49"/>
      <c r="F401" s="49"/>
      <c r="G401" s="49"/>
    </row>
    <row r="402" spans="2:7" ht="12.75">
      <c r="B402" s="1561">
        <v>8</v>
      </c>
      <c r="C402" s="1561"/>
      <c r="D402" s="1561"/>
      <c r="E402" s="1561"/>
      <c r="F402" s="1561"/>
      <c r="G402" s="1561"/>
    </row>
    <row r="403" spans="2:7" ht="12.75">
      <c r="B403" s="1561" t="s">
        <v>527</v>
      </c>
      <c r="C403" s="1561"/>
      <c r="D403" s="1561"/>
      <c r="E403" s="1561"/>
      <c r="F403" s="1561"/>
      <c r="G403" s="1561"/>
    </row>
    <row r="404" spans="2:7" ht="12.75">
      <c r="B404" s="1561" t="s">
        <v>48</v>
      </c>
      <c r="C404" s="1561"/>
      <c r="D404" s="1561"/>
      <c r="E404" s="1561"/>
      <c r="F404" s="1561"/>
      <c r="G404" s="1561"/>
    </row>
    <row r="405" spans="2:7" ht="13.5" thickBot="1">
      <c r="B405" s="1"/>
      <c r="C405" s="1"/>
      <c r="D405" s="1"/>
      <c r="E405" s="1"/>
      <c r="F405" s="31" t="s">
        <v>33</v>
      </c>
      <c r="G405" s="1"/>
    </row>
    <row r="406" spans="1:7" ht="24.75" customHeight="1">
      <c r="A406" s="1326" t="s">
        <v>1148</v>
      </c>
      <c r="B406" s="1335" t="s">
        <v>34</v>
      </c>
      <c r="C406" s="1341" t="s">
        <v>64</v>
      </c>
      <c r="D406" s="1344" t="s">
        <v>528</v>
      </c>
      <c r="E406" s="1341" t="s">
        <v>65</v>
      </c>
      <c r="F406" s="1345" t="s">
        <v>532</v>
      </c>
      <c r="G406" s="1346" t="s">
        <v>66</v>
      </c>
    </row>
    <row r="407" spans="1:7" ht="12.75">
      <c r="A407" s="1328" t="s">
        <v>1149</v>
      </c>
      <c r="B407" s="1329" t="s">
        <v>1150</v>
      </c>
      <c r="C407" s="1330" t="s">
        <v>1151</v>
      </c>
      <c r="D407" s="1331" t="s">
        <v>1152</v>
      </c>
      <c r="E407" s="1332" t="s">
        <v>1172</v>
      </c>
      <c r="F407" s="1333" t="s">
        <v>1197</v>
      </c>
      <c r="G407" s="1334" t="s">
        <v>1198</v>
      </c>
    </row>
    <row r="408" spans="1:7" ht="12.75">
      <c r="A408" s="789" t="s">
        <v>1153</v>
      </c>
      <c r="B408" s="256" t="s">
        <v>503</v>
      </c>
      <c r="C408" s="776"/>
      <c r="D408" s="776"/>
      <c r="E408" s="777"/>
      <c r="F408" s="776"/>
      <c r="G408" s="778"/>
    </row>
    <row r="409" spans="1:7" ht="12.75">
      <c r="A409" s="786" t="s">
        <v>1154</v>
      </c>
      <c r="B409" s="245" t="s">
        <v>24</v>
      </c>
      <c r="C409" s="282">
        <f>G237+F237+E237+D237+C237+G180+F180+D180+C180+G123+F123+E123+D123+C123+C66+D66+E66+F66+G66+C8+D8+E8+F8+G8+D294+C294+E294+F294+G294+C351+D351+E351+F351+G351</f>
        <v>298197</v>
      </c>
      <c r="D409" s="282"/>
      <c r="E409" s="189">
        <f>SUM(C409:D409)</f>
        <v>298197</v>
      </c>
      <c r="F409" s="282">
        <f>'4_sz_ melléklet'!D69</f>
        <v>1094497</v>
      </c>
      <c r="G409" s="272">
        <f>SUM(E409:F409)</f>
        <v>1392694</v>
      </c>
    </row>
    <row r="410" spans="1:7" ht="12.75">
      <c r="A410" s="786" t="s">
        <v>1155</v>
      </c>
      <c r="B410" s="213" t="s">
        <v>25</v>
      </c>
      <c r="C410" s="282">
        <f>G238+F238+E238+D238+C238+G181+F181+D181+C181+G124+F124+E124+D124+C124+C67+D67+E67+F67+G67+C9+D9+E9+F9+G9+C295+D295+E295+F295+G295+C352+D352+E352+F352+G352</f>
        <v>86012</v>
      </c>
      <c r="D410" s="282"/>
      <c r="E410" s="189">
        <f aca="true" t="shared" si="0" ref="E410:E418">SUM(C410:D410)</f>
        <v>86012</v>
      </c>
      <c r="F410" s="282">
        <f>'4_sz_ melléklet'!D70</f>
        <v>278406</v>
      </c>
      <c r="G410" s="272">
        <f aca="true" t="shared" si="1" ref="G410:G418">SUM(E410:F410)</f>
        <v>364418</v>
      </c>
    </row>
    <row r="411" spans="1:7" ht="12.75">
      <c r="A411" s="786" t="s">
        <v>1156</v>
      </c>
      <c r="B411" s="213" t="s">
        <v>26</v>
      </c>
      <c r="C411" s="282">
        <f>G239+F239+E239+D239+C239+G182+F182+D182+C182+G125+F125+E125+D125+C125+C68+D68+E68+F68+G68+C10+D10+E10+F10+G10+C296+D296+E296+F296+G296+E182+C353+D353+E353+F353+G353</f>
        <v>1064585</v>
      </c>
      <c r="D411" s="282"/>
      <c r="E411" s="189">
        <f t="shared" si="0"/>
        <v>1064585</v>
      </c>
      <c r="F411" s="282">
        <f>'4_sz_ melléklet'!D71</f>
        <v>458504</v>
      </c>
      <c r="G411" s="272">
        <f t="shared" si="1"/>
        <v>1523089</v>
      </c>
    </row>
    <row r="412" spans="1:7" ht="12.75">
      <c r="A412" s="786" t="s">
        <v>1157</v>
      </c>
      <c r="B412" s="213" t="s">
        <v>27</v>
      </c>
      <c r="C412" s="282">
        <f>G240+F240+E240+D240+C240+G183+F183+D183+C183+G126+F126+E126+D126+C126+C69+D69+E69+F69+G69+C11+D11+E11+F11+G11+C354+D354+E354+F354+G354</f>
        <v>-93981</v>
      </c>
      <c r="D412" s="282"/>
      <c r="E412" s="189">
        <f t="shared" si="0"/>
        <v>-93981</v>
      </c>
      <c r="F412" s="282">
        <f>'4_sz_ melléklet'!D72</f>
        <v>0</v>
      </c>
      <c r="G412" s="272">
        <f t="shared" si="1"/>
        <v>-93981</v>
      </c>
    </row>
    <row r="413" spans="1:7" ht="12.75">
      <c r="A413" s="786" t="s">
        <v>1158</v>
      </c>
      <c r="B413" s="213" t="s">
        <v>498</v>
      </c>
      <c r="C413" s="282">
        <f>G241+F241+E241+D241+C241+G184+F184+D184+C184+G127+F127+E127+D127+C127+C70+D70+E70+F70+G70+C12+D12+E12+F12+G12+C298+D298+E298+F298+G298+C355+D355+E355+F355+G355</f>
        <v>703420</v>
      </c>
      <c r="D413" s="282"/>
      <c r="E413" s="189">
        <f t="shared" si="0"/>
        <v>703420</v>
      </c>
      <c r="F413" s="282">
        <f>'4_sz_ melléklet'!D73</f>
        <v>0</v>
      </c>
      <c r="G413" s="272">
        <f t="shared" si="1"/>
        <v>703420</v>
      </c>
    </row>
    <row r="414" spans="1:8" ht="12.75">
      <c r="A414" s="786" t="s">
        <v>1159</v>
      </c>
      <c r="B414" s="213" t="s">
        <v>492</v>
      </c>
      <c r="C414" s="282">
        <f>G242+F242+E242+D242+C242+G185+F185+D185+C185+G128+F128+E128+D128+C128+C71+D71+E71+F71+G71+C13+D13+E13+F13+G13+C356+D356+E356+F356+G356</f>
        <v>38362</v>
      </c>
      <c r="D414" s="282"/>
      <c r="E414" s="189">
        <f t="shared" si="0"/>
        <v>38362</v>
      </c>
      <c r="F414" s="282">
        <f>'4_sz_ melléklet'!D74</f>
        <v>0</v>
      </c>
      <c r="G414" s="272">
        <f t="shared" si="1"/>
        <v>38362</v>
      </c>
      <c r="H414" s="132"/>
    </row>
    <row r="415" spans="1:7" ht="12.75">
      <c r="A415" s="786" t="s">
        <v>1160</v>
      </c>
      <c r="B415" s="246" t="s">
        <v>493</v>
      </c>
      <c r="C415" s="282">
        <f>G243+F243+E243+D243+C243+G186+F186+D186+C186+G129+F129+E129+D129+C129+C72+D72+E72+F72+G72+C14+D14+E14+F14+G14+F300+C300+D300+E300+G300</f>
        <v>267271</v>
      </c>
      <c r="D415" s="282"/>
      <c r="E415" s="189">
        <f t="shared" si="0"/>
        <v>267271</v>
      </c>
      <c r="F415" s="282">
        <f>'4_sz_ melléklet'!D75</f>
        <v>0</v>
      </c>
      <c r="G415" s="272">
        <f t="shared" si="1"/>
        <v>267271</v>
      </c>
    </row>
    <row r="416" spans="1:7" ht="12.75">
      <c r="A416" s="786" t="s">
        <v>1161</v>
      </c>
      <c r="B416" s="213" t="s">
        <v>494</v>
      </c>
      <c r="C416" s="282">
        <f>G244+F244+E244+D244+C244+G187+F187+D187+C187+G130+F130+E130+D130+C130+C73+D73+E73+F73+G73+C15+D15+E15+F15+G15</f>
        <v>385059</v>
      </c>
      <c r="D416" s="286"/>
      <c r="E416" s="189">
        <f t="shared" si="0"/>
        <v>385059</v>
      </c>
      <c r="F416" s="282">
        <f>'4_sz_ melléklet'!D76</f>
        <v>0</v>
      </c>
      <c r="G416" s="272">
        <f t="shared" si="1"/>
        <v>385059</v>
      </c>
    </row>
    <row r="417" spans="1:7" ht="12.75">
      <c r="A417" s="786" t="s">
        <v>1162</v>
      </c>
      <c r="B417" s="213" t="s">
        <v>495</v>
      </c>
      <c r="C417" s="282">
        <f>G245+F245+E245+D245+C245+G188+F188+D188+C188+G131+F131+E131+D131+C131+C74+D74+E74+F74+G74+C16+D16+E16+F16+G16+C359+D359+E359+F359+G359</f>
        <v>12728</v>
      </c>
      <c r="D417" s="282"/>
      <c r="E417" s="189">
        <f t="shared" si="0"/>
        <v>12728</v>
      </c>
      <c r="F417" s="282">
        <f>'4_sz_ melléklet'!D77</f>
        <v>0</v>
      </c>
      <c r="G417" s="272">
        <f t="shared" si="1"/>
        <v>12728</v>
      </c>
    </row>
    <row r="418" spans="1:7" ht="13.5" thickBot="1">
      <c r="A418" s="786" t="s">
        <v>1163</v>
      </c>
      <c r="B418" s="247" t="s">
        <v>496</v>
      </c>
      <c r="C418" s="282">
        <f>G246+F246+E246+D246+C246+G189+F189+D189+C189+G132+F132+E132+D132+C132+C75+D75+E75+F75+G75+C17+D17+E17+F17+G17</f>
        <v>0</v>
      </c>
      <c r="D418" s="287"/>
      <c r="E418" s="189">
        <f t="shared" si="0"/>
        <v>0</v>
      </c>
      <c r="F418" s="282">
        <f>'4_sz_ melléklet'!D78</f>
        <v>24345</v>
      </c>
      <c r="G418" s="272">
        <f t="shared" si="1"/>
        <v>24345</v>
      </c>
    </row>
    <row r="419" spans="1:7" ht="12.75" customHeight="1" thickBot="1">
      <c r="A419" s="786" t="s">
        <v>1164</v>
      </c>
      <c r="B419" s="248" t="s">
        <v>28</v>
      </c>
      <c r="C419" s="289">
        <f>C418+C413+C412+C411+C410+C409</f>
        <v>2058233</v>
      </c>
      <c r="D419" s="289">
        <f>D418+D413+D412+D411+D410+D409</f>
        <v>0</v>
      </c>
      <c r="E419" s="289">
        <f>E418+E413+E412+E411+E410+E409</f>
        <v>2058233</v>
      </c>
      <c r="F419" s="289">
        <f>F418+F413+F412+F411+F410+F409</f>
        <v>1855752</v>
      </c>
      <c r="G419" s="289">
        <f>G418+G413+G412+G411+G410+G409</f>
        <v>3913985</v>
      </c>
    </row>
    <row r="420" spans="1:7" ht="6" customHeight="1">
      <c r="A420" s="786"/>
      <c r="B420" s="249"/>
      <c r="C420" s="285"/>
      <c r="D420" s="285"/>
      <c r="E420" s="299"/>
      <c r="F420" s="285"/>
      <c r="G420" s="274"/>
    </row>
    <row r="421" spans="1:7" ht="12.75">
      <c r="A421" s="786" t="s">
        <v>1165</v>
      </c>
      <c r="B421" s="249" t="s">
        <v>504</v>
      </c>
      <c r="C421" s="282"/>
      <c r="D421" s="282"/>
      <c r="E421" s="189"/>
      <c r="F421" s="282"/>
      <c r="G421" s="272"/>
    </row>
    <row r="422" spans="1:7" ht="12.75">
      <c r="A422" s="786" t="s">
        <v>1166</v>
      </c>
      <c r="B422" s="213" t="s">
        <v>29</v>
      </c>
      <c r="C422" s="282">
        <f>G250+F250+E250+D250+C250+G193+F193+E193+D193+C193+G136+F136+E136+D136+C136+G79+F79+E79+D79+C79+G21+F21+E21+D21+C21+C307+D307+E307+F307+G307</f>
        <v>5630023</v>
      </c>
      <c r="D422" s="282"/>
      <c r="E422" s="189">
        <f>SUM(C422:D422)</f>
        <v>5630023</v>
      </c>
      <c r="F422" s="282">
        <f>'4_sz_ melléklet'!D82</f>
        <v>21201</v>
      </c>
      <c r="G422" s="272">
        <f>SUM(E422:F422)</f>
        <v>5651224</v>
      </c>
    </row>
    <row r="423" spans="1:7" ht="12.75">
      <c r="A423" s="786" t="s">
        <v>1167</v>
      </c>
      <c r="B423" s="213" t="s">
        <v>38</v>
      </c>
      <c r="C423" s="282">
        <f aca="true" t="shared" si="2" ref="C423:C428">G251+F251+E251+D251+C251+G194+F194+E194+D194+C194+G137+F137+E137+D137+C137+G80+F80+E80+D80+C80+G22+F22+E22+D22+C22</f>
        <v>76985</v>
      </c>
      <c r="D423" s="282"/>
      <c r="E423" s="189">
        <f aca="true" t="shared" si="3" ref="E423:E429">SUM(C423:D423)</f>
        <v>76985</v>
      </c>
      <c r="F423" s="282">
        <f>'4_sz_ melléklet'!D83</f>
        <v>944</v>
      </c>
      <c r="G423" s="272">
        <f aca="true" t="shared" si="4" ref="G423:G429">SUM(E423:F423)</f>
        <v>77929</v>
      </c>
    </row>
    <row r="424" spans="1:7" ht="12.75">
      <c r="A424" s="786" t="s">
        <v>1168</v>
      </c>
      <c r="B424" s="213" t="s">
        <v>497</v>
      </c>
      <c r="C424" s="282">
        <f>G252+F252+E252+D252+C252+G195+F195+E195+D195+C195+G138+F138+E138+D138+C138+G81+F81+E81+D81+C81+G23+F23+E23+D23+C23+C366+D366+E366+F366+G366+C309+D309+E309+F309+G309</f>
        <v>85627</v>
      </c>
      <c r="D424" s="282"/>
      <c r="E424" s="189">
        <f>SUM(C424:D424)</f>
        <v>85627</v>
      </c>
      <c r="F424" s="282">
        <f>'4_sz_ melléklet'!D84</f>
        <v>0</v>
      </c>
      <c r="G424" s="272">
        <f t="shared" si="4"/>
        <v>85627</v>
      </c>
    </row>
    <row r="425" spans="1:7" ht="12.75">
      <c r="A425" s="786" t="s">
        <v>1169</v>
      </c>
      <c r="B425" s="213" t="s">
        <v>499</v>
      </c>
      <c r="C425" s="282">
        <f t="shared" si="2"/>
        <v>1323</v>
      </c>
      <c r="D425" s="282"/>
      <c r="E425" s="189">
        <f t="shared" si="3"/>
        <v>1323</v>
      </c>
      <c r="F425" s="282">
        <f>'4_sz_ melléklet'!D85</f>
        <v>0</v>
      </c>
      <c r="G425" s="272">
        <f t="shared" si="4"/>
        <v>1323</v>
      </c>
    </row>
    <row r="426" spans="1:7" ht="12.75">
      <c r="A426" s="786" t="s">
        <v>1170</v>
      </c>
      <c r="B426" s="213" t="s">
        <v>562</v>
      </c>
      <c r="C426" s="282">
        <f>G254+F254+E254+D254+C254+G197+F197+E197+D197+C197+G140+F140+E140+D140+C140+G83+F83+E83+D83+C83+G25+F25+E25+D25+C25+C311+D311+E311+F311+G311</f>
        <v>57873</v>
      </c>
      <c r="D426" s="282"/>
      <c r="E426" s="189">
        <f t="shared" si="3"/>
        <v>57873</v>
      </c>
      <c r="F426" s="282">
        <f>'4_sz_ melléklet'!D86</f>
        <v>0</v>
      </c>
      <c r="G426" s="272">
        <f t="shared" si="4"/>
        <v>57873</v>
      </c>
    </row>
    <row r="427" spans="1:8" ht="12.75">
      <c r="A427" s="786" t="s">
        <v>1171</v>
      </c>
      <c r="B427" s="213" t="s">
        <v>500</v>
      </c>
      <c r="C427" s="282">
        <f>G255+F255+E255+D255+C255+G198+F198+E198+D198+C198+G141+F141+E141+D141+C141+G84+F84+E84+D84+C84+G26+F26+E26+D26+C26+C369+D369+E369+F369+G369</f>
        <v>26431</v>
      </c>
      <c r="D427" s="282"/>
      <c r="E427" s="189">
        <f t="shared" si="3"/>
        <v>26431</v>
      </c>
      <c r="F427" s="282">
        <f>'4_sz_ melléklet'!D87</f>
        <v>0</v>
      </c>
      <c r="G427" s="272">
        <f t="shared" si="4"/>
        <v>26431</v>
      </c>
      <c r="H427" s="132"/>
    </row>
    <row r="428" spans="1:7" ht="12.75">
      <c r="A428" s="786" t="s">
        <v>1173</v>
      </c>
      <c r="B428" s="213" t="s">
        <v>501</v>
      </c>
      <c r="C428" s="282">
        <f t="shared" si="2"/>
        <v>1250</v>
      </c>
      <c r="D428" s="282"/>
      <c r="E428" s="189">
        <f t="shared" si="3"/>
        <v>1250</v>
      </c>
      <c r="F428" s="282">
        <f>'4_sz_ melléklet'!D88</f>
        <v>0</v>
      </c>
      <c r="G428" s="272">
        <f t="shared" si="4"/>
        <v>1250</v>
      </c>
    </row>
    <row r="429" spans="1:7" ht="13.5" thickBot="1">
      <c r="A429" s="786" t="s">
        <v>1174</v>
      </c>
      <c r="B429" s="247" t="s">
        <v>502</v>
      </c>
      <c r="C429" s="282">
        <f>G257+F257+E257+D257+C257+G200+F200+E200+D200+C200+G143+F143+E143+D143+C143+G86+F86+E86+D86+C86+G28+F28+E28+D28+C28+C371+D371+E371+F371+G371</f>
        <v>93981</v>
      </c>
      <c r="D429" s="287"/>
      <c r="E429" s="189">
        <f t="shared" si="3"/>
        <v>93981</v>
      </c>
      <c r="F429" s="282">
        <f>'4_sz_ melléklet'!D89</f>
        <v>0</v>
      </c>
      <c r="G429" s="272">
        <f t="shared" si="4"/>
        <v>93981</v>
      </c>
    </row>
    <row r="430" spans="1:7" ht="14.25" customHeight="1" thickBot="1">
      <c r="A430" s="786" t="s">
        <v>1175</v>
      </c>
      <c r="B430" s="248" t="s">
        <v>30</v>
      </c>
      <c r="C430" s="289">
        <f>C422+C423+C424+C428+C429</f>
        <v>5887866</v>
      </c>
      <c r="D430" s="289">
        <f>D422+D423+D424+D428+D429</f>
        <v>0</v>
      </c>
      <c r="E430" s="289">
        <f>E422+E423+E424+E428+E429</f>
        <v>5887866</v>
      </c>
      <c r="F430" s="289">
        <f>F422+F423+F424+F428+F429</f>
        <v>22145</v>
      </c>
      <c r="G430" s="289">
        <f>G422+G423+G424+G428+G429</f>
        <v>5910011</v>
      </c>
    </row>
    <row r="431" spans="1:7" ht="5.25" customHeight="1">
      <c r="A431" s="786"/>
      <c r="B431" s="268"/>
      <c r="C431" s="285"/>
      <c r="D431" s="285"/>
      <c r="E431" s="299"/>
      <c r="F431" s="285"/>
      <c r="G431" s="274"/>
    </row>
    <row r="432" spans="1:7" ht="25.5">
      <c r="A432" s="786" t="s">
        <v>1176</v>
      </c>
      <c r="B432" s="252" t="s">
        <v>505</v>
      </c>
      <c r="C432" s="286"/>
      <c r="D432" s="286"/>
      <c r="E432" s="300"/>
      <c r="F432" s="286"/>
      <c r="G432" s="275"/>
    </row>
    <row r="433" spans="1:7" ht="12.75">
      <c r="A433" s="786" t="s">
        <v>1177</v>
      </c>
      <c r="B433" s="253" t="s">
        <v>506</v>
      </c>
      <c r="C433" s="282">
        <f>G261+F261+E261+D261+C261+G204+F204+E204+D204+C204+G147+F147+E147+D147+C147+G90+F90+E90+D90+C90+G32+F32+E32+D32+C32</f>
        <v>0</v>
      </c>
      <c r="D433" s="282"/>
      <c r="E433" s="189">
        <f>SUM(C433:D433)</f>
        <v>0</v>
      </c>
      <c r="F433" s="282">
        <f>'4_sz_ melléklet'!D93</f>
        <v>0</v>
      </c>
      <c r="G433" s="272">
        <f>SUM(E433:F433)</f>
        <v>0</v>
      </c>
    </row>
    <row r="434" spans="1:7" ht="12.75">
      <c r="A434" s="786" t="s">
        <v>1178</v>
      </c>
      <c r="B434" s="254" t="s">
        <v>507</v>
      </c>
      <c r="C434" s="282">
        <f>G262+F262+E262+D262+C262+G205+F205+E205+D205+C205+G148+F148+E148+D148+C148+G91+F91+E91+D91+C91+G33+F33+E33+D33+C33</f>
        <v>9200</v>
      </c>
      <c r="D434" s="282"/>
      <c r="E434" s="189">
        <f>SUM(C434:D434)</f>
        <v>9200</v>
      </c>
      <c r="F434" s="282">
        <f>'4_sz_ melléklet'!D94</f>
        <v>0</v>
      </c>
      <c r="G434" s="272">
        <f>SUM(E434:F434)</f>
        <v>9200</v>
      </c>
    </row>
    <row r="435" spans="1:7" ht="13.5" thickBot="1">
      <c r="A435" s="786" t="s">
        <v>1179</v>
      </c>
      <c r="B435" s="253" t="s">
        <v>508</v>
      </c>
      <c r="C435" s="282">
        <f>G263+F263+E263+D263+C263+G206+F206+E206+D206+C206+G149+F149+E149+D149+C149+G92+F92+E92+D92+C92+G34+F34+E34+D34+C34</f>
        <v>0</v>
      </c>
      <c r="D435" s="287"/>
      <c r="E435" s="189">
        <f>SUM(C435:D435)</f>
        <v>0</v>
      </c>
      <c r="F435" s="282">
        <f>'4_sz_ melléklet'!D95</f>
        <v>0</v>
      </c>
      <c r="G435" s="272">
        <f>SUM(E435:F435)</f>
        <v>0</v>
      </c>
    </row>
    <row r="436" spans="1:7" ht="24" customHeight="1" thickBot="1">
      <c r="A436" s="786" t="s">
        <v>1180</v>
      </c>
      <c r="B436" s="522" t="s">
        <v>509</v>
      </c>
      <c r="C436" s="289">
        <f>C435+C434+C433</f>
        <v>9200</v>
      </c>
      <c r="D436" s="289">
        <f>D435+D434+D433</f>
        <v>0</v>
      </c>
      <c r="E436" s="289">
        <f>E435+E434+E433</f>
        <v>9200</v>
      </c>
      <c r="F436" s="289">
        <f>F435+F434+F433</f>
        <v>0</v>
      </c>
      <c r="G436" s="289">
        <f>G435+G434+G433</f>
        <v>9200</v>
      </c>
    </row>
    <row r="437" spans="1:7" ht="5.25" customHeight="1" thickBot="1">
      <c r="A437" s="786"/>
      <c r="B437" s="256"/>
      <c r="C437" s="285"/>
      <c r="D437" s="285"/>
      <c r="E437" s="299"/>
      <c r="F437" s="285"/>
      <c r="G437" s="274"/>
    </row>
    <row r="438" spans="1:7" ht="12.75">
      <c r="A438" s="786" t="s">
        <v>1181</v>
      </c>
      <c r="B438" s="211" t="s">
        <v>510</v>
      </c>
      <c r="C438" s="282"/>
      <c r="D438" s="282"/>
      <c r="E438" s="189"/>
      <c r="F438" s="282"/>
      <c r="G438" s="272"/>
    </row>
    <row r="439" spans="1:7" ht="12.75">
      <c r="A439" s="786" t="s">
        <v>1182</v>
      </c>
      <c r="B439" s="213" t="s">
        <v>511</v>
      </c>
      <c r="C439" s="282">
        <f>G267+F267+E267+D267+C267+G210+F210+E210+D210+C210+G153+F153+E153+D153+C153+G96+F96+E96+D96+C96+G38+F38+E38+D38+C38</f>
        <v>0</v>
      </c>
      <c r="D439" s="282"/>
      <c r="E439" s="189">
        <f>SUM(C439:D439)</f>
        <v>0</v>
      </c>
      <c r="F439" s="282">
        <f>'4_sz_ melléklet'!D99</f>
        <v>0</v>
      </c>
      <c r="G439" s="272">
        <f>SUM(E439:F439)</f>
        <v>0</v>
      </c>
    </row>
    <row r="440" spans="1:7" ht="12.75">
      <c r="A440" s="786" t="s">
        <v>1183</v>
      </c>
      <c r="B440" s="213" t="s">
        <v>52</v>
      </c>
      <c r="C440" s="282">
        <f>G268+F268+E268+D268+C268+G211+F211+E211+D211+C211+G154+F154+E154+D154+C154+G97+F97+E97+D97+C97+G39+F39+E39+D39+C39</f>
        <v>0</v>
      </c>
      <c r="D440" s="282">
        <f>'34 sz melléklet'!C28+'34 sz melléklet'!C18</f>
        <v>38702</v>
      </c>
      <c r="E440" s="189">
        <f>SUM(C440:D440)</f>
        <v>38702</v>
      </c>
      <c r="F440" s="282">
        <f>'4_sz_ melléklet'!D100</f>
        <v>0</v>
      </c>
      <c r="G440" s="272">
        <f>SUM(E440:F440)</f>
        <v>38702</v>
      </c>
    </row>
    <row r="441" spans="1:7" ht="12.75">
      <c r="A441" s="786" t="s">
        <v>1184</v>
      </c>
      <c r="B441" s="213" t="s">
        <v>1288</v>
      </c>
      <c r="C441" s="282">
        <f>G269+F269+E269+D269+C269+G212+F212+E212+D212+C212+G155+F155+E155+D155+C155+G98+F98+E98+D98+C98+G40+F40+E40+D40+C40</f>
        <v>0</v>
      </c>
      <c r="D441" s="282">
        <f>20000-300-600-671-477-230-200-300-3200-2750</f>
        <v>11272</v>
      </c>
      <c r="E441" s="189">
        <f>SUM(C441:D441)</f>
        <v>11272</v>
      </c>
      <c r="F441" s="282">
        <f>'4_sz_ melléklet'!D101</f>
        <v>0</v>
      </c>
      <c r="G441" s="272">
        <f>SUM(E441:F441)</f>
        <v>11272</v>
      </c>
    </row>
    <row r="442" spans="1:7" ht="13.5" thickBot="1">
      <c r="A442" s="786" t="s">
        <v>1185</v>
      </c>
      <c r="B442" s="247" t="s">
        <v>513</v>
      </c>
      <c r="C442" s="282">
        <f>G270+F270+E270+D270+C270+G213+F213+E213+D213+C213+G156+F156+E156+D156+C156+G99+F99+E99+D99+C99+G41+F41+E41+D41+C41</f>
        <v>0</v>
      </c>
      <c r="D442" s="304"/>
      <c r="E442" s="189">
        <f>SUM(C442:D442)</f>
        <v>0</v>
      </c>
      <c r="F442" s="282">
        <f>'4_sz_ melléklet'!D102</f>
        <v>0</v>
      </c>
      <c r="G442" s="272">
        <f>SUM(E442:F442)</f>
        <v>0</v>
      </c>
    </row>
    <row r="443" spans="1:7" ht="12" customHeight="1" thickBot="1">
      <c r="A443" s="786" t="s">
        <v>1186</v>
      </c>
      <c r="B443" s="248" t="s">
        <v>516</v>
      </c>
      <c r="C443" s="335">
        <f>C442+C441+C440+C439</f>
        <v>0</v>
      </c>
      <c r="D443" s="335">
        <f>D442+D441+D440+D439</f>
        <v>49974</v>
      </c>
      <c r="E443" s="335">
        <f>E442+E441+E440+E439</f>
        <v>49974</v>
      </c>
      <c r="F443" s="335">
        <f>F442+F441+F440+F439</f>
        <v>0</v>
      </c>
      <c r="G443" s="335">
        <f>G442+G441+G440+G439</f>
        <v>49974</v>
      </c>
    </row>
    <row r="444" spans="1:7" ht="4.5" customHeight="1" thickBot="1">
      <c r="A444" s="786"/>
      <c r="B444" s="256"/>
      <c r="C444" s="336"/>
      <c r="D444" s="336"/>
      <c r="E444" s="41"/>
      <c r="F444" s="291"/>
      <c r="G444" s="278"/>
    </row>
    <row r="445" spans="1:7" ht="30" customHeight="1" thickBot="1">
      <c r="A445" s="786" t="s">
        <v>1187</v>
      </c>
      <c r="B445" s="271" t="s">
        <v>512</v>
      </c>
      <c r="C445" s="335">
        <f>C443+C436+C430+C419</f>
        <v>7955299</v>
      </c>
      <c r="D445" s="335">
        <f>D443+D436+D430+D419</f>
        <v>49974</v>
      </c>
      <c r="E445" s="335">
        <f>E443+E436+E430+E419</f>
        <v>8005273</v>
      </c>
      <c r="F445" s="335">
        <f>F443+F436+F430+F419</f>
        <v>1877897</v>
      </c>
      <c r="G445" s="335">
        <f>G443+G436+G430+G419</f>
        <v>9883170</v>
      </c>
    </row>
    <row r="446" spans="1:7" ht="8.25" customHeight="1">
      <c r="A446" s="786"/>
      <c r="B446" s="258"/>
      <c r="C446" s="334"/>
      <c r="D446" s="334"/>
      <c r="E446" s="299"/>
      <c r="F446" s="285"/>
      <c r="G446" s="274"/>
    </row>
    <row r="447" spans="1:7" ht="12.75">
      <c r="A447" s="786" t="s">
        <v>1188</v>
      </c>
      <c r="B447" s="259" t="s">
        <v>519</v>
      </c>
      <c r="C447" s="307"/>
      <c r="D447" s="307"/>
      <c r="E447" s="189"/>
      <c r="F447" s="282"/>
      <c r="G447" s="272"/>
    </row>
    <row r="448" spans="1:7" ht="12.75">
      <c r="A448" s="786" t="s">
        <v>1189</v>
      </c>
      <c r="B448" s="260" t="s">
        <v>514</v>
      </c>
      <c r="C448" s="307">
        <f>G276+F276+E276+C276+G219+F219+C219+D219+E219+G162+F162+E162+D162+C162+G105+F105+E105+D105+C105+G47+F47+E47+D47+C47</f>
        <v>0</v>
      </c>
      <c r="D448" s="307"/>
      <c r="E448" s="189">
        <f>SUM(C448:D448)</f>
        <v>0</v>
      </c>
      <c r="F448" s="282">
        <f>'4_sz_ melléklet'!D108</f>
        <v>0</v>
      </c>
      <c r="G448" s="272">
        <f>SUM(E448:F448)</f>
        <v>0</v>
      </c>
    </row>
    <row r="449" spans="1:7" ht="13.5" thickBot="1">
      <c r="A449" s="786" t="s">
        <v>1190</v>
      </c>
      <c r="B449" s="261" t="s">
        <v>515</v>
      </c>
      <c r="C449" s="307">
        <f>G277+F277+E277+C277+G220+F220+C220+D220+E220+G163+F163+E163+D163+C163+G106+F106+E106+D106+C106+G48+F48+E48+D48+C48</f>
        <v>100572</v>
      </c>
      <c r="D449" s="304"/>
      <c r="E449" s="189">
        <f>SUM(C449:D449)</f>
        <v>100572</v>
      </c>
      <c r="F449" s="282">
        <f>'4_sz_ melléklet'!D109</f>
        <v>0</v>
      </c>
      <c r="G449" s="272">
        <f>SUM(E449:F449)</f>
        <v>100572</v>
      </c>
    </row>
    <row r="450" spans="1:7" ht="15" customHeight="1" thickBot="1">
      <c r="A450" s="786" t="s">
        <v>1191</v>
      </c>
      <c r="B450" s="262" t="s">
        <v>517</v>
      </c>
      <c r="C450" s="290">
        <f>C449+C448</f>
        <v>100572</v>
      </c>
      <c r="D450" s="290">
        <f>D449+D448</f>
        <v>0</v>
      </c>
      <c r="E450" s="290">
        <f>E449+E448</f>
        <v>100572</v>
      </c>
      <c r="F450" s="290">
        <f>F449+F448</f>
        <v>0</v>
      </c>
      <c r="G450" s="290">
        <f>G449+G448</f>
        <v>100572</v>
      </c>
    </row>
    <row r="451" spans="1:7" ht="7.5" customHeight="1">
      <c r="A451" s="786"/>
      <c r="B451" s="263"/>
      <c r="C451" s="334"/>
      <c r="D451" s="334"/>
      <c r="E451" s="299"/>
      <c r="F451" s="285"/>
      <c r="G451" s="274"/>
    </row>
    <row r="452" spans="1:7" ht="21.75">
      <c r="A452" s="786" t="s">
        <v>1192</v>
      </c>
      <c r="B452" s="341" t="s">
        <v>518</v>
      </c>
      <c r="C452" s="307"/>
      <c r="D452" s="307"/>
      <c r="E452" s="189"/>
      <c r="F452" s="282"/>
      <c r="G452" s="272"/>
    </row>
    <row r="453" spans="1:7" ht="12.75">
      <c r="A453" s="786" t="s">
        <v>1193</v>
      </c>
      <c r="B453" s="327" t="s">
        <v>520</v>
      </c>
      <c r="C453" s="307">
        <f>G281+F281+E281+D281+C281+G224+F224+E224+D224+C224+G167+F167+E167+D167+C167+G110+F110+E110+D110+C110+G52+F52+E52+D52+C52</f>
        <v>0</v>
      </c>
      <c r="D453" s="307"/>
      <c r="E453" s="189">
        <f>SUM(C453:D453)</f>
        <v>0</v>
      </c>
      <c r="F453" s="282">
        <f>'4_sz_ melléklet'!D113</f>
        <v>0</v>
      </c>
      <c r="G453" s="272">
        <f>SUM(E453:F453)</f>
        <v>0</v>
      </c>
    </row>
    <row r="454" spans="1:7" ht="13.5" thickBot="1">
      <c r="A454" s="786" t="s">
        <v>1194</v>
      </c>
      <c r="B454" s="266" t="s">
        <v>521</v>
      </c>
      <c r="C454" s="307">
        <f>G282+F282+E282+D282+C282+G225+F225+E225+D225+C225+G168+F168+E168+D168+C168+G111+F111+E111+D111+C111+G53+F53+E53+D53+C53</f>
        <v>14520</v>
      </c>
      <c r="D454" s="304"/>
      <c r="E454" s="189">
        <f>SUM(C454:D454)</f>
        <v>14520</v>
      </c>
      <c r="F454" s="282">
        <f>'4_sz_ melléklet'!D114</f>
        <v>0</v>
      </c>
      <c r="G454" s="272">
        <f>SUM(E454:F454)</f>
        <v>14520</v>
      </c>
    </row>
    <row r="455" spans="1:7" ht="12" customHeight="1" thickBot="1">
      <c r="A455" s="786" t="s">
        <v>1195</v>
      </c>
      <c r="B455" s="248" t="s">
        <v>522</v>
      </c>
      <c r="C455" s="335">
        <f>C454+C453</f>
        <v>14520</v>
      </c>
      <c r="D455" s="335">
        <f>D454+D453</f>
        <v>0</v>
      </c>
      <c r="E455" s="335">
        <f>E454+E453</f>
        <v>14520</v>
      </c>
      <c r="F455" s="335">
        <f>F454+F453</f>
        <v>0</v>
      </c>
      <c r="G455" s="335">
        <f>G454+G453</f>
        <v>14520</v>
      </c>
    </row>
    <row r="456" spans="1:7" ht="8.25" customHeight="1" thickBot="1">
      <c r="A456" s="907"/>
      <c r="B456" s="247"/>
      <c r="C456" s="337"/>
      <c r="D456" s="337"/>
      <c r="E456" s="330"/>
      <c r="F456" s="337"/>
      <c r="G456" s="338"/>
    </row>
    <row r="457" spans="1:7" ht="13.5" thickBot="1">
      <c r="A457" s="841" t="s">
        <v>1196</v>
      </c>
      <c r="B457" s="262" t="s">
        <v>31</v>
      </c>
      <c r="C457" s="289">
        <f>C455+C450+C445</f>
        <v>8070391</v>
      </c>
      <c r="D457" s="289">
        <f>D455+D450+D445</f>
        <v>49974</v>
      </c>
      <c r="E457" s="289">
        <f>E455+E450+E445</f>
        <v>8120365</v>
      </c>
      <c r="F457" s="289">
        <f>F455+F450+F445</f>
        <v>1877897</v>
      </c>
      <c r="G457" s="289">
        <f>G455+G450+G445</f>
        <v>9998262</v>
      </c>
    </row>
    <row r="458" spans="2:7" ht="12.75">
      <c r="B458" s="1"/>
      <c r="C458" s="1"/>
      <c r="D458" s="1"/>
      <c r="E458" s="1"/>
      <c r="F458" s="1"/>
      <c r="G458" s="1"/>
    </row>
    <row r="459" spans="2:7" ht="12.75">
      <c r="B459" s="1"/>
      <c r="C459" s="1"/>
      <c r="D459" s="1"/>
      <c r="E459" s="1"/>
      <c r="F459" s="1"/>
      <c r="G459" s="1"/>
    </row>
    <row r="460" spans="2:7" ht="12.75">
      <c r="B460" s="1"/>
      <c r="C460" s="1"/>
      <c r="D460" s="1"/>
      <c r="E460" s="1"/>
      <c r="F460" s="1"/>
      <c r="G460" s="1"/>
    </row>
    <row r="461" spans="2:7" ht="12.75">
      <c r="B461" s="1"/>
      <c r="C461" s="1"/>
      <c r="D461" s="1"/>
      <c r="E461" s="1"/>
      <c r="F461" s="1"/>
      <c r="G461" s="1"/>
    </row>
    <row r="462" spans="2:7" ht="12.75">
      <c r="B462" s="1"/>
      <c r="C462" s="1"/>
      <c r="D462" s="1"/>
      <c r="E462" s="1"/>
      <c r="F462" s="1"/>
      <c r="G462" s="1"/>
    </row>
    <row r="463" spans="2:7" ht="12.75">
      <c r="B463" s="1"/>
      <c r="C463" s="1"/>
      <c r="D463" s="1"/>
      <c r="E463" s="1"/>
      <c r="F463" s="1"/>
      <c r="G463" s="1"/>
    </row>
    <row r="464" spans="2:7" ht="12.75">
      <c r="B464" s="1"/>
      <c r="C464" s="1"/>
      <c r="D464" s="1"/>
      <c r="E464" s="1"/>
      <c r="F464" s="1"/>
      <c r="G464" s="1"/>
    </row>
    <row r="465" spans="2:7" ht="12.75">
      <c r="B465" s="1"/>
      <c r="C465" s="1"/>
      <c r="D465" s="1"/>
      <c r="E465" s="1"/>
      <c r="F465" s="1"/>
      <c r="G465" s="1"/>
    </row>
    <row r="466" spans="2:7" ht="12.75">
      <c r="B466" s="1"/>
      <c r="C466" s="1"/>
      <c r="D466" s="1"/>
      <c r="E466" s="1"/>
      <c r="F466" s="1"/>
      <c r="G466" s="1"/>
    </row>
    <row r="467" spans="2:7" ht="12.75">
      <c r="B467" s="1"/>
      <c r="C467" s="1"/>
      <c r="D467" s="1"/>
      <c r="E467" s="1"/>
      <c r="F467" s="1"/>
      <c r="G467" s="1"/>
    </row>
    <row r="468" spans="2:7" ht="12.75">
      <c r="B468" s="1"/>
      <c r="C468" s="1"/>
      <c r="D468" s="1"/>
      <c r="E468" s="1"/>
      <c r="F468" s="1"/>
      <c r="G468" s="1"/>
    </row>
    <row r="469" spans="2:7" ht="12.75">
      <c r="B469" s="1"/>
      <c r="C469" s="1"/>
      <c r="D469" s="1"/>
      <c r="E469" s="1"/>
      <c r="F469" s="1"/>
      <c r="G469" s="1"/>
    </row>
    <row r="470" spans="2:7" ht="12.75">
      <c r="B470" s="1"/>
      <c r="C470" s="1"/>
      <c r="D470" s="1"/>
      <c r="E470" s="1"/>
      <c r="F470" s="1"/>
      <c r="G470" s="1"/>
    </row>
    <row r="471" spans="2:7" ht="12.75">
      <c r="B471" s="1"/>
      <c r="C471" s="1"/>
      <c r="D471" s="1"/>
      <c r="E471" s="1"/>
      <c r="F471" s="1"/>
      <c r="G471" s="1"/>
    </row>
    <row r="472" spans="2:7" ht="12.75">
      <c r="B472" s="1"/>
      <c r="C472" s="1"/>
      <c r="D472" s="1"/>
      <c r="E472" s="1"/>
      <c r="F472" s="1"/>
      <c r="G472" s="1"/>
    </row>
    <row r="473" spans="2:7" ht="12.75">
      <c r="B473" s="1"/>
      <c r="C473" s="1"/>
      <c r="D473" s="1"/>
      <c r="E473" s="1"/>
      <c r="F473" s="1"/>
      <c r="G473" s="1"/>
    </row>
    <row r="474" spans="2:7" ht="12.75">
      <c r="B474" s="1"/>
      <c r="C474" s="1"/>
      <c r="D474" s="1"/>
      <c r="E474" s="1"/>
      <c r="F474" s="1"/>
      <c r="G474" s="1"/>
    </row>
    <row r="475" spans="2:7" ht="12.75">
      <c r="B475" s="1"/>
      <c r="C475" s="1"/>
      <c r="D475" s="1"/>
      <c r="E475" s="1"/>
      <c r="F475" s="1"/>
      <c r="G475" s="1"/>
    </row>
    <row r="476" spans="2:7" ht="12.75">
      <c r="B476" s="1"/>
      <c r="C476" s="1"/>
      <c r="D476" s="1"/>
      <c r="E476" s="1"/>
      <c r="F476" s="1"/>
      <c r="G476" s="1"/>
    </row>
    <row r="477" spans="2:7" ht="12.75">
      <c r="B477" s="1"/>
      <c r="C477" s="1"/>
      <c r="D477" s="1"/>
      <c r="E477" s="1"/>
      <c r="F477" s="1"/>
      <c r="G477" s="1"/>
    </row>
    <row r="478" spans="2:7" ht="12.75">
      <c r="B478" s="1"/>
      <c r="C478" s="1"/>
      <c r="D478" s="1"/>
      <c r="E478" s="1"/>
      <c r="F478" s="1"/>
      <c r="G478" s="1"/>
    </row>
    <row r="479" spans="2:7" ht="12.75">
      <c r="B479" s="1"/>
      <c r="C479" s="1"/>
      <c r="D479" s="1"/>
      <c r="E479" s="1"/>
      <c r="F479" s="1"/>
      <c r="G479" s="1"/>
    </row>
    <row r="480" spans="2:7" ht="12.75">
      <c r="B480" s="1"/>
      <c r="C480" s="1"/>
      <c r="D480" s="1"/>
      <c r="E480" s="1"/>
      <c r="F480" s="1"/>
      <c r="G480" s="1"/>
    </row>
    <row r="481" spans="2:7" ht="12.75">
      <c r="B481" s="1"/>
      <c r="C481" s="1"/>
      <c r="D481" s="1"/>
      <c r="E481" s="1"/>
      <c r="F481" s="1"/>
      <c r="G481" s="1"/>
    </row>
    <row r="482" spans="2:7" ht="12.75">
      <c r="B482" s="1"/>
      <c r="C482" s="1"/>
      <c r="D482" s="1"/>
      <c r="E482" s="1"/>
      <c r="F482" s="1"/>
      <c r="G482" s="1"/>
    </row>
    <row r="483" spans="2:7" ht="12.75">
      <c r="B483" s="1"/>
      <c r="C483" s="1"/>
      <c r="D483" s="1"/>
      <c r="E483" s="1"/>
      <c r="F483" s="1"/>
      <c r="G483" s="1"/>
    </row>
    <row r="484" spans="2:7" ht="12.75">
      <c r="B484" s="1"/>
      <c r="C484" s="1"/>
      <c r="D484" s="1"/>
      <c r="E484" s="1"/>
      <c r="F484" s="1"/>
      <c r="G484" s="1"/>
    </row>
    <row r="485" spans="2:7" ht="12.75">
      <c r="B485" s="1"/>
      <c r="C485" s="1"/>
      <c r="D485" s="1"/>
      <c r="E485" s="1"/>
      <c r="F485" s="1"/>
      <c r="G485" s="1"/>
    </row>
    <row r="486" spans="2:7" ht="12.75">
      <c r="B486" s="1"/>
      <c r="C486" s="1"/>
      <c r="D486" s="1"/>
      <c r="E486" s="1"/>
      <c r="F486" s="1"/>
      <c r="G486" s="1"/>
    </row>
    <row r="487" spans="2:7" ht="12.75">
      <c r="B487" s="1"/>
      <c r="C487" s="1"/>
      <c r="D487" s="1"/>
      <c r="E487" s="1"/>
      <c r="F487" s="1"/>
      <c r="G487" s="1"/>
    </row>
    <row r="488" spans="2:7" ht="12.75">
      <c r="B488" s="1"/>
      <c r="C488" s="1"/>
      <c r="D488" s="1"/>
      <c r="E488" s="1"/>
      <c r="F488" s="1"/>
      <c r="G488" s="1"/>
    </row>
    <row r="489" spans="2:7" ht="12.75">
      <c r="B489" s="1"/>
      <c r="C489" s="1"/>
      <c r="D489" s="1"/>
      <c r="E489" s="1"/>
      <c r="F489" s="1"/>
      <c r="G489" s="1"/>
    </row>
    <row r="490" spans="2:7" ht="12.75">
      <c r="B490" s="1"/>
      <c r="C490" s="1"/>
      <c r="D490" s="1"/>
      <c r="E490" s="1"/>
      <c r="F490" s="1"/>
      <c r="G490" s="1"/>
    </row>
    <row r="491" spans="2:7" ht="12.75">
      <c r="B491" s="1"/>
      <c r="C491" s="1"/>
      <c r="D491" s="1"/>
      <c r="E491" s="1"/>
      <c r="F491" s="1"/>
      <c r="G491" s="1"/>
    </row>
    <row r="492" spans="2:7" ht="12.75">
      <c r="B492" s="1"/>
      <c r="C492" s="1"/>
      <c r="D492" s="1"/>
      <c r="E492" s="1"/>
      <c r="F492" s="1"/>
      <c r="G492" s="1"/>
    </row>
    <row r="493" spans="2:7" ht="12.75">
      <c r="B493" s="1"/>
      <c r="C493" s="1"/>
      <c r="D493" s="1"/>
      <c r="E493" s="1"/>
      <c r="F493" s="1"/>
      <c r="G493" s="1"/>
    </row>
    <row r="494" spans="2:7" ht="12.75">
      <c r="B494" s="1"/>
      <c r="C494" s="1"/>
      <c r="D494" s="1"/>
      <c r="E494" s="1"/>
      <c r="F494" s="1"/>
      <c r="G494" s="1"/>
    </row>
    <row r="495" spans="2:7" ht="12.75">
      <c r="B495" s="1"/>
      <c r="C495" s="1"/>
      <c r="D495" s="1"/>
      <c r="E495" s="1"/>
      <c r="F495" s="1"/>
      <c r="G495" s="1"/>
    </row>
    <row r="496" spans="2:7" ht="12.75">
      <c r="B496" s="1"/>
      <c r="C496" s="1"/>
      <c r="D496" s="1"/>
      <c r="E496" s="1"/>
      <c r="F496" s="1"/>
      <c r="G496" s="1"/>
    </row>
    <row r="497" spans="2:7" ht="12.75">
      <c r="B497" s="1"/>
      <c r="C497" s="1"/>
      <c r="D497" s="1"/>
      <c r="E497" s="1"/>
      <c r="F497" s="1"/>
      <c r="G497" s="1"/>
    </row>
    <row r="498" spans="2:7" ht="12.75">
      <c r="B498" s="1"/>
      <c r="C498" s="1"/>
      <c r="D498" s="1"/>
      <c r="E498" s="1"/>
      <c r="F498" s="1"/>
      <c r="G498" s="1"/>
    </row>
    <row r="499" spans="2:7" ht="12.75">
      <c r="B499" s="1"/>
      <c r="C499" s="1"/>
      <c r="D499" s="1"/>
      <c r="E499" s="1"/>
      <c r="F499" s="1"/>
      <c r="G499" s="1"/>
    </row>
    <row r="500" spans="2:7" ht="12.75">
      <c r="B500" s="1"/>
      <c r="C500" s="1"/>
      <c r="D500" s="1"/>
      <c r="E500" s="1"/>
      <c r="F500" s="1"/>
      <c r="G500" s="1"/>
    </row>
    <row r="501" spans="2:7" ht="12.75">
      <c r="B501" s="1"/>
      <c r="C501" s="1"/>
      <c r="D501" s="1"/>
      <c r="E501" s="1"/>
      <c r="F501" s="1"/>
      <c r="G501" s="1"/>
    </row>
    <row r="502" spans="2:7" ht="12.75">
      <c r="B502" s="1"/>
      <c r="C502" s="1"/>
      <c r="D502" s="1"/>
      <c r="E502" s="1"/>
      <c r="F502" s="1"/>
      <c r="G502" s="1"/>
    </row>
    <row r="503" spans="2:7" ht="12.75">
      <c r="B503" s="1"/>
      <c r="C503" s="1"/>
      <c r="D503" s="1"/>
      <c r="E503" s="1"/>
      <c r="F503" s="1"/>
      <c r="G503" s="1"/>
    </row>
    <row r="504" spans="2:7" ht="12.75">
      <c r="B504" s="1"/>
      <c r="C504" s="1"/>
      <c r="D504" s="1"/>
      <c r="E504" s="1"/>
      <c r="F504" s="1"/>
      <c r="G504" s="1"/>
    </row>
    <row r="505" spans="2:7" ht="12.75">
      <c r="B505" s="1"/>
      <c r="C505" s="1"/>
      <c r="D505" s="1"/>
      <c r="E505" s="1"/>
      <c r="F505" s="1"/>
      <c r="G505" s="1"/>
    </row>
    <row r="506" spans="2:7" ht="12.75">
      <c r="B506" s="1"/>
      <c r="C506" s="1"/>
      <c r="D506" s="1"/>
      <c r="E506" s="1"/>
      <c r="F506" s="1"/>
      <c r="G506" s="1"/>
    </row>
    <row r="507" spans="2:7" ht="12.75">
      <c r="B507" s="1"/>
      <c r="C507" s="1"/>
      <c r="D507" s="1"/>
      <c r="E507" s="1"/>
      <c r="F507" s="1"/>
      <c r="G507" s="1"/>
    </row>
    <row r="508" spans="2:7" ht="12.75">
      <c r="B508" s="1"/>
      <c r="C508" s="1"/>
      <c r="D508" s="1"/>
      <c r="E508" s="1"/>
      <c r="F508" s="1"/>
      <c r="G508" s="1"/>
    </row>
    <row r="509" spans="2:7" ht="12.75">
      <c r="B509" s="1"/>
      <c r="C509" s="1"/>
      <c r="D509" s="1"/>
      <c r="E509" s="1"/>
      <c r="F509" s="1"/>
      <c r="G509" s="1"/>
    </row>
    <row r="510" spans="2:7" ht="12.75">
      <c r="B510" s="1"/>
      <c r="C510" s="1"/>
      <c r="D510" s="1"/>
      <c r="E510" s="1"/>
      <c r="F510" s="1"/>
      <c r="G510" s="1"/>
    </row>
    <row r="511" spans="2:7" ht="12.75">
      <c r="B511" s="1"/>
      <c r="C511" s="1"/>
      <c r="D511" s="1"/>
      <c r="E511" s="1"/>
      <c r="F511" s="1"/>
      <c r="G511" s="1"/>
    </row>
    <row r="512" spans="2:7" ht="12.75">
      <c r="B512" s="1"/>
      <c r="C512" s="1"/>
      <c r="D512" s="1"/>
      <c r="E512" s="1"/>
      <c r="F512" s="1"/>
      <c r="G512" s="1"/>
    </row>
    <row r="513" spans="2:7" ht="12.75">
      <c r="B513" s="1"/>
      <c r="C513" s="1"/>
      <c r="D513" s="1"/>
      <c r="E513" s="1"/>
      <c r="F513" s="1"/>
      <c r="G513" s="1"/>
    </row>
    <row r="514" spans="2:7" ht="12.75">
      <c r="B514" s="1"/>
      <c r="C514" s="1"/>
      <c r="D514" s="1"/>
      <c r="E514" s="1"/>
      <c r="F514" s="1"/>
      <c r="G514" s="1"/>
    </row>
    <row r="515" spans="2:7" ht="12.75">
      <c r="B515" s="1"/>
      <c r="C515" s="1"/>
      <c r="D515" s="1"/>
      <c r="E515" s="1"/>
      <c r="F515" s="1"/>
      <c r="G515" s="1"/>
    </row>
    <row r="516" spans="2:7" ht="12.75">
      <c r="B516" s="1"/>
      <c r="C516" s="1"/>
      <c r="D516" s="1"/>
      <c r="E516" s="1"/>
      <c r="F516" s="1"/>
      <c r="G516" s="1"/>
    </row>
    <row r="517" spans="2:7" ht="12.75">
      <c r="B517" s="1"/>
      <c r="C517" s="1"/>
      <c r="D517" s="1"/>
      <c r="E517" s="1"/>
      <c r="F517" s="1"/>
      <c r="G517" s="1"/>
    </row>
    <row r="518" spans="2:7" ht="12.75">
      <c r="B518" s="1"/>
      <c r="C518" s="1"/>
      <c r="D518" s="1"/>
      <c r="E518" s="1"/>
      <c r="F518" s="1"/>
      <c r="G518" s="1"/>
    </row>
    <row r="519" spans="2:7" ht="12.75">
      <c r="B519" s="1"/>
      <c r="C519" s="1"/>
      <c r="D519" s="1"/>
      <c r="E519" s="1"/>
      <c r="F519" s="1"/>
      <c r="G519" s="1"/>
    </row>
    <row r="520" spans="2:7" ht="12.75">
      <c r="B520" s="1"/>
      <c r="C520" s="1"/>
      <c r="D520" s="1"/>
      <c r="E520" s="1"/>
      <c r="F520" s="1"/>
      <c r="G520" s="1"/>
    </row>
    <row r="521" spans="2:7" ht="12.75">
      <c r="B521" s="1"/>
      <c r="C521" s="1"/>
      <c r="D521" s="1"/>
      <c r="E521" s="1"/>
      <c r="F521" s="1"/>
      <c r="G521" s="1"/>
    </row>
    <row r="522" spans="2:7" ht="12.75">
      <c r="B522" s="1"/>
      <c r="C522" s="1"/>
      <c r="D522" s="1"/>
      <c r="E522" s="1"/>
      <c r="F522" s="1"/>
      <c r="G522" s="1"/>
    </row>
    <row r="523" spans="2:7" ht="12.75">
      <c r="B523" s="1"/>
      <c r="C523" s="1"/>
      <c r="D523" s="1"/>
      <c r="E523" s="1"/>
      <c r="F523" s="1"/>
      <c r="G523" s="1"/>
    </row>
    <row r="524" spans="2:7" ht="12.75">
      <c r="B524" s="1"/>
      <c r="C524" s="1"/>
      <c r="D524" s="1"/>
      <c r="E524" s="1"/>
      <c r="F524" s="1"/>
      <c r="G524" s="1"/>
    </row>
    <row r="525" spans="2:7" ht="12.75">
      <c r="B525" s="1"/>
      <c r="C525" s="1"/>
      <c r="D525" s="1"/>
      <c r="E525" s="1"/>
      <c r="F525" s="1"/>
      <c r="G525" s="1"/>
    </row>
    <row r="526" spans="2:7" ht="12.75">
      <c r="B526" s="1"/>
      <c r="C526" s="1"/>
      <c r="D526" s="1"/>
      <c r="E526" s="1"/>
      <c r="F526" s="1"/>
      <c r="G526" s="1"/>
    </row>
    <row r="527" spans="2:7" ht="12.75">
      <c r="B527" s="1"/>
      <c r="C527" s="1"/>
      <c r="D527" s="1"/>
      <c r="E527" s="1"/>
      <c r="F527" s="1"/>
      <c r="G527" s="1"/>
    </row>
    <row r="528" spans="2:7" ht="12.75">
      <c r="B528" s="1"/>
      <c r="C528" s="1"/>
      <c r="D528" s="1"/>
      <c r="E528" s="1"/>
      <c r="F528" s="1"/>
      <c r="G528" s="1"/>
    </row>
    <row r="529" spans="2:7" ht="12.75">
      <c r="B529" s="1"/>
      <c r="C529" s="1"/>
      <c r="D529" s="1"/>
      <c r="E529" s="1"/>
      <c r="F529" s="1"/>
      <c r="G529" s="1"/>
    </row>
    <row r="530" spans="2:7" ht="12.75">
      <c r="B530" s="1"/>
      <c r="C530" s="1"/>
      <c r="D530" s="1"/>
      <c r="E530" s="1"/>
      <c r="F530" s="1"/>
      <c r="G530" s="1"/>
    </row>
    <row r="531" spans="2:7" ht="12.75">
      <c r="B531" s="1"/>
      <c r="C531" s="1"/>
      <c r="D531" s="1"/>
      <c r="E531" s="1"/>
      <c r="F531" s="1"/>
      <c r="G531" s="1"/>
    </row>
    <row r="532" spans="2:7" ht="12.75">
      <c r="B532" s="1"/>
      <c r="C532" s="1"/>
      <c r="D532" s="1"/>
      <c r="E532" s="1"/>
      <c r="F532" s="1"/>
      <c r="G532" s="1"/>
    </row>
  </sheetData>
  <sheetProtection/>
  <mergeCells count="31">
    <mergeCell ref="B403:G403"/>
    <mergeCell ref="B346:G346"/>
    <mergeCell ref="B288:G288"/>
    <mergeCell ref="B344:G344"/>
    <mergeCell ref="B287:G287"/>
    <mergeCell ref="B404:G404"/>
    <mergeCell ref="B230:G230"/>
    <mergeCell ref="B231:G231"/>
    <mergeCell ref="B402:G402"/>
    <mergeCell ref="A343:E343"/>
    <mergeCell ref="B345:G345"/>
    <mergeCell ref="A286:E286"/>
    <mergeCell ref="B289:G289"/>
    <mergeCell ref="A400:E400"/>
    <mergeCell ref="B232:G232"/>
    <mergeCell ref="B174:G174"/>
    <mergeCell ref="B60:G60"/>
    <mergeCell ref="B175:G175"/>
    <mergeCell ref="B61:G61"/>
    <mergeCell ref="B116:G116"/>
    <mergeCell ref="A229:E229"/>
    <mergeCell ref="A115:E115"/>
    <mergeCell ref="A1:E1"/>
    <mergeCell ref="B117:G117"/>
    <mergeCell ref="B118:G118"/>
    <mergeCell ref="B173:G173"/>
    <mergeCell ref="B2:G2"/>
    <mergeCell ref="B3:G3"/>
    <mergeCell ref="A172:E172"/>
    <mergeCell ref="B59:G59"/>
    <mergeCell ref="A58:E58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47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.140625" style="0" customWidth="1"/>
    <col min="2" max="2" width="35.00390625" style="0" customWidth="1"/>
    <col min="3" max="3" width="14.421875" style="0" customWidth="1"/>
    <col min="4" max="4" width="14.28125" style="0" customWidth="1"/>
    <col min="5" max="5" width="17.421875" style="0" customWidth="1"/>
  </cols>
  <sheetData>
    <row r="1" spans="1:5" ht="12.75">
      <c r="A1" s="1547" t="s">
        <v>1296</v>
      </c>
      <c r="B1" s="1547"/>
      <c r="C1" s="1547"/>
      <c r="D1" s="1547"/>
      <c r="E1" s="1547"/>
    </row>
    <row r="2" spans="2:5" ht="12.75">
      <c r="B2" s="31"/>
      <c r="C2" s="31"/>
      <c r="D2" s="31"/>
      <c r="E2" s="31"/>
    </row>
    <row r="3" spans="1:5" ht="15.75">
      <c r="A3" s="1555" t="s">
        <v>535</v>
      </c>
      <c r="B3" s="1562"/>
      <c r="C3" s="1562"/>
      <c r="D3" s="1562"/>
      <c r="E3" s="1562"/>
    </row>
    <row r="4" spans="2:5" ht="9" customHeight="1">
      <c r="B4" s="1"/>
      <c r="C4" s="1"/>
      <c r="D4" s="1"/>
      <c r="E4" s="53"/>
    </row>
    <row r="5" spans="2:5" ht="13.5" thickBot="1">
      <c r="B5" s="1567" t="s">
        <v>15</v>
      </c>
      <c r="C5" s="1567"/>
      <c r="D5" s="1567"/>
      <c r="E5" s="1567"/>
    </row>
    <row r="6" spans="1:5" ht="30" customHeight="1" thickBot="1">
      <c r="A6" s="862" t="s">
        <v>1148</v>
      </c>
      <c r="B6" s="362" t="s">
        <v>67</v>
      </c>
      <c r="C6" s="879" t="s">
        <v>68</v>
      </c>
      <c r="D6" s="880" t="s">
        <v>69</v>
      </c>
      <c r="E6" s="780" t="s">
        <v>70</v>
      </c>
    </row>
    <row r="7" spans="1:5" ht="14.25" customHeight="1" thickBot="1">
      <c r="A7" s="825" t="s">
        <v>1149</v>
      </c>
      <c r="B7" s="869" t="s">
        <v>1150</v>
      </c>
      <c r="C7" s="870" t="s">
        <v>1151</v>
      </c>
      <c r="D7" s="871" t="s">
        <v>1152</v>
      </c>
      <c r="E7" s="872" t="s">
        <v>1172</v>
      </c>
    </row>
    <row r="8" spans="1:65" s="51" customFormat="1" ht="13.5" thickBot="1">
      <c r="A8" s="904" t="s">
        <v>1153</v>
      </c>
      <c r="B8" s="34" t="s">
        <v>1202</v>
      </c>
      <c r="C8" s="905"/>
      <c r="D8" s="843">
        <f>35320+110</f>
        <v>35430</v>
      </c>
      <c r="E8" s="884">
        <f>C8+D8</f>
        <v>35430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</row>
    <row r="9" spans="1:65" ht="12.75">
      <c r="A9" s="883" t="s">
        <v>1154</v>
      </c>
      <c r="B9" s="34" t="s">
        <v>1210</v>
      </c>
      <c r="C9" s="347"/>
      <c r="D9" s="348">
        <v>947</v>
      </c>
      <c r="E9" s="884">
        <f aca="true" t="shared" si="0" ref="E9:E14">C9+D9</f>
        <v>947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</row>
    <row r="10" spans="1:65" ht="12.75">
      <c r="A10" s="883" t="s">
        <v>1155</v>
      </c>
      <c r="B10" s="34" t="s">
        <v>1509</v>
      </c>
      <c r="C10" s="7"/>
      <c r="D10" s="349">
        <v>1197</v>
      </c>
      <c r="E10" s="1313">
        <f t="shared" si="0"/>
        <v>1197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</row>
    <row r="11" spans="1:65" ht="12.75">
      <c r="A11" s="883" t="s">
        <v>1156</v>
      </c>
      <c r="B11" s="36" t="s">
        <v>1515</v>
      </c>
      <c r="C11" s="7"/>
      <c r="D11" s="349">
        <v>788</v>
      </c>
      <c r="E11" s="1313">
        <f t="shared" si="0"/>
        <v>788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</row>
    <row r="12" spans="1:65" ht="13.5" thickBot="1">
      <c r="A12" s="883" t="s">
        <v>1157</v>
      </c>
      <c r="B12" s="186"/>
      <c r="C12" s="350"/>
      <c r="D12" s="351"/>
      <c r="E12" s="1313">
        <f t="shared" si="0"/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1:65" s="51" customFormat="1" ht="13.5" thickBot="1">
      <c r="A13" s="883" t="s">
        <v>1158</v>
      </c>
      <c r="B13" s="34"/>
      <c r="C13" s="352"/>
      <c r="D13" s="353"/>
      <c r="E13" s="1313">
        <f t="shared" si="0"/>
        <v>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</row>
    <row r="14" spans="1:65" ht="13.5" thickBot="1">
      <c r="A14" s="889" t="s">
        <v>1159</v>
      </c>
      <c r="B14" s="38"/>
      <c r="C14" s="874"/>
      <c r="D14" s="875"/>
      <c r="E14" s="1311">
        <f t="shared" si="0"/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1:5" s="26" customFormat="1" ht="13.5" thickBot="1">
      <c r="A15" s="841" t="s">
        <v>1160</v>
      </c>
      <c r="B15" s="643" t="s">
        <v>71</v>
      </c>
      <c r="C15" s="877">
        <f>C8+C13</f>
        <v>0</v>
      </c>
      <c r="D15" s="878">
        <f>SUM(D8:D14)</f>
        <v>38362</v>
      </c>
      <c r="E15" s="658">
        <f>SUM(E8:E14)</f>
        <v>38362</v>
      </c>
    </row>
    <row r="16" spans="1:5" s="26" customFormat="1" ht="12.75">
      <c r="A16" s="839"/>
      <c r="B16" s="56"/>
      <c r="C16" s="882"/>
      <c r="D16" s="882"/>
      <c r="E16" s="882"/>
    </row>
    <row r="17" spans="2:5" ht="12.75">
      <c r="B17" s="1"/>
      <c r="C17" s="1"/>
      <c r="D17" s="1"/>
      <c r="E17" s="1"/>
    </row>
    <row r="18" spans="1:5" ht="12.75">
      <c r="A18" s="1547" t="s">
        <v>1297</v>
      </c>
      <c r="B18" s="1547"/>
      <c r="C18" s="1547"/>
      <c r="D18" s="1547"/>
      <c r="E18" s="1547"/>
    </row>
    <row r="19" spans="2:5" ht="12.75">
      <c r="B19" s="31"/>
      <c r="C19" s="31"/>
      <c r="D19" s="31"/>
      <c r="E19" s="31"/>
    </row>
    <row r="20" spans="2:5" ht="15.75">
      <c r="B20" s="1555" t="s">
        <v>536</v>
      </c>
      <c r="C20" s="1555"/>
      <c r="D20" s="1555"/>
      <c r="E20" s="1555"/>
    </row>
    <row r="21" spans="2:5" ht="12.75">
      <c r="B21" s="1"/>
      <c r="C21" s="1"/>
      <c r="D21" s="1"/>
      <c r="E21" s="1"/>
    </row>
    <row r="22" spans="2:5" ht="13.5" thickBot="1">
      <c r="B22" s="1567" t="s">
        <v>15</v>
      </c>
      <c r="C22" s="1567"/>
      <c r="D22" s="1567"/>
      <c r="E22" s="1567"/>
    </row>
    <row r="23" spans="1:5" ht="30" customHeight="1" thickBot="1">
      <c r="A23" s="862" t="s">
        <v>1148</v>
      </c>
      <c r="B23" s="885" t="s">
        <v>67</v>
      </c>
      <c r="C23" s="886" t="s">
        <v>68</v>
      </c>
      <c r="D23" s="887" t="s">
        <v>69</v>
      </c>
      <c r="E23" s="888" t="s">
        <v>70</v>
      </c>
    </row>
    <row r="24" spans="1:5" ht="13.5" customHeight="1">
      <c r="A24" s="825" t="s">
        <v>1149</v>
      </c>
      <c r="B24" s="1286" t="s">
        <v>1150</v>
      </c>
      <c r="C24" s="797" t="s">
        <v>1151</v>
      </c>
      <c r="D24" s="798" t="s">
        <v>1152</v>
      </c>
      <c r="E24" s="799" t="s">
        <v>1172</v>
      </c>
    </row>
    <row r="25" spans="1:5" ht="25.5">
      <c r="A25" s="786" t="s">
        <v>1153</v>
      </c>
      <c r="B25" s="1287" t="s">
        <v>72</v>
      </c>
      <c r="C25" s="35"/>
      <c r="D25" s="40">
        <f>9000+200+174+1880</f>
        <v>11254</v>
      </c>
      <c r="E25" s="204">
        <f aca="true" t="shared" si="1" ref="E25:E45">C25+D25</f>
        <v>11254</v>
      </c>
    </row>
    <row r="26" spans="1:5" ht="12.75">
      <c r="A26" s="786" t="s">
        <v>1154</v>
      </c>
      <c r="B26" s="1287" t="s">
        <v>73</v>
      </c>
      <c r="C26" s="35"/>
      <c r="D26" s="40">
        <f>15000-685</f>
        <v>14315</v>
      </c>
      <c r="E26" s="204">
        <f t="shared" si="1"/>
        <v>14315</v>
      </c>
    </row>
    <row r="27" spans="1:5" ht="12.75">
      <c r="A27" s="786" t="s">
        <v>1155</v>
      </c>
      <c r="B27" s="440" t="s">
        <v>74</v>
      </c>
      <c r="C27" s="35"/>
      <c r="D27" s="40">
        <f>1612-377</f>
        <v>1235</v>
      </c>
      <c r="E27" s="204">
        <f t="shared" si="1"/>
        <v>1235</v>
      </c>
    </row>
    <row r="28" spans="1:5" ht="12.75">
      <c r="A28" s="786" t="s">
        <v>1156</v>
      </c>
      <c r="B28" s="440" t="s">
        <v>75</v>
      </c>
      <c r="C28" s="35"/>
      <c r="D28" s="40">
        <f>82320-1541-12444</f>
        <v>68335</v>
      </c>
      <c r="E28" s="204">
        <f t="shared" si="1"/>
        <v>68335</v>
      </c>
    </row>
    <row r="29" spans="1:5" ht="12.75">
      <c r="A29" s="786" t="s">
        <v>1157</v>
      </c>
      <c r="B29" s="440" t="s">
        <v>1203</v>
      </c>
      <c r="C29" s="35"/>
      <c r="D29" s="40">
        <v>23000</v>
      </c>
      <c r="E29" s="204">
        <f t="shared" si="1"/>
        <v>23000</v>
      </c>
    </row>
    <row r="30" spans="1:5" ht="12.75">
      <c r="A30" s="786" t="s">
        <v>1158</v>
      </c>
      <c r="B30" s="440" t="s">
        <v>76</v>
      </c>
      <c r="C30" s="35"/>
      <c r="D30" s="40">
        <v>3700</v>
      </c>
      <c r="E30" s="204">
        <f t="shared" si="1"/>
        <v>3700</v>
      </c>
    </row>
    <row r="31" spans="1:5" ht="12.75">
      <c r="A31" s="786" t="s">
        <v>1159</v>
      </c>
      <c r="B31" s="440" t="s">
        <v>77</v>
      </c>
      <c r="C31" s="35"/>
      <c r="D31" s="40">
        <v>7700</v>
      </c>
      <c r="E31" s="204">
        <f t="shared" si="1"/>
        <v>7700</v>
      </c>
    </row>
    <row r="32" spans="1:5" ht="12.75">
      <c r="A32" s="786" t="s">
        <v>1160</v>
      </c>
      <c r="B32" s="440" t="s">
        <v>78</v>
      </c>
      <c r="C32" s="35"/>
      <c r="D32" s="40">
        <v>2800</v>
      </c>
      <c r="E32" s="204">
        <f t="shared" si="1"/>
        <v>2800</v>
      </c>
    </row>
    <row r="33" spans="1:5" ht="12.75">
      <c r="A33" s="786" t="s">
        <v>1161</v>
      </c>
      <c r="B33" s="398" t="s">
        <v>79</v>
      </c>
      <c r="C33" s="12"/>
      <c r="D33" s="42">
        <v>0</v>
      </c>
      <c r="E33" s="200">
        <f t="shared" si="1"/>
        <v>0</v>
      </c>
    </row>
    <row r="34" spans="1:5" ht="12.75">
      <c r="A34" s="786" t="s">
        <v>1162</v>
      </c>
      <c r="B34" s="398" t="s">
        <v>80</v>
      </c>
      <c r="C34" s="12"/>
      <c r="D34" s="42">
        <v>33000</v>
      </c>
      <c r="E34" s="200">
        <f t="shared" si="1"/>
        <v>33000</v>
      </c>
    </row>
    <row r="35" spans="1:5" ht="12.75">
      <c r="A35" s="786" t="s">
        <v>1163</v>
      </c>
      <c r="B35" s="398" t="s">
        <v>81</v>
      </c>
      <c r="C35" s="12"/>
      <c r="D35" s="42">
        <f>33000+5500</f>
        <v>38500</v>
      </c>
      <c r="E35" s="200">
        <f t="shared" si="1"/>
        <v>38500</v>
      </c>
    </row>
    <row r="36" spans="1:5" ht="12.75">
      <c r="A36" s="786" t="s">
        <v>1164</v>
      </c>
      <c r="B36" s="398" t="s">
        <v>1204</v>
      </c>
      <c r="C36" s="12"/>
      <c r="D36" s="42">
        <f>1000-1000</f>
        <v>0</v>
      </c>
      <c r="E36" s="200">
        <f t="shared" si="1"/>
        <v>0</v>
      </c>
    </row>
    <row r="37" spans="1:5" ht="12.75">
      <c r="A37" s="786" t="s">
        <v>1165</v>
      </c>
      <c r="B37" s="398" t="s">
        <v>1205</v>
      </c>
      <c r="C37" s="12"/>
      <c r="D37" s="42">
        <v>1229</v>
      </c>
      <c r="E37" s="200">
        <f t="shared" si="1"/>
        <v>1229</v>
      </c>
    </row>
    <row r="38" spans="1:5" ht="12.75">
      <c r="A38" s="786" t="s">
        <v>1166</v>
      </c>
      <c r="B38" s="398" t="s">
        <v>1206</v>
      </c>
      <c r="C38" s="12"/>
      <c r="D38" s="42">
        <v>2000</v>
      </c>
      <c r="E38" s="200">
        <f t="shared" si="1"/>
        <v>2000</v>
      </c>
    </row>
    <row r="39" spans="1:5" ht="12.75">
      <c r="A39" s="786" t="s">
        <v>1167</v>
      </c>
      <c r="B39" s="398" t="s">
        <v>82</v>
      </c>
      <c r="C39" s="12"/>
      <c r="D39" s="37">
        <f>379-379</f>
        <v>0</v>
      </c>
      <c r="E39" s="200">
        <f t="shared" si="1"/>
        <v>0</v>
      </c>
    </row>
    <row r="40" spans="1:5" ht="12.75">
      <c r="A40" s="786" t="s">
        <v>1168</v>
      </c>
      <c r="B40" s="1288" t="s">
        <v>83</v>
      </c>
      <c r="C40" s="588"/>
      <c r="D40" s="1285">
        <v>1000</v>
      </c>
      <c r="E40" s="204">
        <f t="shared" si="1"/>
        <v>1000</v>
      </c>
    </row>
    <row r="41" spans="1:5" ht="12.75">
      <c r="A41" s="786" t="s">
        <v>1169</v>
      </c>
      <c r="B41" s="406" t="s">
        <v>1381</v>
      </c>
      <c r="C41" s="588"/>
      <c r="D41" s="299">
        <v>600</v>
      </c>
      <c r="E41" s="584">
        <f t="shared" si="1"/>
        <v>600</v>
      </c>
    </row>
    <row r="42" spans="1:5" ht="12.75">
      <c r="A42" s="786" t="s">
        <v>1170</v>
      </c>
      <c r="B42" s="332" t="s">
        <v>1385</v>
      </c>
      <c r="C42" s="188"/>
      <c r="D42" s="189">
        <v>0</v>
      </c>
      <c r="E42" s="207">
        <f t="shared" si="1"/>
        <v>0</v>
      </c>
    </row>
    <row r="43" spans="1:5" ht="12.75">
      <c r="A43" s="789" t="s">
        <v>1171</v>
      </c>
      <c r="B43" s="305" t="s">
        <v>1348</v>
      </c>
      <c r="C43" s="188"/>
      <c r="D43" s="189">
        <v>1541</v>
      </c>
      <c r="E43" s="207">
        <f t="shared" si="1"/>
        <v>1541</v>
      </c>
    </row>
    <row r="44" spans="1:5" ht="12.75">
      <c r="A44" s="786" t="s">
        <v>1173</v>
      </c>
      <c r="B44" s="332" t="s">
        <v>1428</v>
      </c>
      <c r="C44" s="188"/>
      <c r="D44" s="189">
        <v>54857</v>
      </c>
      <c r="E44" s="207">
        <f t="shared" si="1"/>
        <v>54857</v>
      </c>
    </row>
    <row r="45" spans="1:5" ht="13.5" thickBot="1">
      <c r="A45" s="1381" t="s">
        <v>1174</v>
      </c>
      <c r="B45" s="440" t="s">
        <v>1487</v>
      </c>
      <c r="C45" s="39"/>
      <c r="D45" s="41">
        <f>2019+186</f>
        <v>2205</v>
      </c>
      <c r="E45" s="214">
        <f t="shared" si="1"/>
        <v>2205</v>
      </c>
    </row>
    <row r="46" spans="1:5" ht="13.5" thickBot="1">
      <c r="A46" s="893" t="s">
        <v>1175</v>
      </c>
      <c r="B46" s="890" t="s">
        <v>71</v>
      </c>
      <c r="C46" s="891"/>
      <c r="D46" s="891">
        <f>SUM(D25:D45)</f>
        <v>267271</v>
      </c>
      <c r="E46" s="892">
        <f>SUM(E25:E45)</f>
        <v>267271</v>
      </c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s="26" customFormat="1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</sheetData>
  <sheetProtection/>
  <mergeCells count="6">
    <mergeCell ref="A3:E3"/>
    <mergeCell ref="A1:E1"/>
    <mergeCell ref="A18:E18"/>
    <mergeCell ref="B5:E5"/>
    <mergeCell ref="B20:E20"/>
    <mergeCell ref="B22:E22"/>
  </mergeCells>
  <printOptions/>
  <pageMargins left="0.5511811023622047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00390625" style="0" customWidth="1"/>
    <col min="2" max="2" width="41.7109375" style="0" customWidth="1"/>
    <col min="3" max="3" width="14.8515625" style="0" customWidth="1"/>
    <col min="4" max="4" width="13.28125" style="0" customWidth="1"/>
    <col min="5" max="5" width="17.8515625" style="0" customWidth="1"/>
  </cols>
  <sheetData>
    <row r="1" spans="1:5" ht="12.75">
      <c r="A1" s="1547" t="s">
        <v>1298</v>
      </c>
      <c r="B1" s="1547"/>
      <c r="C1" s="1547"/>
      <c r="D1" s="1547"/>
      <c r="E1" s="1547"/>
    </row>
    <row r="2" spans="2:5" ht="15.75">
      <c r="B2" s="1555" t="s">
        <v>537</v>
      </c>
      <c r="C2" s="1555"/>
      <c r="D2" s="1555"/>
      <c r="E2" s="1555"/>
    </row>
    <row r="3" spans="2:5" ht="13.5" thickBot="1">
      <c r="B3" s="1567" t="s">
        <v>15</v>
      </c>
      <c r="C3" s="1567"/>
      <c r="D3" s="1567"/>
      <c r="E3" s="1567"/>
    </row>
    <row r="4" spans="1:5" ht="26.25" thickBot="1">
      <c r="A4" s="830" t="s">
        <v>1148</v>
      </c>
      <c r="B4" s="248" t="s">
        <v>3</v>
      </c>
      <c r="C4" s="906" t="s">
        <v>68</v>
      </c>
      <c r="D4" s="880" t="s">
        <v>69</v>
      </c>
      <c r="E4" s="780" t="s">
        <v>70</v>
      </c>
    </row>
    <row r="5" spans="1:5" ht="13.5" thickBot="1">
      <c r="A5" s="962" t="s">
        <v>1149</v>
      </c>
      <c r="B5" s="1007" t="s">
        <v>1150</v>
      </c>
      <c r="C5" s="1008" t="s">
        <v>1151</v>
      </c>
      <c r="D5" s="1009" t="s">
        <v>1152</v>
      </c>
      <c r="E5" s="1023" t="s">
        <v>1172</v>
      </c>
    </row>
    <row r="6" spans="1:5" ht="12.75">
      <c r="A6" s="904" t="s">
        <v>1153</v>
      </c>
      <c r="B6" s="1404" t="s">
        <v>538</v>
      </c>
      <c r="C6" s="761" t="s">
        <v>680</v>
      </c>
      <c r="D6" s="234">
        <f>13000+952</f>
        <v>13952</v>
      </c>
      <c r="E6" s="235">
        <f>SUM(D6)</f>
        <v>13952</v>
      </c>
    </row>
    <row r="7" spans="1:5" ht="12.75">
      <c r="A7" s="883" t="s">
        <v>1154</v>
      </c>
      <c r="B7" s="230" t="s">
        <v>539</v>
      </c>
      <c r="C7" s="225" t="s">
        <v>680</v>
      </c>
      <c r="D7" s="767">
        <f>2000+103</f>
        <v>2103</v>
      </c>
      <c r="E7" s="229">
        <f aca="true" t="shared" si="0" ref="E7:E36">SUM(D7)</f>
        <v>2103</v>
      </c>
    </row>
    <row r="8" spans="1:5" ht="12.75">
      <c r="A8" s="883" t="s">
        <v>1155</v>
      </c>
      <c r="B8" s="230" t="s">
        <v>540</v>
      </c>
      <c r="C8" s="225" t="s">
        <v>680</v>
      </c>
      <c r="D8" s="767">
        <f>40000-15461</f>
        <v>24539</v>
      </c>
      <c r="E8" s="229">
        <f t="shared" si="0"/>
        <v>24539</v>
      </c>
    </row>
    <row r="9" spans="1:5" ht="12.75">
      <c r="A9" s="883" t="s">
        <v>1156</v>
      </c>
      <c r="B9" s="230" t="s">
        <v>541</v>
      </c>
      <c r="C9" s="225" t="s">
        <v>680</v>
      </c>
      <c r="D9" s="767">
        <f>50160+1280</f>
        <v>51440</v>
      </c>
      <c r="E9" s="229">
        <f t="shared" si="0"/>
        <v>51440</v>
      </c>
    </row>
    <row r="10" spans="1:5" ht="12.75">
      <c r="A10" s="883" t="s">
        <v>1157</v>
      </c>
      <c r="B10" s="230" t="s">
        <v>542</v>
      </c>
      <c r="C10" s="225" t="s">
        <v>680</v>
      </c>
      <c r="D10" s="767">
        <f>2500-279</f>
        <v>2221</v>
      </c>
      <c r="E10" s="229">
        <f t="shared" si="0"/>
        <v>2221</v>
      </c>
    </row>
    <row r="11" spans="1:5" ht="12.75">
      <c r="A11" s="883" t="s">
        <v>1158</v>
      </c>
      <c r="B11" s="230" t="s">
        <v>543</v>
      </c>
      <c r="C11" s="225" t="s">
        <v>680</v>
      </c>
      <c r="D11" s="767">
        <f>30000-5167</f>
        <v>24833</v>
      </c>
      <c r="E11" s="229">
        <f t="shared" si="0"/>
        <v>24833</v>
      </c>
    </row>
    <row r="12" spans="1:5" ht="12.75">
      <c r="A12" s="883" t="s">
        <v>1159</v>
      </c>
      <c r="B12" s="230" t="s">
        <v>544</v>
      </c>
      <c r="C12" s="225" t="s">
        <v>680</v>
      </c>
      <c r="D12" s="767">
        <f>50000+340-2255</f>
        <v>48085</v>
      </c>
      <c r="E12" s="229">
        <f t="shared" si="0"/>
        <v>48085</v>
      </c>
    </row>
    <row r="13" spans="1:5" ht="12.75">
      <c r="A13" s="883" t="s">
        <v>1160</v>
      </c>
      <c r="B13" s="230" t="s">
        <v>545</v>
      </c>
      <c r="C13" s="225" t="s">
        <v>680</v>
      </c>
      <c r="D13" s="767">
        <f>2000-985</f>
        <v>1015</v>
      </c>
      <c r="E13" s="229">
        <f t="shared" si="0"/>
        <v>1015</v>
      </c>
    </row>
    <row r="14" spans="1:5" ht="12.75">
      <c r="A14" s="883" t="s">
        <v>1161</v>
      </c>
      <c r="B14" s="230" t="s">
        <v>546</v>
      </c>
      <c r="C14" s="225" t="s">
        <v>680</v>
      </c>
      <c r="D14" s="767">
        <f>2500-715</f>
        <v>1785</v>
      </c>
      <c r="E14" s="229">
        <f t="shared" si="0"/>
        <v>1785</v>
      </c>
    </row>
    <row r="15" spans="1:5" ht="12.75">
      <c r="A15" s="883" t="s">
        <v>1162</v>
      </c>
      <c r="B15" s="230" t="s">
        <v>547</v>
      </c>
      <c r="C15" s="225" t="s">
        <v>680</v>
      </c>
      <c r="D15" s="767">
        <f>600-120</f>
        <v>480</v>
      </c>
      <c r="E15" s="229">
        <f t="shared" si="0"/>
        <v>480</v>
      </c>
    </row>
    <row r="16" spans="1:5" ht="12.75">
      <c r="A16" s="883" t="s">
        <v>1163</v>
      </c>
      <c r="B16" s="230" t="s">
        <v>1199</v>
      </c>
      <c r="C16" s="225" t="s">
        <v>680</v>
      </c>
      <c r="D16" s="767">
        <f>200-108</f>
        <v>92</v>
      </c>
      <c r="E16" s="229">
        <f t="shared" si="0"/>
        <v>92</v>
      </c>
    </row>
    <row r="17" spans="1:5" ht="12.75">
      <c r="A17" s="883" t="s">
        <v>1164</v>
      </c>
      <c r="B17" s="230" t="s">
        <v>548</v>
      </c>
      <c r="C17" s="225" t="s">
        <v>680</v>
      </c>
      <c r="D17" s="767">
        <f>500-219</f>
        <v>281</v>
      </c>
      <c r="E17" s="229">
        <f t="shared" si="0"/>
        <v>281</v>
      </c>
    </row>
    <row r="18" spans="1:5" ht="12.75">
      <c r="A18" s="883" t="s">
        <v>1165</v>
      </c>
      <c r="B18" s="230" t="s">
        <v>549</v>
      </c>
      <c r="C18" s="225" t="s">
        <v>680</v>
      </c>
      <c r="D18" s="767">
        <v>0</v>
      </c>
      <c r="E18" s="229">
        <f t="shared" si="0"/>
        <v>0</v>
      </c>
    </row>
    <row r="19" spans="1:5" ht="12.75">
      <c r="A19" s="883" t="s">
        <v>1166</v>
      </c>
      <c r="B19" s="230" t="s">
        <v>550</v>
      </c>
      <c r="C19" s="225" t="s">
        <v>680</v>
      </c>
      <c r="D19" s="767">
        <f>8000-396</f>
        <v>7604</v>
      </c>
      <c r="E19" s="229">
        <f t="shared" si="0"/>
        <v>7604</v>
      </c>
    </row>
    <row r="20" spans="1:5" ht="12.75">
      <c r="A20" s="883" t="s">
        <v>1167</v>
      </c>
      <c r="B20" s="230" t="s">
        <v>557</v>
      </c>
      <c r="C20" s="225" t="s">
        <v>680</v>
      </c>
      <c r="D20" s="767">
        <v>150</v>
      </c>
      <c r="E20" s="229">
        <f t="shared" si="0"/>
        <v>150</v>
      </c>
    </row>
    <row r="21" spans="1:5" ht="12.75">
      <c r="A21" s="786" t="s">
        <v>1168</v>
      </c>
      <c r="B21" s="230" t="s">
        <v>551</v>
      </c>
      <c r="C21" s="225" t="s">
        <v>680</v>
      </c>
      <c r="D21" s="767">
        <f>35000+5478-18892</f>
        <v>21586</v>
      </c>
      <c r="E21" s="229">
        <f t="shared" si="0"/>
        <v>21586</v>
      </c>
    </row>
    <row r="22" spans="1:5" ht="12.75">
      <c r="A22" s="786" t="s">
        <v>1169</v>
      </c>
      <c r="B22" s="230" t="s">
        <v>552</v>
      </c>
      <c r="C22" s="225" t="s">
        <v>680</v>
      </c>
      <c r="D22" s="767">
        <f>30000-2263</f>
        <v>27737</v>
      </c>
      <c r="E22" s="229">
        <f t="shared" si="0"/>
        <v>27737</v>
      </c>
    </row>
    <row r="23" spans="1:5" ht="12.75">
      <c r="A23" s="786" t="s">
        <v>1170</v>
      </c>
      <c r="B23" s="230" t="s">
        <v>553</v>
      </c>
      <c r="C23" s="225" t="s">
        <v>680</v>
      </c>
      <c r="D23" s="767">
        <f>2000+442</f>
        <v>2442</v>
      </c>
      <c r="E23" s="229">
        <f t="shared" si="0"/>
        <v>2442</v>
      </c>
    </row>
    <row r="24" spans="1:5" ht="12.75">
      <c r="A24" s="786" t="s">
        <v>1171</v>
      </c>
      <c r="B24" s="230" t="s">
        <v>1201</v>
      </c>
      <c r="C24" s="225" t="s">
        <v>680</v>
      </c>
      <c r="D24" s="767">
        <f>4000-1440</f>
        <v>2560</v>
      </c>
      <c r="E24" s="229">
        <f t="shared" si="0"/>
        <v>2560</v>
      </c>
    </row>
    <row r="25" spans="1:5" ht="12.75">
      <c r="A25" s="786" t="s">
        <v>1173</v>
      </c>
      <c r="B25" s="230" t="s">
        <v>1200</v>
      </c>
      <c r="C25" s="225" t="s">
        <v>680</v>
      </c>
      <c r="D25" s="767">
        <f>8000+12</f>
        <v>8012</v>
      </c>
      <c r="E25" s="229">
        <f t="shared" si="0"/>
        <v>8012</v>
      </c>
    </row>
    <row r="26" spans="1:5" ht="12.75">
      <c r="A26" s="786" t="s">
        <v>1174</v>
      </c>
      <c r="B26" s="230" t="s">
        <v>554</v>
      </c>
      <c r="C26" s="225" t="s">
        <v>680</v>
      </c>
      <c r="D26" s="767">
        <f>8000-2645</f>
        <v>5355</v>
      </c>
      <c r="E26" s="229">
        <f t="shared" si="0"/>
        <v>5355</v>
      </c>
    </row>
    <row r="27" spans="1:5" ht="12.75">
      <c r="A27" s="786" t="s">
        <v>1175</v>
      </c>
      <c r="B27" s="230" t="s">
        <v>555</v>
      </c>
      <c r="C27" s="225" t="s">
        <v>680</v>
      </c>
      <c r="D27" s="767">
        <f>600-163</f>
        <v>437</v>
      </c>
      <c r="E27" s="229">
        <f t="shared" si="0"/>
        <v>437</v>
      </c>
    </row>
    <row r="28" spans="1:5" ht="12.75">
      <c r="A28" s="786" t="s">
        <v>1176</v>
      </c>
      <c r="B28" s="355" t="s">
        <v>1432</v>
      </c>
      <c r="C28" s="225" t="s">
        <v>680</v>
      </c>
      <c r="D28" s="767">
        <f>200+300+580</f>
        <v>1080</v>
      </c>
      <c r="E28" s="229">
        <f t="shared" si="0"/>
        <v>1080</v>
      </c>
    </row>
    <row r="29" spans="1:5" ht="12.75">
      <c r="A29" s="786" t="s">
        <v>1177</v>
      </c>
      <c r="B29" s="355" t="s">
        <v>556</v>
      </c>
      <c r="C29" s="225" t="s">
        <v>680</v>
      </c>
      <c r="D29" s="767">
        <f>7939-1493</f>
        <v>6446</v>
      </c>
      <c r="E29" s="229">
        <f t="shared" si="0"/>
        <v>6446</v>
      </c>
    </row>
    <row r="30" spans="1:5" ht="12.75">
      <c r="A30" s="786" t="s">
        <v>1178</v>
      </c>
      <c r="B30" s="230" t="s">
        <v>1394</v>
      </c>
      <c r="C30" s="225" t="s">
        <v>680</v>
      </c>
      <c r="D30" s="767">
        <v>8547</v>
      </c>
      <c r="E30" s="229">
        <f t="shared" si="0"/>
        <v>8547</v>
      </c>
    </row>
    <row r="31" spans="1:5" ht="12.75">
      <c r="A31" s="907" t="s">
        <v>1179</v>
      </c>
      <c r="B31" s="1382" t="s">
        <v>1430</v>
      </c>
      <c r="C31" s="225" t="s">
        <v>680</v>
      </c>
      <c r="D31" s="767">
        <f>70843+6745-11799</f>
        <v>65789</v>
      </c>
      <c r="E31" s="229">
        <f t="shared" si="0"/>
        <v>65789</v>
      </c>
    </row>
    <row r="32" spans="1:5" ht="12.75">
      <c r="A32" s="907" t="s">
        <v>1180</v>
      </c>
      <c r="B32" s="305" t="s">
        <v>1431</v>
      </c>
      <c r="C32" s="225" t="s">
        <v>680</v>
      </c>
      <c r="D32" s="767">
        <v>5839</v>
      </c>
      <c r="E32" s="229">
        <f t="shared" si="0"/>
        <v>5839</v>
      </c>
    </row>
    <row r="33" spans="1:5" ht="12.75">
      <c r="A33" s="786" t="s">
        <v>1181</v>
      </c>
      <c r="B33" s="230" t="s">
        <v>1433</v>
      </c>
      <c r="C33" s="225" t="s">
        <v>680</v>
      </c>
      <c r="D33" s="767">
        <f>7000+4907</f>
        <v>11907</v>
      </c>
      <c r="E33" s="229">
        <f t="shared" si="0"/>
        <v>11907</v>
      </c>
    </row>
    <row r="34" spans="1:5" ht="12.75">
      <c r="A34" s="786" t="s">
        <v>1182</v>
      </c>
      <c r="B34" s="230" t="s">
        <v>1437</v>
      </c>
      <c r="C34" s="225" t="s">
        <v>680</v>
      </c>
      <c r="D34" s="767">
        <f>5986+5649</f>
        <v>11635</v>
      </c>
      <c r="E34" s="229">
        <f t="shared" si="0"/>
        <v>11635</v>
      </c>
    </row>
    <row r="35" spans="1:5" ht="12.75">
      <c r="A35" s="786" t="s">
        <v>1183</v>
      </c>
      <c r="B35" s="230" t="s">
        <v>1511</v>
      </c>
      <c r="C35" s="225" t="s">
        <v>680</v>
      </c>
      <c r="D35" s="767">
        <v>27062</v>
      </c>
      <c r="E35" s="229">
        <f t="shared" si="0"/>
        <v>27062</v>
      </c>
    </row>
    <row r="36" spans="1:5" ht="13.5" thickBot="1">
      <c r="A36" s="1381" t="s">
        <v>1184</v>
      </c>
      <c r="B36" s="1399" t="s">
        <v>1512</v>
      </c>
      <c r="C36" s="225" t="s">
        <v>680</v>
      </c>
      <c r="D36" s="531">
        <v>45</v>
      </c>
      <c r="E36" s="229">
        <f t="shared" si="0"/>
        <v>45</v>
      </c>
    </row>
    <row r="37" spans="1:5" ht="16.5" thickBot="1">
      <c r="A37" s="841" t="s">
        <v>1185</v>
      </c>
      <c r="B37" s="357" t="s">
        <v>558</v>
      </c>
      <c r="C37" s="358"/>
      <c r="D37" s="842">
        <f>SUM(D6:D36)</f>
        <v>385059</v>
      </c>
      <c r="E37" s="842">
        <f>SUM(E6:E36)</f>
        <v>385059</v>
      </c>
    </row>
    <row r="38" spans="1:5" ht="15.75">
      <c r="A38" s="839"/>
      <c r="B38" s="356"/>
      <c r="C38" s="30"/>
      <c r="D38" s="882"/>
      <c r="E38" s="882"/>
    </row>
    <row r="39" spans="1:5" ht="15.75">
      <c r="A39" s="839"/>
      <c r="B39" s="356"/>
      <c r="C39" s="30"/>
      <c r="D39" s="882"/>
      <c r="E39" s="882"/>
    </row>
    <row r="40" spans="2:5" ht="15.75">
      <c r="B40" s="356"/>
      <c r="C40" s="30"/>
      <c r="D40" s="30"/>
      <c r="E40" s="30"/>
    </row>
    <row r="41" spans="4:5" ht="12.75">
      <c r="D41" s="132"/>
      <c r="E41" s="132"/>
    </row>
    <row r="42" spans="1:5" ht="12.75">
      <c r="A42" s="1547" t="s">
        <v>1299</v>
      </c>
      <c r="B42" s="1547"/>
      <c r="C42" s="1547"/>
      <c r="D42" s="1547"/>
      <c r="E42" s="1547"/>
    </row>
    <row r="43" spans="2:5" ht="15.75">
      <c r="B43" s="1555" t="s">
        <v>559</v>
      </c>
      <c r="C43" s="1555"/>
      <c r="D43" s="1555"/>
      <c r="E43" s="1555"/>
    </row>
    <row r="44" spans="2:5" ht="13.5" thickBot="1">
      <c r="B44" s="1567" t="s">
        <v>15</v>
      </c>
      <c r="C44" s="1567"/>
      <c r="D44" s="1567"/>
      <c r="E44" s="1567"/>
    </row>
    <row r="45" spans="1:5" ht="26.25" thickBot="1">
      <c r="A45" s="830" t="s">
        <v>1148</v>
      </c>
      <c r="B45" s="248" t="s">
        <v>67</v>
      </c>
      <c r="C45" s="752" t="s">
        <v>68</v>
      </c>
      <c r="D45" s="880" t="s">
        <v>69</v>
      </c>
      <c r="E45" s="780" t="s">
        <v>70</v>
      </c>
    </row>
    <row r="46" spans="1:5" ht="13.5" thickBot="1">
      <c r="A46" s="962" t="s">
        <v>1149</v>
      </c>
      <c r="B46" s="1007" t="s">
        <v>1150</v>
      </c>
      <c r="C46" s="1008" t="s">
        <v>1151</v>
      </c>
      <c r="D46" s="1009" t="s">
        <v>1152</v>
      </c>
      <c r="E46" s="1023" t="s">
        <v>1172</v>
      </c>
    </row>
    <row r="47" spans="1:5" ht="12.75">
      <c r="A47" s="904" t="s">
        <v>1153</v>
      </c>
      <c r="B47" s="1404" t="s">
        <v>1449</v>
      </c>
      <c r="C47" s="761"/>
      <c r="D47" s="761">
        <v>1323</v>
      </c>
      <c r="E47" s="1405">
        <f>SUM(C47:D47)</f>
        <v>1323</v>
      </c>
    </row>
    <row r="48" spans="1:5" ht="13.5" thickBot="1">
      <c r="A48" s="883" t="s">
        <v>1154</v>
      </c>
      <c r="B48" s="34"/>
      <c r="C48" s="225"/>
      <c r="D48" s="225"/>
      <c r="E48" s="1405">
        <f>SUM(C48:D48)</f>
        <v>0</v>
      </c>
    </row>
    <row r="49" spans="1:5" ht="13.5" thickBot="1">
      <c r="A49" s="841" t="s">
        <v>1155</v>
      </c>
      <c r="B49" s="236" t="s">
        <v>560</v>
      </c>
      <c r="C49" s="361"/>
      <c r="D49" s="770">
        <f>SUM(D47:D48)</f>
        <v>1323</v>
      </c>
      <c r="E49" s="771">
        <f>SUM(E47:E48)</f>
        <v>1323</v>
      </c>
    </row>
    <row r="50" spans="1:5" ht="12.75">
      <c r="A50" s="839"/>
      <c r="B50" s="56"/>
      <c r="C50" s="48"/>
      <c r="D50" s="56"/>
      <c r="E50" s="56"/>
    </row>
    <row r="51" spans="1:5" ht="12.75">
      <c r="A51" s="839"/>
      <c r="B51" s="56"/>
      <c r="C51" s="48"/>
      <c r="D51" s="56"/>
      <c r="E51" s="56"/>
    </row>
    <row r="52" spans="1:5" ht="12.75">
      <c r="A52" s="839"/>
      <c r="B52" s="56"/>
      <c r="C52" s="48"/>
      <c r="D52" s="56"/>
      <c r="E52" s="56"/>
    </row>
    <row r="53" spans="1:5" ht="12.75">
      <c r="A53" s="839"/>
      <c r="B53" s="56"/>
      <c r="C53" s="48"/>
      <c r="D53" s="56"/>
      <c r="E53" s="56"/>
    </row>
    <row r="55" spans="1:5" ht="12.75">
      <c r="A55" s="1547" t="s">
        <v>1300</v>
      </c>
      <c r="B55" s="1547"/>
      <c r="C55" s="1547"/>
      <c r="D55" s="1547"/>
      <c r="E55" s="1547"/>
    </row>
    <row r="56" spans="2:5" ht="15.75">
      <c r="B56" s="1555" t="s">
        <v>561</v>
      </c>
      <c r="C56" s="1555"/>
      <c r="D56" s="1555"/>
      <c r="E56" s="1555"/>
    </row>
    <row r="57" spans="2:5" ht="13.5" thickBot="1">
      <c r="B57" s="1567" t="s">
        <v>15</v>
      </c>
      <c r="C57" s="1567"/>
      <c r="D57" s="1567"/>
      <c r="E57" s="1567"/>
    </row>
    <row r="58" spans="1:5" ht="26.25" thickBot="1">
      <c r="A58" s="830" t="s">
        <v>1148</v>
      </c>
      <c r="B58" s="362" t="s">
        <v>67</v>
      </c>
      <c r="C58" s="182" t="s">
        <v>68</v>
      </c>
      <c r="D58" s="880" t="s">
        <v>69</v>
      </c>
      <c r="E58" s="780" t="s">
        <v>70</v>
      </c>
    </row>
    <row r="59" spans="1:5" ht="13.5" thickBot="1">
      <c r="A59" s="867" t="s">
        <v>1149</v>
      </c>
      <c r="B59" s="800" t="s">
        <v>1150</v>
      </c>
      <c r="C59" s="797" t="s">
        <v>1151</v>
      </c>
      <c r="D59" s="798" t="s">
        <v>1152</v>
      </c>
      <c r="E59" s="799" t="s">
        <v>1172</v>
      </c>
    </row>
    <row r="60" spans="1:5" ht="12.75">
      <c r="A60" s="883" t="s">
        <v>1153</v>
      </c>
      <c r="B60" s="763" t="s">
        <v>84</v>
      </c>
      <c r="C60" s="360"/>
      <c r="D60" s="765">
        <f>60351-53606-6745</f>
        <v>0</v>
      </c>
      <c r="E60" s="766">
        <f aca="true" t="shared" si="1" ref="E60:E68">SUM(C60:D60)</f>
        <v>0</v>
      </c>
    </row>
    <row r="61" spans="1:5" ht="12.75">
      <c r="A61" s="883" t="s">
        <v>1154</v>
      </c>
      <c r="B61" s="213" t="s">
        <v>1128</v>
      </c>
      <c r="C61" s="761"/>
      <c r="D61" s="234">
        <f>17237-17237</f>
        <v>0</v>
      </c>
      <c r="E61" s="229">
        <f t="shared" si="1"/>
        <v>0</v>
      </c>
    </row>
    <row r="62" spans="1:5" ht="12.75">
      <c r="A62" s="883" t="s">
        <v>1155</v>
      </c>
      <c r="B62" s="213" t="s">
        <v>1129</v>
      </c>
      <c r="C62" s="225"/>
      <c r="D62" s="767">
        <f>28216-1293</f>
        <v>26923</v>
      </c>
      <c r="E62" s="229">
        <f t="shared" si="1"/>
        <v>26923</v>
      </c>
    </row>
    <row r="63" spans="1:5" ht="12.75">
      <c r="A63" s="883" t="s">
        <v>1156</v>
      </c>
      <c r="B63" s="542" t="s">
        <v>85</v>
      </c>
      <c r="C63" s="225"/>
      <c r="D63" s="767">
        <v>5000</v>
      </c>
      <c r="E63" s="229">
        <f t="shared" si="1"/>
        <v>5000</v>
      </c>
    </row>
    <row r="64" spans="1:5" ht="12.75">
      <c r="A64" s="883" t="s">
        <v>1157</v>
      </c>
      <c r="B64" s="542" t="s">
        <v>1130</v>
      </c>
      <c r="C64" s="225"/>
      <c r="D64" s="767">
        <f>20879+8625-5154</f>
        <v>24350</v>
      </c>
      <c r="E64" s="229">
        <f t="shared" si="1"/>
        <v>24350</v>
      </c>
    </row>
    <row r="65" spans="1:5" ht="12.75">
      <c r="A65" s="889" t="s">
        <v>1158</v>
      </c>
      <c r="B65" s="1304" t="s">
        <v>1382</v>
      </c>
      <c r="C65" s="761"/>
      <c r="D65" s="234">
        <v>300</v>
      </c>
      <c r="E65" s="229">
        <f t="shared" si="1"/>
        <v>300</v>
      </c>
    </row>
    <row r="66" spans="1:5" ht="12.75">
      <c r="A66" s="883" t="s">
        <v>1159</v>
      </c>
      <c r="B66" s="305" t="s">
        <v>1384</v>
      </c>
      <c r="C66" s="225"/>
      <c r="D66" s="767">
        <v>400</v>
      </c>
      <c r="E66" s="229">
        <f t="shared" si="1"/>
        <v>400</v>
      </c>
    </row>
    <row r="67" spans="1:5" ht="12.75">
      <c r="A67" s="786" t="s">
        <v>1160</v>
      </c>
      <c r="B67" s="305" t="s">
        <v>1485</v>
      </c>
      <c r="C67" s="225"/>
      <c r="D67" s="767">
        <v>300</v>
      </c>
      <c r="E67" s="229">
        <f t="shared" si="1"/>
        <v>300</v>
      </c>
    </row>
    <row r="68" spans="1:5" ht="13.5" thickBot="1">
      <c r="A68" s="1474" t="s">
        <v>1161</v>
      </c>
      <c r="B68" s="1045" t="s">
        <v>1510</v>
      </c>
      <c r="C68" s="762"/>
      <c r="D68" s="768">
        <v>600</v>
      </c>
      <c r="E68" s="769">
        <f t="shared" si="1"/>
        <v>600</v>
      </c>
    </row>
    <row r="69" spans="1:5" ht="13.5" thickBot="1">
      <c r="A69" s="841" t="s">
        <v>1162</v>
      </c>
      <c r="B69" s="236" t="s">
        <v>563</v>
      </c>
      <c r="C69" s="240"/>
      <c r="D69" s="270">
        <f>SUM(D60:D68)</f>
        <v>57873</v>
      </c>
      <c r="E69" s="270">
        <f>SUM(E60:E68)</f>
        <v>57873</v>
      </c>
    </row>
  </sheetData>
  <sheetProtection/>
  <mergeCells count="9">
    <mergeCell ref="A1:E1"/>
    <mergeCell ref="A42:E42"/>
    <mergeCell ref="A55:E55"/>
    <mergeCell ref="B56:E56"/>
    <mergeCell ref="B57:E57"/>
    <mergeCell ref="B2:E2"/>
    <mergeCell ref="B3:E3"/>
    <mergeCell ref="B43:E43"/>
    <mergeCell ref="B44:E4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20" sqref="A20:E20"/>
    </sheetView>
  </sheetViews>
  <sheetFormatPr defaultColWidth="9.140625" defaultRowHeight="12.75"/>
  <cols>
    <col min="1" max="1" width="5.8515625" style="0" customWidth="1"/>
    <col min="2" max="2" width="65.7109375" style="0" customWidth="1"/>
    <col min="3" max="3" width="19.00390625" style="0" customWidth="1"/>
  </cols>
  <sheetData>
    <row r="1" spans="1:5" ht="12.75">
      <c r="A1" s="1547" t="s">
        <v>1301</v>
      </c>
      <c r="B1" s="1547"/>
      <c r="C1" s="1547"/>
      <c r="D1" s="1547"/>
      <c r="E1" s="1547"/>
    </row>
    <row r="2" spans="2:3" ht="12.75">
      <c r="B2" s="1"/>
      <c r="C2" s="1"/>
    </row>
    <row r="3" spans="2:3" ht="15.75">
      <c r="B3" s="1555" t="s">
        <v>564</v>
      </c>
      <c r="C3" s="1555"/>
    </row>
    <row r="4" spans="2:3" ht="13.5" thickBot="1">
      <c r="B4" s="1"/>
      <c r="C4" s="1" t="s">
        <v>86</v>
      </c>
    </row>
    <row r="5" spans="1:3" ht="27" thickBot="1">
      <c r="A5" s="830" t="s">
        <v>1148</v>
      </c>
      <c r="B5" s="922" t="s">
        <v>87</v>
      </c>
      <c r="C5" s="836" t="s">
        <v>70</v>
      </c>
    </row>
    <row r="6" spans="1:3" ht="12.75">
      <c r="A6" s="825" t="s">
        <v>1149</v>
      </c>
      <c r="B6" s="1495" t="s">
        <v>1150</v>
      </c>
      <c r="C6" s="924" t="s">
        <v>1151</v>
      </c>
    </row>
    <row r="7" spans="1:3" ht="13.5" thickBot="1">
      <c r="A7" s="746"/>
      <c r="B7" s="785"/>
      <c r="C7" s="925"/>
    </row>
    <row r="8" spans="1:3" ht="13.5" thickBot="1">
      <c r="A8" s="786" t="s">
        <v>1153</v>
      </c>
      <c r="B8" s="881" t="s">
        <v>91</v>
      </c>
      <c r="C8" s="926">
        <v>0</v>
      </c>
    </row>
    <row r="9" spans="1:3" ht="12.75">
      <c r="A9" s="746"/>
      <c r="B9" s="441"/>
      <c r="C9" s="927"/>
    </row>
    <row r="10" spans="1:3" ht="12.75">
      <c r="A10" s="786" t="s">
        <v>1154</v>
      </c>
      <c r="B10" s="6" t="s">
        <v>69</v>
      </c>
      <c r="C10" s="928"/>
    </row>
    <row r="11" spans="1:3" ht="12.75">
      <c r="A11" s="786" t="s">
        <v>1155</v>
      </c>
      <c r="B11" s="6" t="s">
        <v>92</v>
      </c>
      <c r="C11" s="367">
        <f>1500-250</f>
        <v>1250</v>
      </c>
    </row>
    <row r="12" spans="1:3" ht="12.75">
      <c r="A12" s="786" t="s">
        <v>1156</v>
      </c>
      <c r="B12" s="1496" t="s">
        <v>93</v>
      </c>
      <c r="C12" s="369">
        <v>0</v>
      </c>
    </row>
    <row r="13" spans="1:3" ht="13.5" thickBot="1">
      <c r="A13" s="1381" t="s">
        <v>1157</v>
      </c>
      <c r="B13" s="48"/>
      <c r="C13" s="291"/>
    </row>
    <row r="14" spans="1:3" ht="13.5" thickBot="1">
      <c r="A14" s="841" t="s">
        <v>1158</v>
      </c>
      <c r="B14" s="881" t="s">
        <v>94</v>
      </c>
      <c r="C14" s="505">
        <f>SUM(C11:C13)</f>
        <v>1250</v>
      </c>
    </row>
    <row r="15" spans="1:3" ht="12.75">
      <c r="A15" s="1497"/>
      <c r="B15" s="441"/>
      <c r="C15" s="927"/>
    </row>
    <row r="16" spans="1:3" ht="13.5" thickBot="1">
      <c r="A16" s="746"/>
      <c r="B16" s="785"/>
      <c r="C16" s="925"/>
    </row>
    <row r="17" spans="1:3" ht="13.5" thickBot="1">
      <c r="A17" s="841" t="s">
        <v>1159</v>
      </c>
      <c r="B17" s="890" t="s">
        <v>95</v>
      </c>
      <c r="C17" s="370">
        <f>C8+C14</f>
        <v>1250</v>
      </c>
    </row>
    <row r="18" spans="2:3" ht="12.75">
      <c r="B18" s="1"/>
      <c r="C18" s="1"/>
    </row>
    <row r="19" spans="2:3" ht="12.75">
      <c r="B19" s="1"/>
      <c r="C19" s="1"/>
    </row>
    <row r="20" spans="1:5" ht="12.75">
      <c r="A20" s="1547" t="s">
        <v>1302</v>
      </c>
      <c r="B20" s="1547"/>
      <c r="C20" s="1547"/>
      <c r="D20" s="1547"/>
      <c r="E20" s="1547"/>
    </row>
    <row r="21" spans="1:5" ht="12.75">
      <c r="A21" s="824"/>
      <c r="B21" s="824"/>
      <c r="C21" s="824"/>
      <c r="D21" s="824"/>
      <c r="E21" s="824"/>
    </row>
    <row r="22" spans="2:3" ht="15.75">
      <c r="B22" s="1555" t="s">
        <v>565</v>
      </c>
      <c r="C22" s="1555"/>
    </row>
    <row r="23" spans="2:3" ht="15.75">
      <c r="B23" s="178"/>
      <c r="C23" s="1"/>
    </row>
    <row r="24" spans="2:3" ht="13.5" thickBot="1">
      <c r="B24" s="1"/>
      <c r="C24" s="31" t="s">
        <v>86</v>
      </c>
    </row>
    <row r="25" spans="1:3" ht="27" thickBot="1">
      <c r="A25" s="830" t="s">
        <v>1148</v>
      </c>
      <c r="B25" s="913" t="s">
        <v>87</v>
      </c>
      <c r="C25" s="836" t="s">
        <v>70</v>
      </c>
    </row>
    <row r="26" spans="1:3" ht="12.75">
      <c r="A26" s="915" t="s">
        <v>1149</v>
      </c>
      <c r="B26" s="400" t="s">
        <v>1150</v>
      </c>
      <c r="C26" s="918" t="s">
        <v>1151</v>
      </c>
    </row>
    <row r="27" spans="1:3" ht="12.75">
      <c r="A27" s="916" t="s">
        <v>1153</v>
      </c>
      <c r="B27" s="919" t="s">
        <v>566</v>
      </c>
      <c r="C27" s="909">
        <f>C28+C30</f>
        <v>0</v>
      </c>
    </row>
    <row r="28" spans="1:3" ht="12.75">
      <c r="A28" s="916" t="s">
        <v>1154</v>
      </c>
      <c r="B28" s="243" t="s">
        <v>568</v>
      </c>
      <c r="C28" s="910"/>
    </row>
    <row r="29" spans="1:3" ht="12.75">
      <c r="A29" s="916"/>
      <c r="B29" s="243"/>
      <c r="C29" s="910"/>
    </row>
    <row r="30" spans="1:3" ht="12.75">
      <c r="A30" s="916" t="s">
        <v>1155</v>
      </c>
      <c r="B30" s="243" t="s">
        <v>567</v>
      </c>
      <c r="C30" s="910"/>
    </row>
    <row r="31" spans="1:3" ht="12.75">
      <c r="A31" s="916"/>
      <c r="B31" s="243"/>
      <c r="C31" s="910"/>
    </row>
    <row r="32" spans="1:3" ht="12.75">
      <c r="A32" s="916" t="s">
        <v>1156</v>
      </c>
      <c r="B32" s="919" t="s">
        <v>569</v>
      </c>
      <c r="C32" s="277">
        <f>C33+C36</f>
        <v>9200</v>
      </c>
    </row>
    <row r="33" spans="1:3" ht="12.75">
      <c r="A33" s="916" t="s">
        <v>1157</v>
      </c>
      <c r="B33" s="243" t="s">
        <v>571</v>
      </c>
      <c r="C33" s="275">
        <f>C34+C35</f>
        <v>4200</v>
      </c>
    </row>
    <row r="34" spans="1:3" ht="12.75">
      <c r="A34" s="916" t="s">
        <v>1158</v>
      </c>
      <c r="B34" s="243" t="s">
        <v>89</v>
      </c>
      <c r="C34" s="481">
        <f>1000+3200</f>
        <v>4200</v>
      </c>
    </row>
    <row r="35" spans="1:3" ht="12.75">
      <c r="A35" s="916"/>
      <c r="B35" s="243"/>
      <c r="C35" s="481"/>
    </row>
    <row r="36" spans="1:3" ht="12.75">
      <c r="A36" s="916" t="s">
        <v>1159</v>
      </c>
      <c r="B36" s="243" t="s">
        <v>570</v>
      </c>
      <c r="C36" s="481">
        <f>C37+C38</f>
        <v>5000</v>
      </c>
    </row>
    <row r="37" spans="1:3" ht="12.75">
      <c r="A37" s="916" t="s">
        <v>1160</v>
      </c>
      <c r="B37" s="243" t="s">
        <v>90</v>
      </c>
      <c r="C37" s="481">
        <v>5000</v>
      </c>
    </row>
    <row r="38" spans="1:3" ht="12.75">
      <c r="A38" s="916" t="s">
        <v>1161</v>
      </c>
      <c r="B38" s="243" t="s">
        <v>681</v>
      </c>
      <c r="C38" s="481"/>
    </row>
    <row r="39" spans="1:3" ht="12.75">
      <c r="A39" s="916"/>
      <c r="B39" s="243"/>
      <c r="C39" s="481"/>
    </row>
    <row r="40" spans="1:3" ht="12.75">
      <c r="A40" s="916" t="s">
        <v>1162</v>
      </c>
      <c r="B40" s="919" t="s">
        <v>572</v>
      </c>
      <c r="C40" s="911">
        <f>C41+C43</f>
        <v>0</v>
      </c>
    </row>
    <row r="41" spans="1:3" ht="12.75">
      <c r="A41" s="916" t="s">
        <v>1163</v>
      </c>
      <c r="B41" s="243" t="s">
        <v>573</v>
      </c>
      <c r="C41" s="481"/>
    </row>
    <row r="42" spans="1:3" ht="12.75">
      <c r="A42" s="916"/>
      <c r="B42" s="243"/>
      <c r="C42" s="481"/>
    </row>
    <row r="43" spans="1:3" ht="12.75">
      <c r="A43" s="916" t="s">
        <v>1164</v>
      </c>
      <c r="B43" s="243" t="s">
        <v>574</v>
      </c>
      <c r="C43" s="912"/>
    </row>
    <row r="44" spans="1:3" ht="13.5" thickBot="1">
      <c r="A44" s="917"/>
      <c r="B44" s="920"/>
      <c r="C44" s="278"/>
    </row>
    <row r="45" spans="1:3" ht="13.5" thickBot="1">
      <c r="A45" s="914" t="s">
        <v>1165</v>
      </c>
      <c r="B45" s="770" t="s">
        <v>575</v>
      </c>
      <c r="C45" s="474">
        <f>C27+C32+C40</f>
        <v>9200</v>
      </c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30.75" customHeight="1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</sheetData>
  <sheetProtection/>
  <mergeCells count="4">
    <mergeCell ref="B22:C22"/>
    <mergeCell ref="B3:C3"/>
    <mergeCell ref="A1:E1"/>
    <mergeCell ref="A20:E2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1">
      <selection activeCell="D52" sqref="D52"/>
    </sheetView>
  </sheetViews>
  <sheetFormatPr defaultColWidth="9.140625" defaultRowHeight="12.75"/>
  <cols>
    <col min="1" max="1" width="4.8515625" style="0" customWidth="1"/>
    <col min="2" max="2" width="39.57421875" style="0" customWidth="1"/>
    <col min="3" max="4" width="14.421875" style="0" customWidth="1"/>
    <col min="5" max="5" width="16.421875" style="0" customWidth="1"/>
  </cols>
  <sheetData>
    <row r="1" spans="1:5" ht="12.75" customHeight="1">
      <c r="A1" s="1547" t="s">
        <v>1303</v>
      </c>
      <c r="B1" s="1547"/>
      <c r="C1" s="1547"/>
      <c r="D1" s="1547"/>
      <c r="E1" s="1547"/>
    </row>
    <row r="2" spans="1:5" ht="12.75" customHeight="1">
      <c r="A2" s="824"/>
      <c r="B2" s="824"/>
      <c r="C2" s="824"/>
      <c r="D2" s="824"/>
      <c r="E2" s="824"/>
    </row>
    <row r="3" spans="2:5" ht="15.75">
      <c r="B3" s="1555" t="s">
        <v>1106</v>
      </c>
      <c r="C3" s="1555"/>
      <c r="D3" s="1555"/>
      <c r="E3" s="1555"/>
    </row>
    <row r="4" spans="2:5" ht="13.5" thickBot="1">
      <c r="B4" s="1"/>
      <c r="C4" s="1"/>
      <c r="D4" s="1"/>
      <c r="E4" s="31" t="s">
        <v>15</v>
      </c>
    </row>
    <row r="5" spans="1:5" ht="15.75">
      <c r="A5" s="1568" t="s">
        <v>1148</v>
      </c>
      <c r="B5" s="563" t="s">
        <v>96</v>
      </c>
      <c r="C5" s="344" t="s">
        <v>17</v>
      </c>
      <c r="D5" s="344" t="s">
        <v>97</v>
      </c>
      <c r="E5" s="935" t="s">
        <v>88</v>
      </c>
    </row>
    <row r="6" spans="1:5" ht="13.5" thickBot="1">
      <c r="A6" s="1569"/>
      <c r="B6" s="566"/>
      <c r="C6" s="241" t="s">
        <v>21</v>
      </c>
      <c r="D6" s="241" t="s">
        <v>21</v>
      </c>
      <c r="E6" s="936" t="s">
        <v>21</v>
      </c>
    </row>
    <row r="7" spans="1:5" ht="13.5" thickBot="1">
      <c r="A7" s="943" t="s">
        <v>1149</v>
      </c>
      <c r="B7" s="937" t="s">
        <v>1150</v>
      </c>
      <c r="C7" s="900" t="s">
        <v>1151</v>
      </c>
      <c r="D7" s="900" t="s">
        <v>1152</v>
      </c>
      <c r="E7" s="936" t="s">
        <v>1172</v>
      </c>
    </row>
    <row r="8" spans="1:5" ht="13.5" thickBot="1">
      <c r="A8" s="904" t="s">
        <v>1153</v>
      </c>
      <c r="B8" s="567" t="s">
        <v>692</v>
      </c>
      <c r="C8" s="1438">
        <f>C9+C10+C15+C21</f>
        <v>378392</v>
      </c>
      <c r="D8" s="1436">
        <f>D9+D10+D15+D21</f>
        <v>4149832.232666666</v>
      </c>
      <c r="E8" s="1428">
        <f>SUM(C8:D8)</f>
        <v>4528224.232666666</v>
      </c>
    </row>
    <row r="9" spans="1:5" ht="13.5" thickBot="1">
      <c r="A9" s="883" t="s">
        <v>1154</v>
      </c>
      <c r="B9" s="568" t="s">
        <v>684</v>
      </c>
      <c r="C9" s="1439">
        <f>'30_ sz_ melléklet'!E13</f>
        <v>25711</v>
      </c>
      <c r="D9" s="578">
        <f>'30_ sz_ melléklet'!E71</f>
        <v>801330</v>
      </c>
      <c r="E9" s="578">
        <f>C9+D9</f>
        <v>827041</v>
      </c>
    </row>
    <row r="10" spans="1:5" s="25" customFormat="1" ht="13.5" thickBot="1">
      <c r="A10" s="883" t="s">
        <v>1155</v>
      </c>
      <c r="B10" s="569" t="s">
        <v>685</v>
      </c>
      <c r="C10" s="1440">
        <f>C11+C12+C13+C14</f>
        <v>0</v>
      </c>
      <c r="D10" s="579">
        <f>D11+D12+D13+D14</f>
        <v>1234487</v>
      </c>
      <c r="E10" s="579">
        <f aca="true" t="shared" si="0" ref="E10:E20">SUM(C10:D10)</f>
        <v>1234487</v>
      </c>
    </row>
    <row r="11" spans="1:5" ht="12.75" customHeight="1">
      <c r="A11" s="883" t="s">
        <v>1156</v>
      </c>
      <c r="B11" s="570" t="s">
        <v>98</v>
      </c>
      <c r="C11" s="506">
        <v>0</v>
      </c>
      <c r="D11" s="278">
        <f>'14 16_sz_ melléklet'!C28</f>
        <v>682500</v>
      </c>
      <c r="E11" s="1429">
        <f t="shared" si="0"/>
        <v>682500</v>
      </c>
    </row>
    <row r="12" spans="1:5" ht="12.75" customHeight="1">
      <c r="A12" s="883" t="s">
        <v>1157</v>
      </c>
      <c r="B12" s="571" t="s">
        <v>99</v>
      </c>
      <c r="C12" s="506">
        <v>0</v>
      </c>
      <c r="D12" s="481">
        <f>'14 16_sz_ melléklet'!C46</f>
        <v>518380</v>
      </c>
      <c r="E12" s="1430">
        <f t="shared" si="0"/>
        <v>518380</v>
      </c>
    </row>
    <row r="13" spans="1:5" ht="12.75" customHeight="1">
      <c r="A13" s="883" t="s">
        <v>1158</v>
      </c>
      <c r="B13" s="571" t="s">
        <v>100</v>
      </c>
      <c r="C13" s="506">
        <v>0</v>
      </c>
      <c r="D13" s="481">
        <f>'14 16_sz_ melléklet'!C29</f>
        <v>3500</v>
      </c>
      <c r="E13" s="1430">
        <f t="shared" si="0"/>
        <v>3500</v>
      </c>
    </row>
    <row r="14" spans="1:5" ht="12.75" customHeight="1" thickBot="1">
      <c r="A14" s="889" t="s">
        <v>1159</v>
      </c>
      <c r="B14" s="572" t="s">
        <v>101</v>
      </c>
      <c r="C14" s="511">
        <v>0</v>
      </c>
      <c r="D14" s="496">
        <f>'14 16_sz_ melléklet'!C30</f>
        <v>30107</v>
      </c>
      <c r="E14" s="1430">
        <f t="shared" si="0"/>
        <v>30107</v>
      </c>
    </row>
    <row r="15" spans="1:5" ht="13.5" thickBot="1">
      <c r="A15" s="841" t="s">
        <v>1160</v>
      </c>
      <c r="B15" s="567" t="s">
        <v>691</v>
      </c>
      <c r="C15" s="1441">
        <f>C16+C17+C18+C19+C20</f>
        <v>0</v>
      </c>
      <c r="D15" s="1437">
        <f>D16+D17+D18+D19+D20</f>
        <v>1834726.2326666662</v>
      </c>
      <c r="E15" s="1431">
        <f t="shared" si="0"/>
        <v>1834726.2326666662</v>
      </c>
    </row>
    <row r="16" spans="1:5" ht="12.75" customHeight="1">
      <c r="A16" s="904" t="s">
        <v>1161</v>
      </c>
      <c r="B16" s="573" t="s">
        <v>686</v>
      </c>
      <c r="C16" s="506">
        <v>0</v>
      </c>
      <c r="D16" s="479">
        <f>'17 18 sz_melléklet'!C104</f>
        <v>1029200.2676666663</v>
      </c>
      <c r="E16" s="479">
        <f t="shared" si="0"/>
        <v>1029200.2676666663</v>
      </c>
    </row>
    <row r="17" spans="1:5" ht="12.75" customHeight="1">
      <c r="A17" s="883" t="s">
        <v>1162</v>
      </c>
      <c r="B17" s="574" t="s">
        <v>687</v>
      </c>
      <c r="C17" s="506">
        <v>0</v>
      </c>
      <c r="D17" s="496">
        <f>'19 21_sz_ melléklet'!C15</f>
        <v>117836</v>
      </c>
      <c r="E17" s="479">
        <f t="shared" si="0"/>
        <v>117836</v>
      </c>
    </row>
    <row r="18" spans="1:5" ht="12.75" customHeight="1">
      <c r="A18" s="883" t="s">
        <v>1163</v>
      </c>
      <c r="B18" s="571" t="s">
        <v>688</v>
      </c>
      <c r="C18" s="367">
        <v>0</v>
      </c>
      <c r="D18" s="481">
        <f>'19 21_sz_ melléklet'!C31</f>
        <v>220347</v>
      </c>
      <c r="E18" s="479">
        <f t="shared" si="0"/>
        <v>220347</v>
      </c>
    </row>
    <row r="19" spans="1:5" ht="24">
      <c r="A19" s="883" t="s">
        <v>1164</v>
      </c>
      <c r="B19" s="575" t="s">
        <v>690</v>
      </c>
      <c r="C19" s="506">
        <v>0</v>
      </c>
      <c r="D19" s="479"/>
      <c r="E19" s="479">
        <f t="shared" si="0"/>
        <v>0</v>
      </c>
    </row>
    <row r="20" spans="1:5" ht="12.75" customHeight="1" thickBot="1">
      <c r="A20" s="889" t="s">
        <v>1165</v>
      </c>
      <c r="B20" s="576" t="s">
        <v>689</v>
      </c>
      <c r="C20" s="506">
        <v>0</v>
      </c>
      <c r="D20" s="479">
        <f>'17 18 sz_melléklet'!C148</f>
        <v>467342.96499999997</v>
      </c>
      <c r="E20" s="479">
        <f t="shared" si="0"/>
        <v>467342.96499999997</v>
      </c>
    </row>
    <row r="21" spans="1:5" s="25" customFormat="1" ht="12.75" customHeight="1" thickBot="1">
      <c r="A21" s="841" t="s">
        <v>1166</v>
      </c>
      <c r="B21" s="568" t="s">
        <v>647</v>
      </c>
      <c r="C21" s="1439">
        <f>'30_ sz_ melléklet'!E20</f>
        <v>352681</v>
      </c>
      <c r="D21" s="578">
        <f>'30_ sz_ melléklet'!E78</f>
        <v>279289</v>
      </c>
      <c r="E21" s="578">
        <f>D21+C21</f>
        <v>631970</v>
      </c>
    </row>
    <row r="22" spans="1:5" ht="9" customHeight="1" thickBot="1">
      <c r="A22" s="944"/>
      <c r="B22" s="577"/>
      <c r="C22" s="291"/>
      <c r="D22" s="278"/>
      <c r="E22" s="278"/>
    </row>
    <row r="23" spans="1:5" ht="15" customHeight="1" thickBot="1">
      <c r="A23" s="841" t="s">
        <v>1167</v>
      </c>
      <c r="B23" s="475" t="s">
        <v>693</v>
      </c>
      <c r="C23" s="284">
        <f>C24+C28+C31</f>
        <v>29802</v>
      </c>
      <c r="D23" s="521">
        <f>D24+D28+D31</f>
        <v>5018238</v>
      </c>
      <c r="E23" s="521">
        <f>E24+E28+E31</f>
        <v>5048040</v>
      </c>
    </row>
    <row r="24" spans="1:5" ht="12.75" customHeight="1">
      <c r="A24" s="944" t="s">
        <v>1168</v>
      </c>
      <c r="B24" s="249" t="s">
        <v>653</v>
      </c>
      <c r="C24" s="506">
        <f>C25+C26+C27</f>
        <v>71</v>
      </c>
      <c r="D24" s="479">
        <f>D25+D26+D27</f>
        <v>781358</v>
      </c>
      <c r="E24" s="479">
        <f>E25+E26+E27</f>
        <v>781429</v>
      </c>
    </row>
    <row r="25" spans="1:5" ht="12.75" customHeight="1">
      <c r="A25" s="889" t="s">
        <v>1169</v>
      </c>
      <c r="B25" s="245" t="s">
        <v>654</v>
      </c>
      <c r="C25" s="369">
        <f>'30_ sz_ melléklet'!E24</f>
        <v>71</v>
      </c>
      <c r="D25" s="912">
        <f>'30_ sz_ melléklet'!E82</f>
        <v>383244</v>
      </c>
      <c r="E25" s="912">
        <f>SUM(C25:D25)</f>
        <v>383315</v>
      </c>
    </row>
    <row r="26" spans="1:5" ht="12.75" customHeight="1">
      <c r="A26" s="889" t="s">
        <v>1170</v>
      </c>
      <c r="B26" s="562" t="s">
        <v>694</v>
      </c>
      <c r="C26" s="282">
        <v>0</v>
      </c>
      <c r="D26" s="272">
        <f>'22 24  sz. melléklet'!E33</f>
        <v>202231</v>
      </c>
      <c r="E26" s="272">
        <f>D26+C26</f>
        <v>202231</v>
      </c>
    </row>
    <row r="27" spans="1:5" s="25" customFormat="1" ht="12.75" customHeight="1">
      <c r="A27" s="889" t="s">
        <v>1171</v>
      </c>
      <c r="B27" s="542" t="s">
        <v>661</v>
      </c>
      <c r="C27" s="291">
        <f>'30_ sz_ melléklet'!E25</f>
        <v>0</v>
      </c>
      <c r="D27" s="278">
        <f>'30_ sz_ melléklet'!E83</f>
        <v>195883</v>
      </c>
      <c r="E27" s="278">
        <f>SUM(C27:D27)</f>
        <v>195883</v>
      </c>
    </row>
    <row r="28" spans="1:5" s="26" customFormat="1" ht="12.75" customHeight="1">
      <c r="A28" s="889" t="s">
        <v>1173</v>
      </c>
      <c r="B28" s="730" t="s">
        <v>695</v>
      </c>
      <c r="C28" s="1442">
        <f>C29+C30</f>
        <v>0</v>
      </c>
      <c r="D28" s="1432">
        <f>D29+D30</f>
        <v>44388</v>
      </c>
      <c r="E28" s="1432">
        <f>E29+E30</f>
        <v>44388</v>
      </c>
    </row>
    <row r="29" spans="1:5" ht="12.75" customHeight="1">
      <c r="A29" s="889" t="s">
        <v>1174</v>
      </c>
      <c r="B29" s="253" t="s">
        <v>696</v>
      </c>
      <c r="C29" s="291"/>
      <c r="D29" s="278">
        <f>'25 26 sz. melléklet'!C17</f>
        <v>44388</v>
      </c>
      <c r="E29" s="278">
        <f>D29+C29</f>
        <v>44388</v>
      </c>
    </row>
    <row r="30" spans="1:5" ht="12.75" customHeight="1">
      <c r="A30" s="889" t="s">
        <v>1175</v>
      </c>
      <c r="B30" s="374" t="s">
        <v>697</v>
      </c>
      <c r="C30" s="1443"/>
      <c r="D30" s="1433">
        <f>'25 26 sz. melléklet'!C35</f>
        <v>0</v>
      </c>
      <c r="E30" s="1433">
        <f>D30+C30</f>
        <v>0</v>
      </c>
    </row>
    <row r="31" spans="1:5" ht="12.75" customHeight="1">
      <c r="A31" s="889" t="s">
        <v>1176</v>
      </c>
      <c r="B31" s="249" t="s">
        <v>655</v>
      </c>
      <c r="C31" s="1444">
        <f>C32+C33+C34</f>
        <v>29731</v>
      </c>
      <c r="D31" s="1429">
        <f>D32+D33+D34</f>
        <v>4192492</v>
      </c>
      <c r="E31" s="1429">
        <f>E32+E33+E34</f>
        <v>4222223</v>
      </c>
    </row>
    <row r="32" spans="1:5" ht="12.75" customHeight="1">
      <c r="A32" s="889" t="s">
        <v>1177</v>
      </c>
      <c r="B32" s="245" t="s">
        <v>656</v>
      </c>
      <c r="C32" s="291">
        <f>'30_ sz_ melléklet'!E28</f>
        <v>0</v>
      </c>
      <c r="D32" s="481">
        <f>'30_ sz_ melléklet'!E86</f>
        <v>3680625</v>
      </c>
      <c r="E32" s="481">
        <f>D32+C32</f>
        <v>3680625</v>
      </c>
    </row>
    <row r="33" spans="1:5" ht="12.75" customHeight="1">
      <c r="A33" s="889" t="s">
        <v>1178</v>
      </c>
      <c r="B33" s="538" t="s">
        <v>657</v>
      </c>
      <c r="C33" s="1443">
        <f>'30_ sz_ melléklet'!E29</f>
        <v>3300</v>
      </c>
      <c r="D33" s="1433">
        <f>'30_ sz_ melléklet'!E87</f>
        <v>511867</v>
      </c>
      <c r="E33" s="481">
        <f>D33+C33</f>
        <v>515167</v>
      </c>
    </row>
    <row r="34" spans="1:5" ht="12.75" customHeight="1" thickBot="1">
      <c r="A34" s="889" t="s">
        <v>1179</v>
      </c>
      <c r="B34" s="540" t="s">
        <v>658</v>
      </c>
      <c r="C34" s="321">
        <f>'30_ sz_ melléklet'!E30</f>
        <v>26431</v>
      </c>
      <c r="D34" s="322">
        <f>'30_ sz_ melléklet'!E88</f>
        <v>0</v>
      </c>
      <c r="E34" s="481">
        <f>D34+C34</f>
        <v>26431</v>
      </c>
    </row>
    <row r="35" spans="1:5" s="26" customFormat="1" ht="26.25" customHeight="1" thickBot="1">
      <c r="A35" s="841" t="s">
        <v>1180</v>
      </c>
      <c r="B35" s="929" t="s">
        <v>663</v>
      </c>
      <c r="C35" s="1445">
        <f>'30_ sz_ melléklet'!E33</f>
        <v>0</v>
      </c>
      <c r="D35" s="1428">
        <f>'30_ sz_ melléklet'!E91</f>
        <v>4835</v>
      </c>
      <c r="E35" s="1428">
        <f>SUM(C35:D35)</f>
        <v>4835</v>
      </c>
    </row>
    <row r="36" spans="1:5" ht="6" customHeight="1" thickBot="1">
      <c r="A36" s="945"/>
      <c r="B36" s="48"/>
      <c r="C36" s="1446"/>
      <c r="D36" s="1434"/>
      <c r="E36" s="1434"/>
    </row>
    <row r="37" spans="1:5" ht="13.5" thickBot="1">
      <c r="A37" s="947" t="s">
        <v>1181</v>
      </c>
      <c r="B37" s="643" t="s">
        <v>664</v>
      </c>
      <c r="C37" s="284">
        <f>C38</f>
        <v>0</v>
      </c>
      <c r="D37" s="521">
        <f>D38</f>
        <v>0</v>
      </c>
      <c r="E37" s="521">
        <f>SUM(C37:D37)</f>
        <v>0</v>
      </c>
    </row>
    <row r="38" spans="1:5" ht="12.75" customHeight="1">
      <c r="A38" s="946" t="s">
        <v>1182</v>
      </c>
      <c r="B38" s="930" t="s">
        <v>666</v>
      </c>
      <c r="C38" s="285">
        <f>'30_ sz_ melléklet'!E36</f>
        <v>0</v>
      </c>
      <c r="D38" s="274">
        <f>'30_ sz_ melléklet'!E94</f>
        <v>0</v>
      </c>
      <c r="E38" s="274">
        <f>SUM(C38:D38)</f>
        <v>0</v>
      </c>
    </row>
    <row r="39" spans="1:5" ht="6.75" customHeight="1" thickBot="1">
      <c r="A39" s="948"/>
      <c r="B39" s="931"/>
      <c r="C39" s="1295"/>
      <c r="D39" s="637"/>
      <c r="E39" s="637"/>
    </row>
    <row r="40" spans="1:5" ht="25.5" customHeight="1" thickBot="1">
      <c r="A40" s="947" t="s">
        <v>1183</v>
      </c>
      <c r="B40" s="932" t="s">
        <v>665</v>
      </c>
      <c r="C40" s="505">
        <f>C37+C35+C23+C8</f>
        <v>408194</v>
      </c>
      <c r="D40" s="484">
        <f>D37+D35+D23+D8</f>
        <v>9172905.232666666</v>
      </c>
      <c r="E40" s="484">
        <f>E37+E35+E23+E8</f>
        <v>9581099.232666666</v>
      </c>
    </row>
    <row r="41" spans="1:5" s="26" customFormat="1" ht="6" customHeight="1">
      <c r="A41" s="949"/>
      <c r="B41" s="56"/>
      <c r="C41" s="1447"/>
      <c r="D41" s="1435"/>
      <c r="E41" s="1435"/>
    </row>
    <row r="42" spans="1:5" ht="30" customHeight="1">
      <c r="A42" s="941" t="s">
        <v>1184</v>
      </c>
      <c r="B42" s="784" t="s">
        <v>699</v>
      </c>
      <c r="C42" s="286">
        <f>C44</f>
        <v>22240</v>
      </c>
      <c r="D42" s="275">
        <f>D44</f>
        <v>936662</v>
      </c>
      <c r="E42" s="275">
        <f>E44</f>
        <v>958902</v>
      </c>
    </row>
    <row r="43" spans="1:5" ht="6.75" customHeight="1" thickBot="1">
      <c r="A43" s="948"/>
      <c r="B43" s="783"/>
      <c r="C43" s="291"/>
      <c r="D43" s="278"/>
      <c r="E43" s="278"/>
    </row>
    <row r="44" spans="1:5" ht="12.75" customHeight="1" thickBot="1">
      <c r="A44" s="841" t="s">
        <v>1185</v>
      </c>
      <c r="B44" s="933" t="s">
        <v>671</v>
      </c>
      <c r="C44" s="284">
        <f>C45+C46</f>
        <v>22240</v>
      </c>
      <c r="D44" s="521">
        <f>D45+D46</f>
        <v>936662</v>
      </c>
      <c r="E44" s="521">
        <f>E45+E46</f>
        <v>958902</v>
      </c>
    </row>
    <row r="45" spans="1:5" ht="12.75" customHeight="1">
      <c r="A45" s="950" t="s">
        <v>1186</v>
      </c>
      <c r="B45" s="441" t="s">
        <v>667</v>
      </c>
      <c r="C45" s="285">
        <f>'30_ sz_ melléklet'!E42</f>
        <v>21637</v>
      </c>
      <c r="D45" s="274">
        <f>'30_ sz_ melléklet'!E100</f>
        <v>72102</v>
      </c>
      <c r="E45" s="274">
        <f>SUM(C45:D45)</f>
        <v>93739</v>
      </c>
    </row>
    <row r="46" spans="1:5" s="26" customFormat="1" ht="12.75" customHeight="1">
      <c r="A46" s="939" t="s">
        <v>1187</v>
      </c>
      <c r="B46" s="785" t="s">
        <v>668</v>
      </c>
      <c r="C46" s="511">
        <f>'30_ sz_ melléklet'!E43</f>
        <v>603</v>
      </c>
      <c r="D46" s="496">
        <f>'30_ sz_ melléklet'!E101</f>
        <v>864560</v>
      </c>
      <c r="E46" s="278">
        <f>SUM(C46:D46)</f>
        <v>865163</v>
      </c>
    </row>
    <row r="47" spans="1:5" ht="7.5" customHeight="1" thickBot="1">
      <c r="A47" s="940"/>
      <c r="B47" s="651"/>
      <c r="C47" s="287"/>
      <c r="D47" s="276"/>
      <c r="E47" s="276"/>
    </row>
    <row r="48" spans="1:5" ht="36.75" customHeight="1" thickBot="1">
      <c r="A48" s="939" t="s">
        <v>1188</v>
      </c>
      <c r="B48" s="1427" t="s">
        <v>700</v>
      </c>
      <c r="C48" s="284">
        <f>C50+C54</f>
        <v>0</v>
      </c>
      <c r="D48" s="521">
        <f>D50+D54</f>
        <v>182299.7673333343</v>
      </c>
      <c r="E48" s="521">
        <f>E50+E54</f>
        <v>182299.7673333343</v>
      </c>
    </row>
    <row r="49" spans="1:5" ht="9" customHeight="1" thickBot="1">
      <c r="A49" s="951"/>
      <c r="B49" s="934"/>
      <c r="C49" s="1046"/>
      <c r="D49" s="278"/>
      <c r="E49" s="278"/>
    </row>
    <row r="50" spans="1:5" s="26" customFormat="1" ht="13.5" thickBot="1">
      <c r="A50" s="893" t="s">
        <v>1189</v>
      </c>
      <c r="B50" s="933" t="s">
        <v>674</v>
      </c>
      <c r="C50" s="289">
        <f>C51+C52</f>
        <v>0</v>
      </c>
      <c r="D50" s="474">
        <f>D51+D52</f>
        <v>104598</v>
      </c>
      <c r="E50" s="474">
        <f>E51+E52</f>
        <v>104598</v>
      </c>
    </row>
    <row r="51" spans="1:5" ht="12.75" customHeight="1">
      <c r="A51" s="952" t="s">
        <v>1190</v>
      </c>
      <c r="B51" s="406" t="s">
        <v>672</v>
      </c>
      <c r="C51" s="285">
        <f>'30_ sz_ melléklet'!E47</f>
        <v>0</v>
      </c>
      <c r="D51" s="274">
        <f>'30_ sz_ melléklet'!E105</f>
        <v>0</v>
      </c>
      <c r="E51" s="274">
        <f>SUM(C51:D51)</f>
        <v>0</v>
      </c>
    </row>
    <row r="52" spans="1:5" ht="12.75" customHeight="1">
      <c r="A52" s="942" t="s">
        <v>1191</v>
      </c>
      <c r="B52" s="332" t="s">
        <v>673</v>
      </c>
      <c r="C52" s="285">
        <f>'30_ sz_ melléklet'!E48</f>
        <v>0</v>
      </c>
      <c r="D52" s="274">
        <f>'30_ sz_ melléklet'!E106</f>
        <v>104598</v>
      </c>
      <c r="E52" s="272">
        <f>SUM(C52:D52)</f>
        <v>104598</v>
      </c>
    </row>
    <row r="53" spans="1:5" ht="7.5" customHeight="1" thickBot="1">
      <c r="A53" s="951"/>
      <c r="B53" s="652"/>
      <c r="C53" s="287"/>
      <c r="D53" s="276"/>
      <c r="E53" s="276"/>
    </row>
    <row r="54" spans="1:5" ht="13.5" thickBot="1">
      <c r="A54" s="841" t="s">
        <v>1192</v>
      </c>
      <c r="B54" s="933" t="s">
        <v>675</v>
      </c>
      <c r="C54" s="284">
        <f>C55+C56</f>
        <v>0</v>
      </c>
      <c r="D54" s="521">
        <f>D55+D56</f>
        <v>77701.76733333431</v>
      </c>
      <c r="E54" s="521">
        <f>E55+E56</f>
        <v>77701.76733333431</v>
      </c>
    </row>
    <row r="55" spans="1:5" ht="12.75">
      <c r="A55" s="950" t="s">
        <v>1193</v>
      </c>
      <c r="B55" s="406" t="s">
        <v>676</v>
      </c>
      <c r="C55" s="285">
        <f>'30_ sz_ melléklet'!E51</f>
        <v>0</v>
      </c>
      <c r="D55" s="274">
        <f>'30_ sz_ melléklet'!E109</f>
        <v>77701.76733333431</v>
      </c>
      <c r="E55" s="274">
        <f>SUM(C55:D55)</f>
        <v>77701.76733333431</v>
      </c>
    </row>
    <row r="56" spans="1:5" ht="12.75">
      <c r="A56" s="939" t="s">
        <v>1194</v>
      </c>
      <c r="B56" s="332" t="s">
        <v>677</v>
      </c>
      <c r="C56" s="285">
        <f>'30_ sz_ melléklet'!E52</f>
        <v>0</v>
      </c>
      <c r="D56" s="274">
        <f>'30_ sz_ melléklet'!E110</f>
        <v>0</v>
      </c>
      <c r="E56" s="272">
        <f>SUM(C56:D56)</f>
        <v>0</v>
      </c>
    </row>
    <row r="57" spans="1:5" ht="5.25" customHeight="1" thickBot="1">
      <c r="A57" s="951"/>
      <c r="B57" s="652"/>
      <c r="C57" s="287"/>
      <c r="D57" s="276"/>
      <c r="E57" s="276"/>
    </row>
    <row r="58" spans="1:5" ht="22.5" customHeight="1" thickBot="1">
      <c r="A58" s="841" t="s">
        <v>1195</v>
      </c>
      <c r="B58" s="643" t="s">
        <v>698</v>
      </c>
      <c r="C58" s="289">
        <f>C40+C42+C48</f>
        <v>430434</v>
      </c>
      <c r="D58" s="474">
        <f>D40+D42+D48</f>
        <v>10291867</v>
      </c>
      <c r="E58" s="474">
        <f>E40+E42+E48</f>
        <v>10722301</v>
      </c>
    </row>
  </sheetData>
  <sheetProtection/>
  <mergeCells count="3">
    <mergeCell ref="B3:E3"/>
    <mergeCell ref="A5:A6"/>
    <mergeCell ref="A1:E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Bán Valéria</cp:lastModifiedBy>
  <cp:lastPrinted>2012-03-19T13:30:27Z</cp:lastPrinted>
  <dcterms:created xsi:type="dcterms:W3CDTF">2011-01-18T10:18:13Z</dcterms:created>
  <dcterms:modified xsi:type="dcterms:W3CDTF">2012-03-27T09:46:44Z</dcterms:modified>
  <cp:category/>
  <cp:version/>
  <cp:contentType/>
  <cp:contentStatus/>
</cp:coreProperties>
</file>