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7" activeTab="9"/>
  </bookViews>
  <sheets>
    <sheet name="1_sz_ melléklet" sheetId="1" r:id="rId1"/>
    <sheet name="1_a_sz_ melléklet" sheetId="2" r:id="rId2"/>
    <sheet name="1_b_sz_melléklet" sheetId="3" r:id="rId3"/>
    <sheet name="1_c_sz_ melléklet" sheetId="4" r:id="rId4"/>
    <sheet name="1_d_sz_melléklet" sheetId="5" r:id="rId5"/>
    <sheet name="1_e_f_sz_melléklet" sheetId="6" r:id="rId6"/>
    <sheet name="1_g_h_sz_melléklet" sheetId="7" r:id="rId7"/>
    <sheet name="2_sz_ melléklet" sheetId="8" r:id="rId8"/>
    <sheet name="2_a_d_sz_ melléklet" sheetId="9" r:id="rId9"/>
    <sheet name="2 _e_1_sz_melléklet" sheetId="10" r:id="rId10"/>
    <sheet name="2_f_h_sz_ melléklet" sheetId="11" r:id="rId11"/>
    <sheet name="2_i_j_sz_ mell_" sheetId="12" r:id="rId12"/>
    <sheet name="2_k_ sz_ melléklet" sheetId="13" r:id="rId13"/>
    <sheet name="2_l_sz_ melléklet" sheetId="14" r:id="rId14"/>
    <sheet name="2_m_n_sz_ melléklet" sheetId="15" r:id="rId15"/>
    <sheet name="3_sz_ melléklet" sheetId="16" r:id="rId16"/>
    <sheet name="4_sz_ melléklet" sheetId="17" r:id="rId17"/>
    <sheet name="5_sz_ melléklet" sheetId="18" r:id="rId18"/>
    <sheet name="6_sz_ melléklet" sheetId="19" r:id="rId19"/>
    <sheet name="7_sz_ melléklet" sheetId="20" r:id="rId20"/>
    <sheet name="8_sz_ melléklet" sheetId="21" r:id="rId21"/>
    <sheet name="9_sz_ melléklet" sheetId="22" r:id="rId22"/>
    <sheet name="10_ sz_ melléklet" sheetId="23" r:id="rId23"/>
    <sheet name="11_sz_ melléklet" sheetId="24" r:id="rId24"/>
    <sheet name="12_sz_ melléklet" sheetId="25" r:id="rId25"/>
    <sheet name="13_sz_ melléklet" sheetId="26" r:id="rId26"/>
    <sheet name="14_15_sz_ melléklet" sheetId="27" r:id="rId27"/>
    <sheet name="16_17_sz_ melléklet" sheetId="28" r:id="rId28"/>
    <sheet name="16A sz melléklet" sheetId="29" r:id="rId29"/>
    <sheet name="18_19_ sz_ melléklet" sheetId="30" r:id="rId30"/>
    <sheet name="20_ sz_ melléklet" sheetId="31" r:id="rId31"/>
    <sheet name="1_ sz_ tájékoztató" sheetId="32" r:id="rId32"/>
    <sheet name="2_ sz_ tájékoztató" sheetId="33" r:id="rId33"/>
    <sheet name="3_ sz_ tájékoztató" sheetId="34" r:id="rId34"/>
    <sheet name="4_ sz_ tájékoztató" sheetId="35" r:id="rId35"/>
    <sheet name="Munka1" sheetId="36" r:id="rId36"/>
  </sheets>
  <externalReferences>
    <externalReference r:id="rId39"/>
  </externalReferences>
  <definedNames/>
  <calcPr fullCalcOnLoad="1"/>
</workbook>
</file>

<file path=xl/sharedStrings.xml><?xml version="1.0" encoding="utf-8"?>
<sst xmlns="http://schemas.openxmlformats.org/spreadsheetml/2006/main" count="1971" uniqueCount="1181">
  <si>
    <t>1. sz. melléklet</t>
  </si>
  <si>
    <t>Költségvetés mérlege</t>
  </si>
  <si>
    <t>2010. év</t>
  </si>
  <si>
    <t>BEVÉTEL</t>
  </si>
  <si>
    <t>KIADÁS</t>
  </si>
  <si>
    <t>Megnevezés</t>
  </si>
  <si>
    <t>Előirányzat</t>
  </si>
  <si>
    <t>I. Működési bevételek</t>
  </si>
  <si>
    <t>I. Működési kiadások</t>
  </si>
  <si>
    <t xml:space="preserve">   Ebből: Műk.c.pénzeszk. átv. államházt. kívülről</t>
  </si>
  <si>
    <t>II. Támogatások, támogatás értékű bevételek, visszatérülések</t>
  </si>
  <si>
    <t>II. Felhalmozási kiadások</t>
  </si>
  <si>
    <t>III. Felhalmozási és tőke jellegű bevételek</t>
  </si>
  <si>
    <t>III. Támogatás értékű kiadás államháztartáson belülre</t>
  </si>
  <si>
    <t xml:space="preserve">   Ebből: Felh.c.pénzeszk. átv. államházt. kívülről</t>
  </si>
  <si>
    <t>IV. Támogatási kölcsönök visszatérülése, értékpapírok értékesítésének, kibocsátásának bevétele</t>
  </si>
  <si>
    <t>IV. Pénzeszközátadás államháztartáson kívülre</t>
  </si>
  <si>
    <t>V. Nyújtott kölcsönök</t>
  </si>
  <si>
    <t>VI. Tartalékok</t>
  </si>
  <si>
    <t xml:space="preserve">      Általános tartalék</t>
  </si>
  <si>
    <t xml:space="preserve">      Céltartalék</t>
  </si>
  <si>
    <t>Tárgyévi költségvetési bevételek összesen</t>
  </si>
  <si>
    <t>Tárgyévi költségvetési kiadások összesen</t>
  </si>
  <si>
    <t xml:space="preserve">V. Pénzforgalom nélküli bevételek </t>
  </si>
  <si>
    <t xml:space="preserve">      Ebből: -működési célú</t>
  </si>
  <si>
    <t xml:space="preserve">                 -felhalmozási célú</t>
  </si>
  <si>
    <t>VI. Hitelfelvétel</t>
  </si>
  <si>
    <t>VII. Hiteltörlesztés</t>
  </si>
  <si>
    <t xml:space="preserve">                  -felhalmozási célú</t>
  </si>
  <si>
    <t>Bevételek mindösszesen</t>
  </si>
  <si>
    <t>Kiadások mindösszesen</t>
  </si>
  <si>
    <t xml:space="preserve">   1/a. sz. melléklet</t>
  </si>
  <si>
    <t>Az önkormányzat 2010. évi kiadási előirányzatai összesen</t>
  </si>
  <si>
    <t>Ezer Ft-ban</t>
  </si>
  <si>
    <t>KIADÁSOK</t>
  </si>
  <si>
    <t xml:space="preserve">Intézmények </t>
  </si>
  <si>
    <t xml:space="preserve">Polgármesteri </t>
  </si>
  <si>
    <t xml:space="preserve">ÖNKORMÁNYZAT </t>
  </si>
  <si>
    <t>JOGCÍMEI</t>
  </si>
  <si>
    <t>összesen</t>
  </si>
  <si>
    <t>hivatal összesen</t>
  </si>
  <si>
    <t>ÖSSZESEN</t>
  </si>
  <si>
    <t>MŰKÖDÉSI KIADÁSOK</t>
  </si>
  <si>
    <t>1. Személyi juttatás</t>
  </si>
  <si>
    <t>2. Munkaadót terh. járulékok</t>
  </si>
  <si>
    <t>3. Dologi kiadás</t>
  </si>
  <si>
    <t xml:space="preserve">    Ebből: hosszú lej. hitel kamata</t>
  </si>
  <si>
    <t>4. Ellátottak pénzbeli juttatásai</t>
  </si>
  <si>
    <t>5. Speciális célú támogatás</t>
  </si>
  <si>
    <r>
      <t xml:space="preserve">       -</t>
    </r>
    <r>
      <rPr>
        <sz val="10"/>
        <rFont val="Arial CE"/>
        <family val="2"/>
      </rPr>
      <t xml:space="preserve"> Társadalom-, szociálpolitikai kiadás</t>
    </r>
  </si>
  <si>
    <t>I. Működési kiad. összesen</t>
  </si>
  <si>
    <t>FELHALMOZÁSI KIADÁSOK</t>
  </si>
  <si>
    <t>1. Beruházás</t>
  </si>
  <si>
    <t>2. Felujítás</t>
  </si>
  <si>
    <t xml:space="preserve">3. Pénzügyi befektetés  </t>
  </si>
  <si>
    <t>4. Hosszú lejáratú hitelek kamata</t>
  </si>
  <si>
    <t xml:space="preserve">II. Felhalmozási kiadás összesen </t>
  </si>
  <si>
    <t>TÁMOGATÁS ÉRTÉKŰ KIADÁS</t>
  </si>
  <si>
    <t xml:space="preserve">1. Működési célú </t>
  </si>
  <si>
    <t xml:space="preserve">2. Felhalmozási célú </t>
  </si>
  <si>
    <t>III. Támogatás értékű kiadás összesen</t>
  </si>
  <si>
    <t>PÉNZESZKÖZ ÁTADÁS ÁH. KÍVÜLRE</t>
  </si>
  <si>
    <t>IV. Pénzeszköz átadás összesen</t>
  </si>
  <si>
    <t>NYÚJTOTT KÖLCSÖNÖK</t>
  </si>
  <si>
    <t>Működési célra</t>
  </si>
  <si>
    <t>Felhalmozási célra</t>
  </si>
  <si>
    <t>V. Nyújtott kölcsönök összesen</t>
  </si>
  <si>
    <t>TARTALÉKOK</t>
  </si>
  <si>
    <t>Általános tartalék</t>
  </si>
  <si>
    <t>Céltartalék</t>
  </si>
  <si>
    <t>VI. Tartalékok összesen</t>
  </si>
  <si>
    <t>TÁRGYÉVI KÖLTSÉGVETÉSI KIADÁS ÖSSZESEN</t>
  </si>
  <si>
    <t>HITEL TÖRLESZTÉS</t>
  </si>
  <si>
    <t>Működési célú hitel törlesztés</t>
  </si>
  <si>
    <t>Felahalmozási célú hitel törlesztés</t>
  </si>
  <si>
    <t>VII. Hiteltörlesztés összesen</t>
  </si>
  <si>
    <t>KIADÁS MINDÖSSZESEN</t>
  </si>
  <si>
    <t>1/b. sz. melléklet</t>
  </si>
  <si>
    <t xml:space="preserve">Önállóan működő és önállóan gazdálkodó intézmények  </t>
  </si>
  <si>
    <t xml:space="preserve">2010. évi költségvetési kiadási előirányzatai  </t>
  </si>
  <si>
    <t xml:space="preserve">Ezer Ft-ban </t>
  </si>
  <si>
    <t>KIADÁSOK  JOGCÍMEI</t>
  </si>
  <si>
    <t>Rendelőintézet</t>
  </si>
  <si>
    <t>Tűzoltóság</t>
  </si>
  <si>
    <t>Intézmények összesen</t>
  </si>
  <si>
    <t xml:space="preserve">    Ebből: hosszú lej. Hitel kam.</t>
  </si>
  <si>
    <t>5. Speciálos célú támogatás</t>
  </si>
  <si>
    <t xml:space="preserve">Ebből: </t>
  </si>
  <si>
    <t xml:space="preserve"> - Társadalom-, szociálp. kiad.</t>
  </si>
  <si>
    <t>I. Működési kiad. össz.</t>
  </si>
  <si>
    <t>2. Felújítás</t>
  </si>
  <si>
    <t xml:space="preserve">II. Felhalmozási kiad. össz. </t>
  </si>
  <si>
    <t>TÁMOGATÁS ÉRTÉK. KIADÁS</t>
  </si>
  <si>
    <t xml:space="preserve">III. Támog. ért. kiad. össz. </t>
  </si>
  <si>
    <t>PÉNZESZKÖZ ÁTADÁS</t>
  </si>
  <si>
    <t>IV. Pénzeszköz átadás össz.</t>
  </si>
  <si>
    <t>1. Működési célra</t>
  </si>
  <si>
    <t>2. Felhalmozási célra</t>
  </si>
  <si>
    <t>V. Nyújtott kölcsönök össz.</t>
  </si>
  <si>
    <t>KIADÁS ÖSSZESEN</t>
  </si>
  <si>
    <t>HITELTÖRLESZTÉS</t>
  </si>
  <si>
    <t>Felhalmozási célú hitel törl.</t>
  </si>
  <si>
    <t>KIADÁS MINDÖSSZESEN:</t>
  </si>
  <si>
    <t>1/c. sz. melléklet</t>
  </si>
  <si>
    <t xml:space="preserve">Önállóan működő  intézmények  </t>
  </si>
  <si>
    <t xml:space="preserve">2010. évi költségvetési kiadásielőirányzatai  </t>
  </si>
  <si>
    <t>Város-gondnokság</t>
  </si>
  <si>
    <t>Városi Óvoda-Bölcsőde</t>
  </si>
  <si>
    <t>MÁAMIPSZ</t>
  </si>
  <si>
    <t>Szent L. Gimnázium</t>
  </si>
  <si>
    <t>Széchenyi I. Szakképz.</t>
  </si>
  <si>
    <t xml:space="preserve">    Ebből: felhalm. Hitel kamata</t>
  </si>
  <si>
    <t>4. Hosszúlej. hitelek kamata</t>
  </si>
  <si>
    <t>TÁRGYÉVI KIADÁS ÖSSZESEN</t>
  </si>
  <si>
    <t>VII. Hitel törlesztés</t>
  </si>
  <si>
    <t xml:space="preserve">1/c. sz. melléklet </t>
  </si>
  <si>
    <t xml:space="preserve">Önállóan működő intézmények  </t>
  </si>
  <si>
    <t>KIADÁSOK                     JOGCÍMEI</t>
  </si>
  <si>
    <t>Bayer R. Kollég. És Élelm.Közp</t>
  </si>
  <si>
    <t>PH-hoz tartozó részben-önállóan műk. Int. összesen</t>
  </si>
  <si>
    <t>Polgári Védelem</t>
  </si>
  <si>
    <t>Részben-önállóan gazdálkodó intézmények mind-összesen</t>
  </si>
  <si>
    <t xml:space="preserve">1/d. sz. melléklet </t>
  </si>
  <si>
    <t xml:space="preserve">                        A polgármesteri hivatal 2010. évi költségvetési kiadási</t>
  </si>
  <si>
    <t xml:space="preserve">   előirányzatai  feladatonként</t>
  </si>
  <si>
    <t>KIADÁSOK JOGCÍMEI</t>
  </si>
  <si>
    <t>Okmány-iroda, Gyámhiv.</t>
  </si>
  <si>
    <t>Önkorm. Igazg.</t>
  </si>
  <si>
    <t>Adó, kiszab. Beszed. Ell.</t>
  </si>
  <si>
    <t>közbesz. Elj. Lebony.</t>
  </si>
  <si>
    <t>építésügyi igazg.</t>
  </si>
  <si>
    <t xml:space="preserve">   Ebből:felh. hitel kamata</t>
  </si>
  <si>
    <t xml:space="preserve">  Ebből:-Társadalom-, szociálp. kiad.</t>
  </si>
  <si>
    <t>I. Működési kiadás összesen</t>
  </si>
  <si>
    <t xml:space="preserve">III. Támog. értékű kiad. össz. </t>
  </si>
  <si>
    <t xml:space="preserve">2. Felhalmozási célra </t>
  </si>
  <si>
    <t>1. Általános tartalék</t>
  </si>
  <si>
    <t>2. Céltartalék</t>
  </si>
  <si>
    <t>KÖLTSÉGVETÉSI</t>
  </si>
  <si>
    <t>KIADÁSOK ÖSSZESEN:</t>
  </si>
  <si>
    <t>Önkorm. Jogalkotás</t>
  </si>
  <si>
    <t xml:space="preserve">civil szerv. Műk tám. </t>
  </si>
  <si>
    <t>önkorm. Lakástám.</t>
  </si>
  <si>
    <t>köztemető fenntartás műk.</t>
  </si>
  <si>
    <t>Város. Községgazd.</t>
  </si>
  <si>
    <t xml:space="preserve">   Ebből: felh. Hitel kamata</t>
  </si>
  <si>
    <t>Ebből:-Társadalom-, szociálp. kiad.</t>
  </si>
  <si>
    <t>TÁRGYÉVI KÖLTSÉGVETÉSI</t>
  </si>
  <si>
    <t xml:space="preserve">1/d.. sz. melléklet </t>
  </si>
  <si>
    <t>közter. Rendjének fennt.</t>
  </si>
  <si>
    <t>közcélú fogl.</t>
  </si>
  <si>
    <t>zöldterület kezelés</t>
  </si>
  <si>
    <t>víztermelés kezelés</t>
  </si>
  <si>
    <t>közvilágítás</t>
  </si>
  <si>
    <t xml:space="preserve">   Ebből:felh. Hitel kamata</t>
  </si>
  <si>
    <t xml:space="preserve"> - Ebből:Társadalom-, szociálp. kiad.</t>
  </si>
  <si>
    <t>okt. kieg. Tev+önk. Ifjúsági prog.</t>
  </si>
  <si>
    <t>fogorvosi ügyelet+ iskola eü. Ellátás</t>
  </si>
  <si>
    <t>közutak üzemeltetése + építése</t>
  </si>
  <si>
    <t>segélyek összesen</t>
  </si>
  <si>
    <t>szennyvíz gyűjtés elhelyezés</t>
  </si>
  <si>
    <t>Ebből:felh. Hitel kamata</t>
  </si>
  <si>
    <t>kult rend. +nemzetk. Kapcs.</t>
  </si>
  <si>
    <t>Strandszolg.</t>
  </si>
  <si>
    <t>Ingatlanok bérbeadása + üzemeltetése</t>
  </si>
  <si>
    <t>sportlétesít. Műk. + versenys. Tám</t>
  </si>
  <si>
    <t>Kisebbségi önkorm. Támog.</t>
  </si>
  <si>
    <t xml:space="preserve">    Ebből:felh.hitel kamata</t>
  </si>
  <si>
    <t>Feladatok összesen</t>
  </si>
  <si>
    <r>
      <t>Tartalék</t>
    </r>
    <r>
      <rPr>
        <b/>
        <sz val="10"/>
        <rFont val="Arial"/>
        <family val="2"/>
      </rPr>
      <t xml:space="preserve"> Hiteltörl.</t>
    </r>
  </si>
  <si>
    <t>Szakfelad. összesen</t>
  </si>
  <si>
    <t>PH-hoz tart. Részben önáll.</t>
  </si>
  <si>
    <t>PH. Mind-összesen</t>
  </si>
  <si>
    <t xml:space="preserve">   Ebből:felh.hitel kamata</t>
  </si>
  <si>
    <t>Ebből:- Társadalom-, szociálp. kiad.</t>
  </si>
  <si>
    <t>1/e melléklet</t>
  </si>
  <si>
    <t xml:space="preserve">III. Támogatás értékű kiadás </t>
  </si>
  <si>
    <t>Támogatott megnevezése</t>
  </si>
  <si>
    <t>Intézmények</t>
  </si>
  <si>
    <t>Polgármesteri Hivatal</t>
  </si>
  <si>
    <t>Önkormányzat összesen</t>
  </si>
  <si>
    <t>1. Működési célú összesen</t>
  </si>
  <si>
    <t>Ebből:</t>
  </si>
  <si>
    <t xml:space="preserve">    - Polg.Hiv.Többcélú Kist.Társulásnak</t>
  </si>
  <si>
    <t xml:space="preserve">    - Kisebbségi Önkormányzat-Cigány</t>
  </si>
  <si>
    <t xml:space="preserve">    - Rendelőintézet-Belosztály</t>
  </si>
  <si>
    <t xml:space="preserve">2. Felhalmozási célú összesen </t>
  </si>
  <si>
    <t>Összesen</t>
  </si>
  <si>
    <t>1/f. melléklet</t>
  </si>
  <si>
    <t xml:space="preserve">IV. Pénzeszközátadás államháztartáson kívülre 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</si>
  <si>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</si>
  <si>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</si>
  <si>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</si>
  <si>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KÖZKINCS-TÁR nonprof. Kft.</t>
  </si>
  <si>
    <t xml:space="preserve">          - MÉDIA KHT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</si>
  <si>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</si>
  <si>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</si>
  <si>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</si>
  <si>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Cigány Kisebbségi Önk.-Társ.sz.</t>
  </si>
  <si>
    <t xml:space="preserve">          - MKC támogatása</t>
  </si>
  <si>
    <t xml:space="preserve">          - MSE támogatása</t>
  </si>
  <si>
    <t xml:space="preserve">          - Könyvkiadás támog.</t>
  </si>
  <si>
    <t xml:space="preserve">          - Örmény Kisebbségi Önk.-Társ. Sz.</t>
  </si>
  <si>
    <t xml:space="preserve">          - Víziközmű társ. Működésére</t>
  </si>
  <si>
    <t xml:space="preserve">          - számlanyitási díj III. ütem</t>
  </si>
  <si>
    <t xml:space="preserve">          - szennyvíz A. támog.</t>
  </si>
  <si>
    <t xml:space="preserve">          - TISZK műk-re MITISZK-nek</t>
  </si>
  <si>
    <t xml:space="preserve">          - LAKSZÖVnek önk. Ing. után</t>
  </si>
  <si>
    <t>2. Felhalmozási célú összesen</t>
  </si>
  <si>
    <t xml:space="preserve"> Ebből:- Szennyvízcs. alap.tám.nyugati</t>
  </si>
  <si>
    <t xml:space="preserve">          - Víziközmű társ. Hitelkamatra</t>
  </si>
  <si>
    <t xml:space="preserve">          -Szennyvízcsat. Alap III. ütem</t>
  </si>
  <si>
    <t xml:space="preserve">          - Szennyvíz A. támog. 1 havi LTp</t>
  </si>
  <si>
    <t xml:space="preserve">          - Lakásépítés támogatása</t>
  </si>
  <si>
    <t xml:space="preserve">          - MSE támogatása(sportp.hit.kam)</t>
  </si>
  <si>
    <t xml:space="preserve">          -LAKSZÖVnek önk. lakásra</t>
  </si>
  <si>
    <t xml:space="preserve">      1/g. sz. melléklet</t>
  </si>
  <si>
    <t xml:space="preserve">V. Kölcsön nyújtása   </t>
  </si>
  <si>
    <t xml:space="preserve">                Ezer Ft-ban </t>
  </si>
  <si>
    <t xml:space="preserve">KIADÁSOK JOGCÍMEI </t>
  </si>
  <si>
    <t>Önkormányzat</t>
  </si>
  <si>
    <t xml:space="preserve">1.1. Kölcsön nyújtása államháztartáson kívülre  </t>
  </si>
  <si>
    <t xml:space="preserve">        Kamatmentes kölcsön nyújtása</t>
  </si>
  <si>
    <t>1.1. Működési célú támogatási kölcsön nyújtása összesen</t>
  </si>
  <si>
    <t xml:space="preserve">1.2.Felhalmozási kölcsön nyújtása államháztartáson kívülre  </t>
  </si>
  <si>
    <t xml:space="preserve">      Lakáscélú kölcsön nyújtása háztartásoknak</t>
  </si>
  <si>
    <t>1.2.Felhalmozási kölcsön nyújtása államháztartáson kívülre  összesen</t>
  </si>
  <si>
    <t>V. Kölcsön nyújtás mindösszesen</t>
  </si>
  <si>
    <t>1/h. sz. melléklet</t>
  </si>
  <si>
    <t>II/3 Pénzügyi befektetés</t>
  </si>
  <si>
    <t>Intézmények összesen:</t>
  </si>
  <si>
    <t xml:space="preserve">       -VG Rt. részvény vásárlása</t>
  </si>
  <si>
    <t xml:space="preserve">       -OTP tőkegarantált pénzpiaci alapok</t>
  </si>
  <si>
    <t>Összesen:</t>
  </si>
  <si>
    <t>ÖNKORMÁNYZAT ÖSSZESEN</t>
  </si>
  <si>
    <t xml:space="preserve">                  2.sz. melléklet</t>
  </si>
  <si>
    <t xml:space="preserve">     Az önkormányzat 2010. évi bevételi előirányzatai összesen</t>
  </si>
  <si>
    <t xml:space="preserve">  BEVÉTELEK JOGCÍMEI</t>
  </si>
  <si>
    <t>Polg.m.hivat.</t>
  </si>
  <si>
    <t xml:space="preserve">I. Működési bevételek (1+2) </t>
  </si>
  <si>
    <t>1. Intézményi működési bevételek</t>
  </si>
  <si>
    <t>2. Önkorm.sajátos működési bev(2.1..+2.4)</t>
  </si>
  <si>
    <t xml:space="preserve">2.1. Helyi adók </t>
  </si>
  <si>
    <t xml:space="preserve">2.2. Átengedett központi adók </t>
  </si>
  <si>
    <t xml:space="preserve">2.3. Pótlékok, birságok </t>
  </si>
  <si>
    <t xml:space="preserve">2.4. Egyéb sajátos bevételek </t>
  </si>
  <si>
    <t>II.Támogatások, támog.ért.bev.  Visszatér.</t>
  </si>
  <si>
    <t>1. Önkormányz. költségv.-i támogatása (1.1..+1.5)</t>
  </si>
  <si>
    <t xml:space="preserve">1.1. Normatív támogatások </t>
  </si>
  <si>
    <t xml:space="preserve">1.2. Központosított előirányzatok </t>
  </si>
  <si>
    <t xml:space="preserve">1.3. Egyes jövedelempótló támogatások </t>
  </si>
  <si>
    <t>1.4. Normatív kötött felhasználású támogatások</t>
  </si>
  <si>
    <t xml:space="preserve">1.5. Fejlesztési célú támogatások </t>
  </si>
  <si>
    <t xml:space="preserve">2. Támogatás értékű bevételek (2.1.+2.2) </t>
  </si>
  <si>
    <t>2.1. Működési célú támog. értékű átvétel</t>
  </si>
  <si>
    <t xml:space="preserve">      Ebből: Társad. Bizt. Alapból átvett</t>
  </si>
  <si>
    <t>2.2. Felhalmozási célú támog. értékű bevétel</t>
  </si>
  <si>
    <t xml:space="preserve">3. Kiegészítések, visszatérülések </t>
  </si>
  <si>
    <t>III. Felhalmozási és tőke jellegű bev.(1+..4)</t>
  </si>
  <si>
    <t>1. Tárgyi eszközök, immat. javak értékesítése</t>
  </si>
  <si>
    <t xml:space="preserve">2. Önkormányzatok sajátos felhalmozási </t>
  </si>
  <si>
    <t xml:space="preserve">    és tőke jellegű bevételei </t>
  </si>
  <si>
    <t xml:space="preserve">3. Pénzügyi befektetés bevételei </t>
  </si>
  <si>
    <t xml:space="preserve">4. Felhalmozási célú pénzeszköz átvétel </t>
  </si>
  <si>
    <t xml:space="preserve">    államháztartáson kívülről </t>
  </si>
  <si>
    <t xml:space="preserve">   IV. Támogatási kölcs. Visszatér. értékpapír ért. Kibocs. bevétele (1…+3)</t>
  </si>
  <si>
    <t>1. Működési célú kölcsön visszatérülése</t>
  </si>
  <si>
    <t>2. Felhalmozási célú kölcsön visszatérülése</t>
  </si>
  <si>
    <t xml:space="preserve">3. Értékpapírok értékesítése, kötvény kibocs. </t>
  </si>
  <si>
    <t>TÁRGYÉVI KÖLTSÉGVETÉSI BEVÉTELEK       ÖSSZESEN(I…+VI.)</t>
  </si>
  <si>
    <t xml:space="preserve">1. Előző évi pénzmaradvány igénybevétele </t>
  </si>
  <si>
    <t xml:space="preserve">       Ebből: működési célú</t>
  </si>
  <si>
    <t xml:space="preserve">                  felhalmozási célú</t>
  </si>
  <si>
    <t xml:space="preserve">VI. Hitelek (1+2) </t>
  </si>
  <si>
    <t xml:space="preserve">1. Működési célú hitel igénybevétele </t>
  </si>
  <si>
    <t xml:space="preserve">2. Fejlesztési célú hitel igénybevétele </t>
  </si>
  <si>
    <t>BEVÉTELEK MINDÖSSZESEN (I…+VI.)</t>
  </si>
  <si>
    <t xml:space="preserve">                  2/a. sz. melléklet</t>
  </si>
  <si>
    <t xml:space="preserve"> </t>
  </si>
  <si>
    <t xml:space="preserve">               I/1. Intézményi működési bevételek részletezése </t>
  </si>
  <si>
    <t>Polg.m.hivat. Összesen</t>
  </si>
  <si>
    <t>1.1. Hatósági jogkörhöz köthető működési bevételek</t>
  </si>
  <si>
    <t xml:space="preserve">1.2. Egyéb saját bevételek </t>
  </si>
  <si>
    <t>1.3. Általános forgalmi adó bevételek, visszatérülések</t>
  </si>
  <si>
    <t>1.4. Hozam és kamatbevételek</t>
  </si>
  <si>
    <t xml:space="preserve">1.5. Műk. célú pénzeszk. átvétel államházt.-on kívülről  </t>
  </si>
  <si>
    <t xml:space="preserve">I/1. Intézményi működési bevételek összesen </t>
  </si>
  <si>
    <t xml:space="preserve">2/b. sz. melléklet </t>
  </si>
  <si>
    <t xml:space="preserve">I/1.5. Működési célú pénzeszköz átvétel államháztartáson kívülről </t>
  </si>
  <si>
    <t>Polgári Védelem- versenyre</t>
  </si>
  <si>
    <t>SZISZI  ISK. pártólói tagdíj</t>
  </si>
  <si>
    <t>2/c. sz. melléklet</t>
  </si>
  <si>
    <t xml:space="preserve">          I/2.1. Helyi adó bevételek részletezése </t>
  </si>
  <si>
    <t xml:space="preserve">összesen </t>
  </si>
  <si>
    <t>2.1.1. Építményadó</t>
  </si>
  <si>
    <t xml:space="preserve">2.1.2. Vállalkozók kommunális adója </t>
  </si>
  <si>
    <t>2.1.3. Magánszemélyek kommunális adója</t>
  </si>
  <si>
    <t>2.1.4. Idegenforgalmi adó tartózkodás után</t>
  </si>
  <si>
    <t>2.1.5. Iparűzési adó állandó jelleggel végzett iparűzési     tevékenység után</t>
  </si>
  <si>
    <t>2.1.6. Iparűzési adó ideiglenes jelleggel végzett iparűzési tevékenység után (napi átalány)</t>
  </si>
  <si>
    <t xml:space="preserve">I./2.1. Helyi adó bevételek összesen </t>
  </si>
  <si>
    <t>I./2.3.Pótlékok, bírságok</t>
  </si>
  <si>
    <t>I./2.4. Egyéb sajátos bevételek</t>
  </si>
  <si>
    <t xml:space="preserve">          ebből:talajterh. Díj</t>
  </si>
  <si>
    <t>2/d. sz. melléklet</t>
  </si>
  <si>
    <t xml:space="preserve"> I/2.2. Átengedett központi adók részletezése </t>
  </si>
  <si>
    <t xml:space="preserve">2.2.1. Személyi jöv.adó helyben maradó része </t>
  </si>
  <si>
    <t xml:space="preserve">2.2.2. Jövedelemkülönbségek mérséklése (+, -) </t>
  </si>
  <si>
    <t xml:space="preserve">2.2.3. Személyi jöv.adó norm. módon elosztott része </t>
  </si>
  <si>
    <t xml:space="preserve">2.2.4. Gépjárműadó </t>
  </si>
  <si>
    <t xml:space="preserve">2.2.5. Termőföld bérbeadásából származó jöv.adó </t>
  </si>
  <si>
    <t xml:space="preserve">2.2.6. Átengedett egyéb központi adók </t>
  </si>
  <si>
    <t xml:space="preserve">I/2.2. Átengedett központi adók összesen </t>
  </si>
  <si>
    <t>2/e/1. sz. melléklet</t>
  </si>
  <si>
    <t>II/1.1. Normatív állami hozzájárulás részletezése</t>
  </si>
  <si>
    <t>BEVÉTELEK JOGCÍMEI</t>
  </si>
  <si>
    <t>Települési, igazgatási, kommunális feladatok 17272*1947</t>
  </si>
  <si>
    <r>
      <t xml:space="preserve">Körjegyz. műk alaphzj. </t>
    </r>
    <r>
      <rPr>
        <b/>
        <sz val="9"/>
        <rFont val="Times New Roman"/>
        <family val="1"/>
      </rPr>
      <t>12*253530</t>
    </r>
  </si>
  <si>
    <t>Üdülőhelyi feladatok  18.000.000*1Ft</t>
  </si>
  <si>
    <r>
      <t xml:space="preserve">Bölcsődei ellátás 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58*494100</t>
    </r>
  </si>
  <si>
    <r>
      <t xml:space="preserve">Ingyenes bölcsődei étk. </t>
    </r>
    <r>
      <rPr>
        <b/>
        <sz val="10"/>
        <rFont val="Times New Roman"/>
        <family val="1"/>
      </rPr>
      <t xml:space="preserve"> 3*65000</t>
    </r>
  </si>
  <si>
    <t>Óvodai nev. alaphzj.1-3-nevelési év (37*2350000*8/12)</t>
  </si>
  <si>
    <t>Óvodai nev. alaphzj.1-3-nevelési év (37,8*2350000*4/12)</t>
  </si>
  <si>
    <t>Isk.okt.alaph.1-2.évf.(269*2550000*4/12) 11,6*2350000*8/12</t>
  </si>
  <si>
    <t>Isk.okt.alaph.3évf.(118*2550000*4/12) 7,7*2350000*8/12</t>
  </si>
  <si>
    <t>Isk.okt.alaph.4évf.(139*2550000*4/12) 12,8*2350000*8/12</t>
  </si>
  <si>
    <t>Isk.okt.alaph.1-2.évf. (2009) 11,3*2350000*4/12</t>
  </si>
  <si>
    <t>Isk.okt.alaph.3évf. (2009) 5,8*2350000*4/12</t>
  </si>
  <si>
    <t>Isk.okt.alaph.4évf. (2009) 11,1*2350000*4/12</t>
  </si>
  <si>
    <t>Iskolai okt.5-6. Évfolyam  18,1*2350000*8/12</t>
  </si>
  <si>
    <t>Iskolai okt.5-6. Évfolyam (2009) 16,6*2350000*4/12</t>
  </si>
  <si>
    <t>Iskolai okt.7. Évfolyam (2009) 11,1*2350000*8/12</t>
  </si>
  <si>
    <t>Iskolai okt.7. Évfolyam (2009) 10,9*2350000*4/12</t>
  </si>
  <si>
    <t>Iskolai okt.8. Évfolyam (2009) 16*2350000*8/12</t>
  </si>
  <si>
    <t>Iskolai okt.8. Évfolyam (2009) 11,9*2350000*4/12</t>
  </si>
  <si>
    <t>sajátos.nev.igényű tan.nev.okt.(2*240000*4/12) 1*224000*8/12</t>
  </si>
  <si>
    <t>testi, érzékszervi középsúlyos értelmi fogyatékos, autista  halmozottan fogyatékos (5*384000*8/12)4*358400*4/12</t>
  </si>
  <si>
    <t>testi, érzékszervi középsúlyos értelmi fogyatékos, autista  halmozottan fogyatékos (4*384000*4/12) 5*358400*8/12</t>
  </si>
  <si>
    <t>beszédfogy. Enyhe ért.fogy. Viselkedés fejlődésének organikus okokra visszavez. És nem visszavez. Tartós és súlyos rendell. Miatt sajátos nev.ig. tan. (40*192000*8/12) 30*179200*4/12</t>
  </si>
  <si>
    <t>beszédfogy. Enyhe ért.fogy. Viselkedés fejlődésének organikus okokra visszavez. tartós és súlyos rendell. Miatt sajátos nev.ig. tan. (35*192000*4/12) 35*179200*8/12</t>
  </si>
  <si>
    <t>Viselkedés fejlődésének organikus okokra vissza nem vez.tartós és súlyos rendell. Miatt sajátos nev.ig. tan.(2009) 20*134400*4/12</t>
  </si>
  <si>
    <t>Viselkedés fejlődésének organikus okokra vissza nem vez.tartós és súlyos rendell. Miatt sajátos nev.ig. tan. (30*144000*4/12) 26*134400*8/12</t>
  </si>
  <si>
    <t>Isk.okt.9-10. Évf. (730*2550000*4/12) 62,3*2350000*8/12</t>
  </si>
  <si>
    <t>Isk.okt.9-10. Évf. (2009) 59,8*2350000*4/12</t>
  </si>
  <si>
    <t>Isk.okt.11. Évf.(2009) 22,9*2350000*8/12</t>
  </si>
  <si>
    <t>Isk.okt.11. Évf.(2009) 28,3*2350000*4/12</t>
  </si>
  <si>
    <t>Isk.okt.12-13. Évf. (2009) 30,4*2350000*8/12</t>
  </si>
  <si>
    <t>Isk.okt.12. Évf. 22,3*2350000*4/12</t>
  </si>
  <si>
    <t>Isk.okt.13. évf 5,9*2350000*4/12</t>
  </si>
  <si>
    <t>Isk. szak. Szakmai elm. Okt.9. Éfv.(185*2550000*8/12) 28,7*2350000*4/12</t>
  </si>
  <si>
    <t>Isk.szak.szakm.elm.okt. 9.évf-10.évf. (315*2550000*4/12) 27,8*2350000*8/12</t>
  </si>
  <si>
    <t>Isk.szak.szakm.elm.okt. 11.évf-12.évf. 35*2550000*4/12</t>
  </si>
  <si>
    <r>
      <t>Isk. gyak. Okt.9-10.évf (121*40000) (</t>
    </r>
    <r>
      <rPr>
        <i/>
        <sz val="10"/>
        <rFont val="Times New Roman"/>
        <family val="1"/>
      </rPr>
      <t>215*40000*8/12) 210*35000*4/12</t>
    </r>
  </si>
  <si>
    <r>
      <t>Isk. gyak. Okt.9-10.évf (121*40000) (</t>
    </r>
    <r>
      <rPr>
        <i/>
        <sz val="10"/>
        <rFont val="Times New Roman"/>
        <family val="1"/>
      </rPr>
      <t>205*40000*4/12) 214*35000*8/12</t>
    </r>
  </si>
  <si>
    <t>Isk.szak(szakm.gyak)(12*112000) (6*112000*4/12) 7*98000*8/12</t>
  </si>
  <si>
    <t>Isk.szak(szakm.gyak)(2009)16*98000*4/12</t>
  </si>
  <si>
    <r>
      <t>Isk.szak. (szak.gyak.) (</t>
    </r>
    <r>
      <rPr>
        <sz val="10"/>
        <rFont val="Times New Roman"/>
        <family val="1"/>
      </rPr>
      <t>71*156800) (77*156800*8/12) 50*137200*4/12</t>
    </r>
  </si>
  <si>
    <r>
      <t>Isk.szak. (szak.gyak.)</t>
    </r>
    <r>
      <rPr>
        <i/>
        <sz val="10"/>
        <rFont val="Times New Roman"/>
        <family val="1"/>
      </rPr>
      <t xml:space="preserve"> (</t>
    </r>
    <r>
      <rPr>
        <sz val="10"/>
        <rFont val="Times New Roman"/>
        <family val="1"/>
      </rPr>
      <t>75*156800*4/12) 47*137200*8/12</t>
    </r>
  </si>
  <si>
    <r>
      <t>Isk.szak(szakm gyak)(</t>
    </r>
    <r>
      <rPr>
        <sz val="10"/>
        <rFont val="Times New Roman"/>
        <family val="1"/>
      </rPr>
      <t>156*22,400) (121*22400*8/12) 121*19600*4/12</t>
    </r>
  </si>
  <si>
    <r>
      <t>Isk.szak(szakm gyak)(</t>
    </r>
    <r>
      <rPr>
        <sz val="10"/>
        <rFont val="Times New Roman"/>
        <family val="1"/>
      </rPr>
      <t>120*22400*4/12) 139*19600*8/12</t>
    </r>
  </si>
  <si>
    <r>
      <t xml:space="preserve">Iskol.szak. záró évf. képz. </t>
    </r>
    <r>
      <rPr>
        <sz val="10"/>
        <rFont val="Times New Roman"/>
        <family val="1"/>
      </rPr>
      <t xml:space="preserve"> 22*58800*4/12</t>
    </r>
  </si>
  <si>
    <r>
      <t xml:space="preserve">Iskol.szak. záró évf. képz. </t>
    </r>
    <r>
      <rPr>
        <sz val="10"/>
        <rFont val="Times New Roman"/>
        <family val="1"/>
      </rPr>
      <t xml:space="preserve">  27*58800*8/12</t>
    </r>
  </si>
  <si>
    <t>Gyógypedagógiai nev. visszahely.  2*134400*4/12</t>
  </si>
  <si>
    <t>Gyógypedagógiai nev. visszahely.2*134400*8/12</t>
  </si>
  <si>
    <r>
      <t>Korai fejl gond.</t>
    </r>
    <r>
      <rPr>
        <i/>
        <sz val="10"/>
        <rFont val="Times New Roman"/>
        <family val="1"/>
      </rPr>
      <t xml:space="preserve"> 11*240000</t>
    </r>
  </si>
  <si>
    <r>
      <t xml:space="preserve">Fejlesztő felkészítés </t>
    </r>
    <r>
      <rPr>
        <sz val="10"/>
        <rFont val="Times New Roman"/>
        <family val="1"/>
      </rPr>
      <t xml:space="preserve"> 2*305000</t>
    </r>
  </si>
  <si>
    <r>
      <t>Alapf.műv.zenem.ág.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5,8*2350000*8/12</t>
    </r>
  </si>
  <si>
    <r>
      <t xml:space="preserve">Képzőm, táncm </t>
    </r>
    <r>
      <rPr>
        <i/>
        <sz val="10"/>
        <rFont val="Times New Roman"/>
        <family val="1"/>
      </rPr>
      <t xml:space="preserve"> 0,8*2350000*8/12</t>
    </r>
  </si>
  <si>
    <t>Alapf.zeneműv. 5,8*2350000*4/12</t>
  </si>
  <si>
    <t>Képző, taáncműv.okt. 0,8*2350000*4/12</t>
  </si>
  <si>
    <t>Képző .min.int.zene  274*44900*8/12</t>
  </si>
  <si>
    <t>Képző .min.int.zene (2009) 274*44900*4/12</t>
  </si>
  <si>
    <t>Képző.min.int.képző 94*17600*8/12</t>
  </si>
  <si>
    <t>Képző.min.int.képző (2009) 94*17600*4/12</t>
  </si>
  <si>
    <r>
      <t>Bentl kollég ell.</t>
    </r>
    <r>
      <rPr>
        <sz val="10"/>
        <rFont val="Times New Roman"/>
        <family val="1"/>
      </rPr>
      <t xml:space="preserve"> 3,7*2350000*4/12</t>
    </r>
  </si>
  <si>
    <r>
      <t>Bentl kollég ell</t>
    </r>
    <r>
      <rPr>
        <sz val="10"/>
        <rFont val="Times New Roman"/>
        <family val="1"/>
      </rPr>
      <t xml:space="preserve">  3,8*2350000*8/12</t>
    </r>
  </si>
  <si>
    <r>
      <t>Kollég.lakhatási feltételek megt.</t>
    </r>
    <r>
      <rPr>
        <b/>
        <sz val="10"/>
        <rFont val="Times New Roman"/>
        <family val="1"/>
      </rPr>
      <t xml:space="preserve"> 72*165000*4/12</t>
    </r>
  </si>
  <si>
    <r>
      <t>Kollég.lakhatási feltételek megt.</t>
    </r>
    <r>
      <rPr>
        <b/>
        <sz val="10"/>
        <rFont val="Times New Roman"/>
        <family val="1"/>
      </rPr>
      <t xml:space="preserve"> 73*165000*8/12</t>
    </r>
  </si>
  <si>
    <t>Ált.isk.napk. 1-4.évf.  3,7*2350000*8/12</t>
  </si>
  <si>
    <t>Ált.isk.napk. 5-8.évf.  0,7*2350000*8/12</t>
  </si>
  <si>
    <t>Ált.isk.napk. 1-4.évf. (2009) 3,5*2350000*4/12</t>
  </si>
  <si>
    <t>Ált.isk.napk. 5-8.évf. (2009) 0,6*2350000*4/12</t>
  </si>
  <si>
    <r>
      <t>Nyelvi felkészítő tanf.</t>
    </r>
    <r>
      <rPr>
        <sz val="9"/>
        <rFont val="Times New Roman"/>
        <family val="1"/>
      </rPr>
      <t xml:space="preserve"> 35*64000*4/12</t>
    </r>
  </si>
  <si>
    <r>
      <t>Nyelvi felkészítő tanf.</t>
    </r>
    <r>
      <rPr>
        <sz val="9"/>
        <rFont val="Times New Roman"/>
        <family val="1"/>
      </rPr>
      <t xml:space="preserve"> 26*64000*8/12</t>
    </r>
  </si>
  <si>
    <t xml:space="preserve"> Kedvezményes étkeztetés  óvoda  149*65000</t>
  </si>
  <si>
    <t xml:space="preserve">                                         ált. iskola  298*65000</t>
  </si>
  <si>
    <t xml:space="preserve">                                         gimnázium 49*65000</t>
  </si>
  <si>
    <t xml:space="preserve">                                         szakközépiskola 16*65000</t>
  </si>
  <si>
    <t xml:space="preserve">                                         kollégium  42*65000</t>
  </si>
  <si>
    <t xml:space="preserve"> kieg.hzj. Rsz-es gyvt. Kedv. Részesülő 5.-7éf. Áltisk.ingy.étk. (69*20000)</t>
  </si>
  <si>
    <r>
      <t xml:space="preserve">Bejáró tanuló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942*15300*8/12</t>
    </r>
  </si>
  <si>
    <r>
      <t xml:space="preserve">Bejáró tanuló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955*15300*4/12</t>
    </r>
  </si>
  <si>
    <r>
      <t xml:space="preserve">Intfent. társ. ált. isk. bejáró1-4 évf. </t>
    </r>
    <r>
      <rPr>
        <sz val="9"/>
        <rFont val="Times New Roman"/>
        <family val="1"/>
      </rPr>
      <t xml:space="preserve"> 47*36800*8/12</t>
    </r>
  </si>
  <si>
    <t>Intfent. társ. ált. isk. bejáró1-4 évf.(2009) 50*36300*4/12</t>
  </si>
  <si>
    <t>Intfent. társ. ált. isk. bejáró5-6. Évf. (2009) 39*36300*8/12</t>
  </si>
  <si>
    <t>Intfent. társ. ált. isk. bejáró5-7. Évf. (2009) 58*36300*4/12</t>
  </si>
  <si>
    <t>Intfent. társ. ált. isk. bejáró7-8. Évf.(2009) 48*36300*8/12</t>
  </si>
  <si>
    <t>Intfent. társ. ált. isk. bejáró 8. Évf.(2009) 25*36300*4/12</t>
  </si>
  <si>
    <r>
      <t xml:space="preserve">Lakott területtel kapcs feladatok </t>
    </r>
    <r>
      <rPr>
        <b/>
        <sz val="9"/>
        <rFont val="Times New Roman"/>
        <family val="1"/>
      </rPr>
      <t>44*3088</t>
    </r>
  </si>
  <si>
    <t>Körzeti igazgatási feladatok</t>
  </si>
  <si>
    <t xml:space="preserve"> -körzetközpont</t>
  </si>
  <si>
    <r>
      <t xml:space="preserve"> -okmányir.munkaáll.</t>
    </r>
    <r>
      <rPr>
        <b/>
        <sz val="9"/>
        <rFont val="Times New Roman"/>
        <family val="1"/>
      </rPr>
      <t xml:space="preserve"> 39886*276</t>
    </r>
  </si>
  <si>
    <r>
      <t xml:space="preserve"> - körzetközpontnak gyám. ügy.felad </t>
    </r>
    <r>
      <rPr>
        <b/>
        <sz val="9"/>
        <rFont val="Times New Roman"/>
        <family val="1"/>
      </rPr>
      <t>45326*270</t>
    </r>
  </si>
  <si>
    <r>
      <t xml:space="preserve"> - körzetközpontnak ép. ügy.felad alap hzj. </t>
    </r>
    <r>
      <rPr>
        <b/>
        <sz val="9"/>
        <rFont val="Times New Roman"/>
        <family val="1"/>
      </rPr>
      <t>45301*70</t>
    </r>
  </si>
  <si>
    <r>
      <t xml:space="preserve"> - körzetközpontnak ép. ügy.felad kieg.hzj </t>
    </r>
    <r>
      <rPr>
        <b/>
        <sz val="9"/>
        <rFont val="Times New Roman"/>
        <family val="1"/>
      </rPr>
      <t>479*7737</t>
    </r>
  </si>
  <si>
    <t>Pénzbeni és termész. szoc. és gyerm.jóléti ellátások</t>
  </si>
  <si>
    <t>Szoc. Étkezés 205*55363</t>
  </si>
  <si>
    <t>Kiegészítő tám. ingyenes tankönyvell  1236*10000</t>
  </si>
  <si>
    <r>
      <t xml:space="preserve">Tanulói tankönyv. </t>
    </r>
    <r>
      <rPr>
        <b/>
        <i/>
        <sz val="9"/>
        <rFont val="Times New Roman"/>
        <family val="1"/>
      </rPr>
      <t xml:space="preserve"> 2693*1000</t>
    </r>
  </si>
  <si>
    <t>Felhasználási kötöttség nélküli normatív hozzájárulás</t>
  </si>
  <si>
    <t>2/e/2. sz. melléklet</t>
  </si>
  <si>
    <t>II/1.4. Normatív kötött állami hozzájárulás részletezése</t>
  </si>
  <si>
    <t>1.4. Normatív kötött felh.támog.</t>
  </si>
  <si>
    <t>Önk. által szervezett közcélú foglalkoztatás támogatása</t>
  </si>
  <si>
    <t>Pedagógiai szakmai szolgáltatás 8*900000</t>
  </si>
  <si>
    <t>Szociális továbbképzés szakvizsga   16 x 9.400 Ft</t>
  </si>
  <si>
    <t>Ö s s z e s e n :</t>
  </si>
  <si>
    <t>Helyi önkormányzati hivatásos tűzoltóságok támogatása</t>
  </si>
  <si>
    <t>Személyi juttatáshoz (59*3774700) 59*</t>
  </si>
  <si>
    <r>
      <t>a./ készenl.szolg.(59*3603785)( 59*3917582</t>
    </r>
    <r>
      <rPr>
        <b/>
        <i/>
        <sz val="10"/>
        <rFont val="Times New Roman"/>
        <family val="1"/>
      </rPr>
      <t>) 66*3813425</t>
    </r>
  </si>
  <si>
    <t>Dologi kiadások</t>
  </si>
  <si>
    <r>
      <t>a./ tűzoltólakt.üzem.(</t>
    </r>
    <r>
      <rPr>
        <b/>
        <i/>
        <sz val="10"/>
        <rFont val="Times New Roman"/>
        <family val="1"/>
      </rPr>
      <t>1083*4717)</t>
    </r>
    <r>
      <rPr>
        <sz val="10"/>
        <rFont val="Times New Roman"/>
        <family val="1"/>
      </rPr>
      <t>1083*4717)</t>
    </r>
    <r>
      <rPr>
        <b/>
        <sz val="10"/>
        <rFont val="Times New Roman"/>
        <family val="1"/>
      </rPr>
      <t>1083*4717</t>
    </r>
  </si>
  <si>
    <r>
      <t>b./ járm. üzem, karb( 86678*115</t>
    </r>
    <r>
      <rPr>
        <b/>
        <i/>
        <sz val="10"/>
        <rFont val="Times New Roman"/>
        <family val="1"/>
      </rPr>
      <t>)8</t>
    </r>
    <r>
      <rPr>
        <sz val="10"/>
        <rFont val="Times New Roman"/>
        <family val="1"/>
      </rPr>
      <t xml:space="preserve">4855*115) </t>
    </r>
    <r>
      <rPr>
        <b/>
        <sz val="10"/>
        <rFont val="Times New Roman"/>
        <family val="1"/>
      </rPr>
      <t>87133*138</t>
    </r>
  </si>
  <si>
    <t>c./ különleges szerek kötelező műszaki felülvizsgálata, javítása</t>
  </si>
  <si>
    <r>
      <t xml:space="preserve">     (2x500.000) (2*500.000</t>
    </r>
    <r>
      <rPr>
        <b/>
        <i/>
        <sz val="10"/>
        <rFont val="Times New Roman"/>
        <family val="1"/>
      </rPr>
      <t>)3*500000</t>
    </r>
  </si>
  <si>
    <t>1. 4. Kötött normatív támog. Össz.</t>
  </si>
  <si>
    <t xml:space="preserve">      2/f. sz. melléklet</t>
  </si>
  <si>
    <t xml:space="preserve">II/1.2. Központosított előirányzatok részletezése </t>
  </si>
  <si>
    <t xml:space="preserve">BEVÉTELEK JOGCÍMEI </t>
  </si>
  <si>
    <t>közműfejlesztési hozzájárulás</t>
  </si>
  <si>
    <t>II/1.2. Központosított előirányzatok összesen</t>
  </si>
  <si>
    <t>II/1.3. Egyes jöv. pótló támogatások</t>
  </si>
  <si>
    <t xml:space="preserve">       2/g. sz. melléklet</t>
  </si>
  <si>
    <t xml:space="preserve">II/1.5. Fejlesztési célú támogatások részletezése </t>
  </si>
  <si>
    <t xml:space="preserve">               Ezer Ft-ban </t>
  </si>
  <si>
    <t xml:space="preserve">1.5.1. Címzett támogatás </t>
  </si>
  <si>
    <t>1.5.2. Céltámogatás: egészségügyi gép-műszer</t>
  </si>
  <si>
    <t>1.5.3. A helyi önk.-ok fejlesztési és vis maior feladatainak támogatása</t>
  </si>
  <si>
    <t xml:space="preserve">          - TEKI tám. - "B" ép.</t>
  </si>
  <si>
    <t xml:space="preserve">          - TEUT tám. - utakra</t>
  </si>
  <si>
    <t xml:space="preserve">II/1.5. Fejlesztési célú támogatások összesen </t>
  </si>
  <si>
    <t xml:space="preserve">       2/h. sz. melléklet</t>
  </si>
  <si>
    <t>II/2. Támogatás értékű bevételek</t>
  </si>
  <si>
    <t>Intézm.</t>
  </si>
  <si>
    <t xml:space="preserve">Polgárm. hiv. </t>
  </si>
  <si>
    <t>2.1. Működési bevételek összesen</t>
  </si>
  <si>
    <t>Ebből: - Rendelő: - TB alaptól</t>
  </si>
  <si>
    <t xml:space="preserve">                          - Önkormányzatotól bérf. fed.</t>
  </si>
  <si>
    <t xml:space="preserve">          - Tűzoltóság -Munkaügyi Központtól</t>
  </si>
  <si>
    <t>2.1. Működési bevételek összesen Polghiv.</t>
  </si>
  <si>
    <t>Ebből: - Többcélú Kist. Társulástól átvett</t>
  </si>
  <si>
    <t xml:space="preserve">          - Egerlövőtől átvett</t>
  </si>
  <si>
    <t xml:space="preserve">          - PV-hez vidéki önkormányzatoktól</t>
  </si>
  <si>
    <t xml:space="preserve">          - Iskola eü.-re TB-től</t>
  </si>
  <si>
    <t xml:space="preserve">          - Kp-i kv-i szervtől Otthonteremt. támog.   </t>
  </si>
  <si>
    <t xml:space="preserve">          - Kp-i kv-i szervtől Mozgáskorlát. támog.</t>
  </si>
  <si>
    <t xml:space="preserve">          - Vidéki önkorm.-tól tagisk. Műk-re</t>
  </si>
  <si>
    <t xml:space="preserve">          - Kisebbségi önkorm. Közp. Támog.</t>
  </si>
  <si>
    <t xml:space="preserve">          - iskolatej</t>
  </si>
  <si>
    <t xml:space="preserve">          - munkaügyi kp. Támog</t>
  </si>
  <si>
    <t xml:space="preserve">          - CKÖ-nek munkaügyi kp. Támog.</t>
  </si>
  <si>
    <t xml:space="preserve">          - IFJ-G-KX pályázat támogatás</t>
  </si>
  <si>
    <t xml:space="preserve">          - TÁMOP 5.2.5 pályázat támogatás</t>
  </si>
  <si>
    <t xml:space="preserve">          - Normatív támog. Pótigénylés</t>
  </si>
  <si>
    <t xml:space="preserve">          - Prémium évesek ktg. Megtér.</t>
  </si>
  <si>
    <t xml:space="preserve">          - Prémium éves Ktg. Megt. MÁAMIPSZ</t>
  </si>
  <si>
    <t xml:space="preserve">          </t>
  </si>
  <si>
    <t>2.2. Felhalmozási bevételek összesen</t>
  </si>
  <si>
    <t>Önkorm. Pályázatokra: Váci M. játszótér CÉDE</t>
  </si>
  <si>
    <t xml:space="preserve">                                  Szennyvízcsat. Hál.  KEOP</t>
  </si>
  <si>
    <t xml:space="preserve">                                  Klementina közvil. TEKI</t>
  </si>
  <si>
    <t xml:space="preserve">                                  Szent I. tagisk.  Bőv. ÉMOP</t>
  </si>
  <si>
    <t xml:space="preserve">                                  Sas Út járda TEKI</t>
  </si>
  <si>
    <t xml:space="preserve">                                  Kavicsos-tó út felúj TEUT</t>
  </si>
  <si>
    <t xml:space="preserve">                                  Bükkfa köz felúj TEUT</t>
  </si>
  <si>
    <t xml:space="preserve">                                  Bajcsy Zs. Út felúj TEUT</t>
  </si>
  <si>
    <t xml:space="preserve">                                  Kerékpárforg.hálózat fejl. ÉMOP</t>
  </si>
  <si>
    <t>2/i./1. sz. melléklet</t>
  </si>
  <si>
    <t>III/1. Tárgyi eszközök, immateriális javak értékesítésének részletezése</t>
  </si>
  <si>
    <t>ÉRTÉKESÍTENDŐ TÁRGYI ESZKÖZÖK, IMMATERIÁLIS JAVAK MEGNEVEZÉSE</t>
  </si>
  <si>
    <t>Költségvetési szerv megnev.</t>
  </si>
  <si>
    <t>B e v é t e l</t>
  </si>
  <si>
    <t>Intézmény</t>
  </si>
  <si>
    <t>Polgárm.hiv.</t>
  </si>
  <si>
    <t>Önkorm.össz.</t>
  </si>
  <si>
    <t>Járműértékesítés</t>
  </si>
  <si>
    <t xml:space="preserve">Intézmény összesen: </t>
  </si>
  <si>
    <t>Ingatlan értékesités</t>
  </si>
  <si>
    <t xml:space="preserve">Polgármesteri Hivatal össz: </t>
  </si>
  <si>
    <t>III/1. Tárgyi eszk.immat.jav. ért.össz.</t>
  </si>
  <si>
    <t>2/i./2. sz. melléklet</t>
  </si>
  <si>
    <t xml:space="preserve">III/2. Önkormányzatok sajátos felhalmozási és tőke jellegű bevételeinek </t>
  </si>
  <si>
    <t>részletezése</t>
  </si>
  <si>
    <t>Önkorm. vagyon bérbeadás (Zsóry víz,-csat.+egyéb saj. Bev.+szeméttel.)</t>
  </si>
  <si>
    <t>Önkormányzati lakás bérbeadás, értékesités</t>
  </si>
  <si>
    <t>Osztalék bevétel</t>
  </si>
  <si>
    <t>III/2. Önkormányzatok sajátos felhalmozási és tőke jellegű bevétel összesen</t>
  </si>
  <si>
    <t>2/i./3. sz. melléklet</t>
  </si>
  <si>
    <t xml:space="preserve">III/3. Pénzügyi befektetés bevételének részletezése </t>
  </si>
  <si>
    <t>Tőkegarantált pénzpiaci alapok  értékesitése</t>
  </si>
  <si>
    <t>Kötvény hozama</t>
  </si>
  <si>
    <t>III/2. Pénzügyi befektetés bevétele összesen</t>
  </si>
  <si>
    <t>2/i./4. sz. melléklet</t>
  </si>
  <si>
    <t>III/4. Felhalmozási célú pénzeszköz átvétel államháztartáson kívülről</t>
  </si>
  <si>
    <t>ezer Ft-ban</t>
  </si>
  <si>
    <t>Intézmény összesen</t>
  </si>
  <si>
    <t>Polgárm.hiv. összesen</t>
  </si>
  <si>
    <t>Szent László Gimnázium - SZKHJ</t>
  </si>
  <si>
    <t>Széchenyi István Szakképző Isk. - SZKHJ</t>
  </si>
  <si>
    <t>Mköv. és Körny. Egészségéért Alapítvány-Rendelői.</t>
  </si>
  <si>
    <t>Polgármesteri Hivatal összesen:</t>
  </si>
  <si>
    <t>III./4. Felhalmozási célú pénzeszköz átvétel államháztartáson kívülről</t>
  </si>
  <si>
    <t>2/j. sz. melléklet</t>
  </si>
  <si>
    <t xml:space="preserve">IV. Támogatási kölcsönök visszatérülése </t>
  </si>
  <si>
    <t>Működési célú kölcsön visszatérülés</t>
  </si>
  <si>
    <t>Felhalmozási célú kölcsön visszatérülés</t>
  </si>
  <si>
    <t>IV. Támogatási kölcsönök visszatérülése</t>
  </si>
  <si>
    <t>2/k. melléklet</t>
  </si>
  <si>
    <t xml:space="preserve">Önállóan működő és önállóan gazdálkodó költségvetési intézmények </t>
  </si>
  <si>
    <t>2010. évi  költségvetési bevételei</t>
  </si>
  <si>
    <t>Intézmények  összesen</t>
  </si>
  <si>
    <t>1.1. Hatósági jogkörh. köt.műk. bevételek</t>
  </si>
  <si>
    <t>1.3. Általános forg. adó bevételek, visszatér.</t>
  </si>
  <si>
    <t xml:space="preserve">1.5. Műk.célú pénze. átv. államh-on kívülről  </t>
  </si>
  <si>
    <t xml:space="preserve">I/1. Intézm.műk. bevételek összesen </t>
  </si>
  <si>
    <t>1. Tárgyi eszk., immat.javak értékesítése</t>
  </si>
  <si>
    <t>4. Felhalm.c. pénzeszk.átv. államházt.kívülről</t>
  </si>
  <si>
    <t>III. Felhalmozási és tőke jell.bev.össz.</t>
  </si>
  <si>
    <t>2. Értékpapírok értékesítése</t>
  </si>
  <si>
    <t>IV. Támogat. kölcsön visszatér., ért.pap.ért. kibocs. bev.</t>
  </si>
  <si>
    <t>Tárgyévi intézményi bevételek összesen</t>
  </si>
  <si>
    <t>V. Pénzforgalom nélküli bevételek össz.</t>
  </si>
  <si>
    <t>1. Előző évi pénzmaradvány igénybevétele</t>
  </si>
  <si>
    <t xml:space="preserve">      Ebből: működési célú</t>
  </si>
  <si>
    <t xml:space="preserve">                felhalmozási célú</t>
  </si>
  <si>
    <t>Önkormányzati támogatás</t>
  </si>
  <si>
    <t>Intézményi bevételek mindösszesen</t>
  </si>
  <si>
    <t>Polgármesteri Hivatal feladatai össz.</t>
  </si>
  <si>
    <t>PH-hoz tartozó részben-önállóan gazd. Int. Összesen</t>
  </si>
  <si>
    <t xml:space="preserve">Polgármesteri Hivatal mind-összesen </t>
  </si>
  <si>
    <t>3. Értékpapírok értékesítése</t>
  </si>
  <si>
    <t>2/l. melléklet</t>
  </si>
  <si>
    <t xml:space="preserve">Önállóan működő költségvetési intézmények </t>
  </si>
  <si>
    <t>2010. évi költségvetési bevételei</t>
  </si>
  <si>
    <t>Város-gond-nokság</t>
  </si>
  <si>
    <t>Városi Óvoda</t>
  </si>
  <si>
    <t>Széchenyi I. Szakképző</t>
  </si>
  <si>
    <t>Bayer R. Kollég. És Élelmk.</t>
  </si>
  <si>
    <t>PH-hoz tartozó önállóan műk. Int. Összesen</t>
  </si>
  <si>
    <t>PV.</t>
  </si>
  <si>
    <t>Önállóan működő intézmények összesen</t>
  </si>
  <si>
    <t xml:space="preserve">      2/m. sz. melléklet</t>
  </si>
  <si>
    <t xml:space="preserve">IV/1. Működési célú támogatási kölcsön visszatérülése   </t>
  </si>
  <si>
    <t xml:space="preserve">1.1. Kölcsön visszatérülése államháztartáson belülről  </t>
  </si>
  <si>
    <t xml:space="preserve">1.2. Kölcsön visszatérülése államháztartáson kívülről </t>
  </si>
  <si>
    <t>Kamatmentes kölcsön -háztartásoktól</t>
  </si>
  <si>
    <t>IV/1. Működési célú támog. kölcsön visszatér. összesen</t>
  </si>
  <si>
    <t xml:space="preserve">      2/n. sz. melléklet</t>
  </si>
  <si>
    <t xml:space="preserve">IV/2. Felhalmozási célú támogatási kölcsön visszatérülése </t>
  </si>
  <si>
    <t xml:space="preserve">2.1. Kölcsön visszatérülése államháztartáson belülről </t>
  </si>
  <si>
    <t xml:space="preserve">2.1. Kölcsön visszatérülése államháztartáson kívülről </t>
  </si>
  <si>
    <t>Dolg.lak.ép.,vás.-ra folyósitott kőlcsön</t>
  </si>
  <si>
    <t>Lakáshitel - háztartásoktól</t>
  </si>
  <si>
    <t>Első lakás - háztartásoktól</t>
  </si>
  <si>
    <t>Lakáscélu - háztartásoktól</t>
  </si>
  <si>
    <t>IV/2. Felhalmozási célú támog.kölcsön visszatér. összesen</t>
  </si>
  <si>
    <r>
      <t xml:space="preserve"> </t>
    </r>
    <r>
      <rPr>
        <b/>
        <u val="single"/>
        <sz val="10"/>
        <rFont val="Arial CE"/>
        <family val="2"/>
      </rPr>
      <t>3. sz. melléklet</t>
    </r>
  </si>
  <si>
    <t>Felújítási kiadási előirányzatok</t>
  </si>
  <si>
    <t>célonkénti részletezése</t>
  </si>
  <si>
    <t>Felújítási cél</t>
  </si>
  <si>
    <t>2010. évi előirányzat</t>
  </si>
  <si>
    <t>Részben önállóan gazdálkodó intézmények</t>
  </si>
  <si>
    <t xml:space="preserve">Szent László Gimnázium </t>
  </si>
  <si>
    <t>logisztikai taniroda kialakítása</t>
  </si>
  <si>
    <t xml:space="preserve">          Kossuth út felúj</t>
  </si>
  <si>
    <t xml:space="preserve">          Sas Út járda</t>
  </si>
  <si>
    <t xml:space="preserve">          Kavicsos-tó út felúj</t>
  </si>
  <si>
    <t xml:space="preserve">          Bükkfa köz felúj</t>
  </si>
  <si>
    <t xml:space="preserve">          Bajcsy Zs. Út felúj</t>
  </si>
  <si>
    <t xml:space="preserve">          Útfelújítás összesen</t>
  </si>
  <si>
    <t xml:space="preserve">       Táncpajta tető felújítás</t>
  </si>
  <si>
    <t xml:space="preserve">         Önkormányzati ingatlanok felújítása össz.</t>
  </si>
  <si>
    <t>Víz-,csatorna felujitás</t>
  </si>
  <si>
    <t xml:space="preserve">          Települési vízellátás összesen</t>
  </si>
  <si>
    <t>Polgármestei Hivatal összesen</t>
  </si>
  <si>
    <t>Önkormányzat összesen:</t>
  </si>
  <si>
    <t>4.sz. melléklet</t>
  </si>
  <si>
    <t>Beruházási kiadási előirányzatok</t>
  </si>
  <si>
    <t>feladatonkénti részletezése</t>
  </si>
  <si>
    <t>Beruházási feladat</t>
  </si>
  <si>
    <t>Városi Rendelőintézet</t>
  </si>
  <si>
    <t>video-endoszkóp beszerzése</t>
  </si>
  <si>
    <t>Szent László Gimnázium és Szakközépiskola</t>
  </si>
  <si>
    <t xml:space="preserve">  - ügyvitel, számítástechn.berendezések</t>
  </si>
  <si>
    <t xml:space="preserve">  - gép, berend.felszerelés</t>
  </si>
  <si>
    <t>Széchenyi István Szakképző Iskola</t>
  </si>
  <si>
    <t>egyéb gép, berend.: tanműhelyek eszközfejlesztése</t>
  </si>
  <si>
    <t>Ö s s z e s e n:</t>
  </si>
  <si>
    <t xml:space="preserve">Polgármesteri Hivatal  </t>
  </si>
  <si>
    <t>Szent László tér rekonst.</t>
  </si>
  <si>
    <t>Szent Imre isk. kor.</t>
  </si>
  <si>
    <t>Gyula úti rend. Elektromos szekrény</t>
  </si>
  <si>
    <t xml:space="preserve">              Városgazd. Szolg. mindösszesen</t>
  </si>
  <si>
    <t>Hálózatfejl. Áthúzódó</t>
  </si>
  <si>
    <t xml:space="preserve">              Közvilágítási feladatok összesen</t>
  </si>
  <si>
    <t xml:space="preserve">                  Fürdő és Strandszolg. Összesen</t>
  </si>
  <si>
    <t xml:space="preserve">             Önkormányzati igazgatás összesen</t>
  </si>
  <si>
    <t xml:space="preserve">Szennyvízcsatorna </t>
  </si>
  <si>
    <t xml:space="preserve">             Szennyvízcsatorna fejlesztési feladatok összesen</t>
  </si>
  <si>
    <t>Kerékpárforgalmi hálózat fejlesztése</t>
  </si>
  <si>
    <t xml:space="preserve">             Út építése összesen:</t>
  </si>
  <si>
    <t>ÖNKORMÁNYZAT ÖSSZESEN:</t>
  </si>
  <si>
    <r>
      <t xml:space="preserve">     </t>
    </r>
    <r>
      <rPr>
        <b/>
        <u val="single"/>
        <sz val="10"/>
        <rFont val="Arial CE"/>
        <family val="2"/>
      </rPr>
      <t>5. sz. melléklet</t>
    </r>
  </si>
  <si>
    <t>Céltartalék összegének célonkénti részletezése</t>
  </si>
  <si>
    <t>M e g n e v e z é s</t>
  </si>
  <si>
    <t xml:space="preserve"> 2010. évi előirányzat</t>
  </si>
  <si>
    <t>M Ű K Ö D É S</t>
  </si>
  <si>
    <t>Inézmények nyári tisztasági festése</t>
  </si>
  <si>
    <t>érdekeltségnövelő támogatás önrész</t>
  </si>
  <si>
    <t>energia és egyéb közüzemi díj árváltozásra</t>
  </si>
  <si>
    <t>szakértői díjak, engedélyek</t>
  </si>
  <si>
    <t>szociális juttatások önerejének növekedésére</t>
  </si>
  <si>
    <t>Rehabilitációs hozzájárulás fedezetére</t>
  </si>
  <si>
    <t>Köztisztviselők nettó 6.000Ft-ot meghaladó cafetéria juttatásának fedezete</t>
  </si>
  <si>
    <t>401/2009. (XII.02.) Ök. számú határozat alapján Szent László Gimnázium 100. évfordulójának előkészületére</t>
  </si>
  <si>
    <t xml:space="preserve">Működési céltartalék összesen: </t>
  </si>
  <si>
    <t xml:space="preserve">Felhalmozás </t>
  </si>
  <si>
    <t>hitelkamatok változására</t>
  </si>
  <si>
    <t>pályázati önerő - Tüo. Gépjármű beszerzés (kötelezettség)</t>
  </si>
  <si>
    <t>pályázati önerő - egyéb</t>
  </si>
  <si>
    <t>praxisvásárlás támogatására</t>
  </si>
  <si>
    <t>kötvény kamatkiadásának fedezetére tartalék</t>
  </si>
  <si>
    <t xml:space="preserve">Felhalmozási céltartalék összesen: </t>
  </si>
  <si>
    <t xml:space="preserve">Céltartalék mindösszesen: </t>
  </si>
  <si>
    <t xml:space="preserve">  Felhalmozási céltartalék  (hitelkamatok változására 3885eft, Tüo. Gk. vás. 25mó, egyéb pály. Önerő 17mó, kötvény  Kamat kiadás tartaléka 140mó)</t>
  </si>
  <si>
    <r>
      <t xml:space="preserve">    </t>
    </r>
    <r>
      <rPr>
        <b/>
        <u val="single"/>
        <sz val="10"/>
        <rFont val="Arial CE"/>
        <family val="2"/>
      </rPr>
      <t>6/a. sz. melléklet</t>
    </r>
  </si>
  <si>
    <t>Költségvetési szervek létszámkerete</t>
  </si>
  <si>
    <t>Költségvetési szerv</t>
  </si>
  <si>
    <t>Jóváh.létszám /fő/</t>
  </si>
  <si>
    <t>Önkormányzati Tűzoltóság</t>
  </si>
  <si>
    <t>Bayer Róbert Középiskolai Kollégium</t>
  </si>
  <si>
    <t>Polgármesteri Hivatal prémiumévesek</t>
  </si>
  <si>
    <t>Városi Önkorm. Rendelőintézet</t>
  </si>
  <si>
    <t>Polgári Védelmi Társulás</t>
  </si>
  <si>
    <t>Városgondnokság</t>
  </si>
  <si>
    <t>Létszámkeret összesen</t>
  </si>
  <si>
    <r>
      <t xml:space="preserve">    </t>
    </r>
    <r>
      <rPr>
        <b/>
        <u val="single"/>
        <sz val="10"/>
        <rFont val="Arial CE"/>
        <family val="2"/>
      </rPr>
      <t>6/b. sz. melléklet</t>
    </r>
  </si>
  <si>
    <t>Közcélú foglalkoztatottak létszámkerete</t>
  </si>
  <si>
    <t>Közcélú foglalkoztatottak</t>
  </si>
  <si>
    <t>7. sz. melléklet</t>
  </si>
  <si>
    <t>I. Működési célú bevételek és kiadások mérlege</t>
  </si>
  <si>
    <t>K i a d á s</t>
  </si>
  <si>
    <t>2010.évi előir.</t>
  </si>
  <si>
    <t>2010. évi előir.</t>
  </si>
  <si>
    <t>Működési bevételek</t>
  </si>
  <si>
    <t>Személyi juttatások</t>
  </si>
  <si>
    <t>Felhalm.ÁFA visszatér.</t>
  </si>
  <si>
    <t>Munkaadót terhelő járulékok</t>
  </si>
  <si>
    <t xml:space="preserve">Magánszem.komm.adója 100 % </t>
  </si>
  <si>
    <t>Magánszem.ép.adó 20 %</t>
  </si>
  <si>
    <t>ebből: - rövid lejáratú hit.kamata</t>
  </si>
  <si>
    <t>Támog. támog.ért.bevételek</t>
  </si>
  <si>
    <r>
      <t xml:space="preserve">          -</t>
    </r>
    <r>
      <rPr>
        <sz val="9"/>
        <rFont val="Times New Roman"/>
        <family val="1"/>
      </rPr>
      <t>hosszú lejáratú hit.kamata</t>
    </r>
  </si>
  <si>
    <t>ebből:lakáshoz jut.tám.SZJA 100 %-a</t>
  </si>
  <si>
    <t xml:space="preserve">         - ért. tárgyie.áfabefiz</t>
  </si>
  <si>
    <t xml:space="preserve">       felhalm. támog.</t>
  </si>
  <si>
    <t>Speciális célú támogatás</t>
  </si>
  <si>
    <t>Nyújtott kölcsönök visszatérülése</t>
  </si>
  <si>
    <t>ebből: - társad.és szocpol.juttat.</t>
  </si>
  <si>
    <t>Ellátottak pénzbeni jutt.</t>
  </si>
  <si>
    <t>Támogtás értékű kiadás</t>
  </si>
  <si>
    <t>Nyújtott kölcsönök</t>
  </si>
  <si>
    <t>Pénzeszközátadás</t>
  </si>
  <si>
    <t>Tartalékok</t>
  </si>
  <si>
    <t xml:space="preserve">  - általános tartalék</t>
  </si>
  <si>
    <t xml:space="preserve">  - céltartalék</t>
  </si>
  <si>
    <t>Tárgyévi költségvetési bev.össz.</t>
  </si>
  <si>
    <t>Tárgyévi költségvetési kiadás össz.</t>
  </si>
  <si>
    <t>Pénzmaradvány igénybevétel</t>
  </si>
  <si>
    <t>Hitelfelvétel /forráshiány/</t>
  </si>
  <si>
    <t>Hiteltörlesztés</t>
  </si>
  <si>
    <t>ebből: - rulírozó hitel</t>
  </si>
  <si>
    <t xml:space="preserve">          - forráshiány</t>
  </si>
  <si>
    <t>Műk.célú bevétel összesen:</t>
  </si>
  <si>
    <t>Műk.célú kiadás összesen:</t>
  </si>
  <si>
    <t>II. Felhalmozási célú bevételek és kiadások mérlege</t>
  </si>
  <si>
    <t>Felhalm. és tőke jell.bev.</t>
  </si>
  <si>
    <t>Beruházás</t>
  </si>
  <si>
    <t>Önkorm. Felhalm támog.</t>
  </si>
  <si>
    <t>Felújítás</t>
  </si>
  <si>
    <t>Támogatás értékű bevételek</t>
  </si>
  <si>
    <t>Pénzügyi befektetések</t>
  </si>
  <si>
    <t>Átvett pénzeszk.egyéb szerv.-től</t>
  </si>
  <si>
    <t>Pénzeszköz átadás áh.kív.</t>
  </si>
  <si>
    <t>Nyújtott kölcsön visszatér.</t>
  </si>
  <si>
    <t>Hosszú lejáratú hitelek kamata</t>
  </si>
  <si>
    <t>Átengedett közp.-i adók</t>
  </si>
  <si>
    <t>ebből: lakáshoz jutás és lakásfenntart.tám.SZJA 50 %-a</t>
  </si>
  <si>
    <t>a./ általános tartalék</t>
  </si>
  <si>
    <t>Magánsz.építm.és telekadó 20 %</t>
  </si>
  <si>
    <t>b./ céltartalék</t>
  </si>
  <si>
    <t>Felhalm.kiad.ÁFA visszatér.</t>
  </si>
  <si>
    <t>Értékesített tárgyie.áfabefiz.</t>
  </si>
  <si>
    <t>Támogatás értékű kiadás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</si>
  <si>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</si>
  <si>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</si>
  <si>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</si>
  <si>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</si>
  <si>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</si>
  <si>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</si>
  <si>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</si>
  <si>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Pénzmaradvány igénybevétel össz.</t>
  </si>
  <si>
    <t>Hiteltörlesztés összesen</t>
  </si>
  <si>
    <t>Önkormányzati bev.mindö.</t>
  </si>
  <si>
    <t>Önkorm.kiadás mindössz.</t>
  </si>
  <si>
    <t xml:space="preserve">                 8.sz. melléklet</t>
  </si>
  <si>
    <t>A költségvetési évet követő 2 év várható előirányzatai</t>
  </si>
  <si>
    <r>
      <t xml:space="preserve">                                </t>
    </r>
    <r>
      <rPr>
        <b/>
        <sz val="12"/>
        <rFont val="Times New Roman"/>
        <family val="1"/>
      </rPr>
      <t xml:space="preserve">Megnevezés            </t>
    </r>
  </si>
  <si>
    <t>2011. év</t>
  </si>
  <si>
    <t>2012. év</t>
  </si>
  <si>
    <t xml:space="preserve">I. Működési célú bevételek és kiadások </t>
  </si>
  <si>
    <t>Intézményi működési bevételek</t>
  </si>
  <si>
    <t>Önkormányzat sajátos működési bevétele</t>
  </si>
  <si>
    <t>Önkorm. költségv.-i támogat., átenged. szem jöv.adó</t>
  </si>
  <si>
    <t xml:space="preserve">Működési célú pénzeszk. átvétel államházt. kívülről </t>
  </si>
  <si>
    <t xml:space="preserve">Támogatásértékű működési bevétel </t>
  </si>
  <si>
    <t xml:space="preserve">Továbbadási célú (lebonyolítási) működ. bevétel </t>
  </si>
  <si>
    <t xml:space="preserve">Működési célú kölcsön visszatérülése, igénybevétele </t>
  </si>
  <si>
    <t>Rövid lejáratú hitel</t>
  </si>
  <si>
    <t xml:space="preserve">Rövid lejár. értékpapírok értékesítése, kibocsátása </t>
  </si>
  <si>
    <t>Működési célú előző évi pénzmaradvány igénybevétele</t>
  </si>
  <si>
    <t xml:space="preserve">Működési célú bevételek összesen: </t>
  </si>
  <si>
    <t xml:space="preserve">Dologi kiadások és egyéb folyó kiadások </t>
  </si>
  <si>
    <t>Működési célú pénzeszköz átadás államházt. kívülre</t>
  </si>
  <si>
    <t>Támogatásértékű működési kiadás</t>
  </si>
  <si>
    <t>Továbbadási célú (lebonyolítási) működ. kiadás</t>
  </si>
  <si>
    <t>Ellátottak pénzbeni juttatása</t>
  </si>
  <si>
    <t xml:space="preserve">Működési célú kölcsönök nyújtása és törlesztése </t>
  </si>
  <si>
    <t xml:space="preserve">Rövid lejáratú hitelek visszafizetése </t>
  </si>
  <si>
    <t>Rövid lejáratú hitelek kamata</t>
  </si>
  <si>
    <t xml:space="preserve">Rövid lejáratú értékpapírok beváltása, vásárlása </t>
  </si>
  <si>
    <t xml:space="preserve">Működési célú kiadások összesen: </t>
  </si>
  <si>
    <t>II. Felhalmozási  célú bevét. és kiad.</t>
  </si>
  <si>
    <t>Önkormányzat felhalmozási és tőke jellegű bevételei</t>
  </si>
  <si>
    <t>Önkormányzatok sajátos felhalm. és tőke jell. bevét.</t>
  </si>
  <si>
    <t xml:space="preserve">Fejlesztési célú támogatások </t>
  </si>
  <si>
    <t>Felhalm.-i célú pénzeszköz átvétel államháztart. kívülről</t>
  </si>
  <si>
    <t xml:space="preserve">Támogatásértékű felhalmozási bevétel </t>
  </si>
  <si>
    <t>Továbbadási (lebonyolítási) célú felhalmozási bevétel</t>
  </si>
  <si>
    <t>Felhalmozási áfa visszatérülés</t>
  </si>
  <si>
    <t>Értékesített tárgyi eszk., immateriális javak áfa-ja</t>
  </si>
  <si>
    <t>Felhalm. célú kölcsönök visszatérülése, igénybevétele</t>
  </si>
  <si>
    <t>Hosszúlejáratú hitel felvétel</t>
  </si>
  <si>
    <t xml:space="preserve">Hosszú lejáratú értékpapírok kibocsátása </t>
  </si>
  <si>
    <t xml:space="preserve">Felhalm.-i célú pénzmaradvány igénybevétele </t>
  </si>
  <si>
    <t>Felhalmozási célú bevételek összesen:</t>
  </si>
  <si>
    <t>Felhalmozási kiadások (áfa-val  együtt)</t>
  </si>
  <si>
    <t>Felújítási kiadások (áfa-val együtt)</t>
  </si>
  <si>
    <t>Értékesített tárgyi eszk. áfa-ja miatti befizetés</t>
  </si>
  <si>
    <t>Felhalm.-i célú pénzeszköz átadás államházt.kívülre</t>
  </si>
  <si>
    <t>Támogatásértékű felhalmozási kiadás</t>
  </si>
  <si>
    <t>Továbbadási (lebonyolítási) célú felhalmozási kiadás</t>
  </si>
  <si>
    <t xml:space="preserve">Felhalmozási célú kölcsönök nyújtása és törlesztése </t>
  </si>
  <si>
    <t>Hosszú lejáratú hitel visszafizetése</t>
  </si>
  <si>
    <t>Hosszú lejáratú hitel kamata</t>
  </si>
  <si>
    <t xml:space="preserve">Hosszú lejáratú értékpapírok vásárlása </t>
  </si>
  <si>
    <t xml:space="preserve">Tartalékok </t>
  </si>
  <si>
    <t>Felhalmozási célú kiadások összesen:</t>
  </si>
  <si>
    <t>Önkormányzat bevételei összesen:</t>
  </si>
  <si>
    <t>Önkormányzat kiadásai összesen:</t>
  </si>
  <si>
    <t xml:space="preserve">           9. sz. melléklet</t>
  </si>
  <si>
    <t>Adatszolgáltatás az önkormányzat felügyelete alá tartozó</t>
  </si>
  <si>
    <t xml:space="preserve">  költségvetési szerv által elismert tartozásállományról </t>
  </si>
  <si>
    <t>2010. ......................... hó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</si>
  <si>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</si>
  <si>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</si>
  <si>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</si>
  <si>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</si>
  <si>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</si>
  <si>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</si>
  <si>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</si>
  <si>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</si>
  <si>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</si>
  <si>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</si>
  <si>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</si>
  <si>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</si>
  <si>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</si>
  <si>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</si>
  <si>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</si>
  <si>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</si>
  <si>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</si>
  <si>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</si>
  <si>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</si>
  <si>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 xml:space="preserve">(x) Az önkormányzat költségvetési rendletének 23 §-ában </t>
  </si>
  <si>
    <t>meghatározott határnapon túli tartozásállomány.</t>
  </si>
  <si>
    <t xml:space="preserve">........................ 2010. ............ hó .... nap </t>
  </si>
  <si>
    <t>..........................................</t>
  </si>
  <si>
    <t xml:space="preserve">költségvetési szerv vezetője </t>
  </si>
  <si>
    <t>10/A. sz. melléklet</t>
  </si>
  <si>
    <t>A Cigány Kisebbségi Önkormányzat</t>
  </si>
  <si>
    <t>2010. évi költségvetése</t>
  </si>
  <si>
    <t>Bevételek alakulása</t>
  </si>
  <si>
    <t xml:space="preserve">  - Központi támogatás</t>
  </si>
  <si>
    <t xml:space="preserve">  - Önkormányzati támogatás</t>
  </si>
  <si>
    <t xml:space="preserve">  - Átvett pénz (pály.tám.)</t>
  </si>
  <si>
    <t>Ö s s z e s   b e v é t e l</t>
  </si>
  <si>
    <t>Kiadások alakulása</t>
  </si>
  <si>
    <r>
      <t xml:space="preserve">Kôzponti </t>
    </r>
    <r>
      <rPr>
        <b/>
        <sz val="10"/>
        <rFont val="Arial CE"/>
        <family val="2"/>
      </rPr>
      <t xml:space="preserve"> tám. </t>
    </r>
  </si>
  <si>
    <t xml:space="preserve">Önkorm. tám. </t>
  </si>
  <si>
    <t>Kisebbségi alkalm. foglalk.</t>
  </si>
  <si>
    <t>Karbantartás</t>
  </si>
  <si>
    <t>Postaktg</t>
  </si>
  <si>
    <t>Festékpatron</t>
  </si>
  <si>
    <t>Eszközbeszerzés - irodaszer</t>
  </si>
  <si>
    <t>2009. évi kiküldetés, saját szgk*haszn.</t>
  </si>
  <si>
    <t>Roma Ki Mit Tud, Roma Nap</t>
  </si>
  <si>
    <t>Rászoruló iskolás tanulók tanulm.kiránd-</t>
  </si>
  <si>
    <t>2009-ben hátrányos helyzetű iskolások füzetcsomag vásárlása, pótlása</t>
  </si>
  <si>
    <t>Koszorúzás</t>
  </si>
  <si>
    <t>Telefonktg.</t>
  </si>
  <si>
    <t>pályázati díjak</t>
  </si>
  <si>
    <t>Ö s s z e s   k i a d á s</t>
  </si>
  <si>
    <t>Személyi jellegű kiadás</t>
  </si>
  <si>
    <t xml:space="preserve">Munkaadókat terhelő járulák </t>
  </si>
  <si>
    <t>Dologi jellegű kiadás</t>
  </si>
  <si>
    <t>Működési kiadás össz.</t>
  </si>
  <si>
    <t>10/B. sz. melléklet</t>
  </si>
  <si>
    <t>Az Örmény Kisebbségi Önkormányzat</t>
  </si>
  <si>
    <t xml:space="preserve">  - Átvett pénz</t>
  </si>
  <si>
    <t>Társadalmi szervek tám.</t>
  </si>
  <si>
    <t>Dologi kiadás</t>
  </si>
  <si>
    <t xml:space="preserve">11. sz. melléklet </t>
  </si>
  <si>
    <t xml:space="preserve">   ELŐIRÁNYZAT-FELHASZNÁLÁSI ÜTEMTERV</t>
  </si>
  <si>
    <t xml:space="preserve">       2010. év </t>
  </si>
  <si>
    <t xml:space="preserve">Hónap </t>
  </si>
  <si>
    <t xml:space="preserve">Bevétel </t>
  </si>
  <si>
    <t>Kiadás</t>
  </si>
  <si>
    <t xml:space="preserve">Hitel felvétel </t>
  </si>
  <si>
    <t>Hitel törlesztés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</si>
  <si>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</si>
  <si>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</si>
  <si>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</si>
  <si>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</si>
  <si>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</si>
  <si>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</si>
  <si>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</si>
  <si>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</si>
  <si>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</si>
  <si>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</si>
  <si>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</si>
  <si>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</si>
  <si>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12. sz. melléklet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</si>
  <si>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</si>
  <si>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</si>
  <si>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</si>
  <si>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</si>
  <si>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</si>
  <si>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</si>
  <si>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</si>
  <si>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</si>
  <si>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</si>
  <si>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Mező F. fűtéskorsz.</t>
  </si>
  <si>
    <t xml:space="preserve"> Piac építés fejl.h., . </t>
  </si>
  <si>
    <t>16 lakásos bérlakás-építés</t>
  </si>
  <si>
    <t>Gépjármű hitel - Polg. Hiv</t>
  </si>
  <si>
    <t xml:space="preserve"> Kötvény visszafiz. **</t>
  </si>
  <si>
    <t>2010. évben induló beruh.</t>
  </si>
  <si>
    <t>Zsóry fürdő      2005.</t>
  </si>
  <si>
    <t>Fennálló hitel, kötvénytart.  2010. I. 1-jén</t>
  </si>
  <si>
    <t>2010. évi hitelfelvét.</t>
  </si>
  <si>
    <t>Hitel vissza-fizetési köt.</t>
  </si>
  <si>
    <t>Mindössz.</t>
  </si>
  <si>
    <t>13.sz. melléklet</t>
  </si>
  <si>
    <t>K I M U T A T Á S</t>
  </si>
  <si>
    <t>Mezőkövesd város önkormányzata által 2010. évben nyújtandó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</si>
  <si>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</si>
  <si>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</si>
  <si>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</si>
  <si>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</si>
  <si>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</si>
  <si>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</si>
  <si>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Dolgozók lakásép., felújítási kölcsöne</t>
  </si>
  <si>
    <t xml:space="preserve">  14. sz. melléklet</t>
  </si>
  <si>
    <t>a 2010. évre tervezett közvetett támogatásokról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</si>
  <si>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</si>
  <si>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</si>
  <si>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</si>
  <si>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</si>
  <si>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 xml:space="preserve">35/2009. (XII.23.) ÖK. sz. rend. 3. §. 25 %-os kedv. </t>
  </si>
  <si>
    <t xml:space="preserve">Adókedvezmény, mentesség gépjárműadónál: </t>
  </si>
  <si>
    <t>1991. évi LXXXII. tv. Mozgáskorl. mentesség +költségvetési szervek egyházak, stb.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</si>
  <si>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</si>
  <si>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</si>
  <si>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</si>
  <si>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</si>
  <si>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</si>
  <si>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</si>
  <si>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</si>
  <si>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>zások alapulvételével történt. A helyi iparűzési adórendelet 3.§. alapján azt a vállalkozót akinek a</t>
  </si>
  <si>
    <t>vállalozási szintű adóalapja nem haladja meg az 1 millió Ft-ot 25%-os mértékű adókedvezmény illeti meg.</t>
  </si>
  <si>
    <t>A környezetvédelmi osztályba sorolás szerinti kedvezmény illetve a mozgáskorlátozottság miatti men-</t>
  </si>
  <si>
    <t>tességek tapasztalati adatok illetve a tövény változása alapján kerültek számszerűsítésre.</t>
  </si>
  <si>
    <t xml:space="preserve">  15. sz. melléklet</t>
  </si>
  <si>
    <t>a pénzeszközök  2010. évre tervezett változásáról</t>
  </si>
  <si>
    <t xml:space="preserve">M e g n e v e z é s </t>
  </si>
  <si>
    <t>Kv-i elsz.</t>
  </si>
  <si>
    <t>Nyitó pénzkészlet 2010. január 1-jén</t>
  </si>
  <si>
    <t xml:space="preserve">Összes bevétel tervezett összege </t>
  </si>
  <si>
    <t xml:space="preserve">Összes kiadás tervezett összege </t>
  </si>
  <si>
    <t>Záró pénzkészlet tervezett összege 2010. dec. 31-én</t>
  </si>
  <si>
    <t>16. sz. melléklet</t>
  </si>
  <si>
    <t xml:space="preserve">        KIMUTATÁS</t>
  </si>
  <si>
    <t xml:space="preserve">                 az önkormányzat által felvett hitelek állományáról </t>
  </si>
  <si>
    <t xml:space="preserve">             2010. év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</si>
  <si>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</si>
  <si>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</si>
  <si>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</si>
  <si>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</si>
  <si>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</si>
  <si>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</si>
  <si>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</si>
  <si>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</si>
  <si>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</si>
  <si>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</si>
  <si>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</si>
  <si>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</si>
  <si>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</si>
  <si>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Működési, folyószámla hitel</t>
  </si>
  <si>
    <t>Zsóry fejl. hitel 2005.</t>
  </si>
  <si>
    <t>16 lak.bérlakásép. fejl. hitel.</t>
  </si>
  <si>
    <t>Piac-Fejlesztési célhitel</t>
  </si>
  <si>
    <t>xxxxxxxx</t>
  </si>
  <si>
    <t>17. sz. melléklet</t>
  </si>
  <si>
    <t xml:space="preserve">         KIMUTATÁS</t>
  </si>
  <si>
    <t xml:space="preserve">          az önkormányzat által nyújtott hitelek (kölcsönök) állományáról </t>
  </si>
  <si>
    <t xml:space="preserve">              2010. év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</si>
  <si>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</si>
  <si>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</si>
  <si>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</si>
  <si>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</si>
  <si>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</si>
  <si>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</si>
  <si>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</si>
  <si>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</si>
  <si>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</si>
  <si>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</si>
  <si>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</si>
  <si>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16/a.sz. melléklet</t>
  </si>
  <si>
    <t>az önkormányzat hitel-kötvény állományáról, lejárat szerinti bontásban</t>
  </si>
  <si>
    <t>Hitelintézet megnevezése</t>
  </si>
  <si>
    <t>Hitel-állomány 2010.01.01</t>
  </si>
  <si>
    <t>Hitel lejárata</t>
  </si>
  <si>
    <t>OTP Bank Nyrt.</t>
  </si>
  <si>
    <t>Mező Ferenc Tag-iskola fűtés korsz.</t>
  </si>
  <si>
    <t>16 lakásos bérlakásépítés fejl.</t>
  </si>
  <si>
    <t>Zsóry fejl. 2005. évi</t>
  </si>
  <si>
    <t>Lombard Finan-szírozási Zrt.</t>
  </si>
  <si>
    <t>Személygépkocsi</t>
  </si>
  <si>
    <t>Piac-fejl. hitel</t>
  </si>
  <si>
    <t>Raiffeisen Bank</t>
  </si>
  <si>
    <t>Kötvény visszaf.</t>
  </si>
  <si>
    <t>xxxxxxxxxxxxxxxxxxxxx</t>
  </si>
  <si>
    <t>2029.</t>
  </si>
  <si>
    <t>Hitel-állomány 2010.01.01.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</si>
  <si>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</si>
  <si>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</si>
  <si>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</si>
  <si>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</si>
  <si>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</si>
  <si>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</si>
  <si>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</si>
  <si>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</si>
  <si>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</si>
  <si>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</si>
  <si>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18. sz.melléklet</t>
  </si>
  <si>
    <t xml:space="preserve">a közvetett támogatásokról </t>
  </si>
  <si>
    <t xml:space="preserve">Közvetett támogatás megnevezése </t>
  </si>
  <si>
    <t xml:space="preserve">                            Összeg </t>
  </si>
  <si>
    <t>Tervezett</t>
  </si>
  <si>
    <t>Tényleges</t>
  </si>
  <si>
    <t xml:space="preserve">Adókedvezmények </t>
  </si>
  <si>
    <t>19. sz.melléklet</t>
  </si>
  <si>
    <t>a pénzeszközök változásáról</t>
  </si>
  <si>
    <t xml:space="preserve">                       Ezer Ft-ban</t>
  </si>
  <si>
    <t xml:space="preserve">Tényleges </t>
  </si>
  <si>
    <t xml:space="preserve">Nyitó pénzkészlet 2010.január 1-jén </t>
  </si>
  <si>
    <t>Összes bevétel összege</t>
  </si>
  <si>
    <t>Összes kiadás összege</t>
  </si>
  <si>
    <t xml:space="preserve">Záró pénzkészlet 2010. dec. 31-én </t>
  </si>
  <si>
    <t>20.sz. melléklet</t>
  </si>
  <si>
    <t>Több éves kihatással járó döntések számszerűsítése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</si>
  <si>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</si>
  <si>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</si>
  <si>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</si>
  <si>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</si>
  <si>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</si>
  <si>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</si>
  <si>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</si>
  <si>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</si>
  <si>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</si>
  <si>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</si>
  <si>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</si>
  <si>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</si>
  <si>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Készfizető kezességvállalás Szennyvíza.</t>
  </si>
  <si>
    <t>Készfizető kezességvállalás MSE</t>
  </si>
  <si>
    <t>VG Zrt. Részvény vásárlás (közös Érdek Dolgozói Alapítványtól)</t>
  </si>
  <si>
    <t>Mköv. Szennyvíz. A. támogatására Ny-i vár.r.</t>
  </si>
  <si>
    <t>Mköv. Szennyvíz. A. támogatására III. ütem</t>
  </si>
  <si>
    <t>Ö S S Z E S E N :</t>
  </si>
  <si>
    <t>2022.</t>
  </si>
  <si>
    <t>2023.</t>
  </si>
  <si>
    <t>2024.</t>
  </si>
  <si>
    <t>2025.</t>
  </si>
  <si>
    <t>2026.</t>
  </si>
  <si>
    <t>2027.</t>
  </si>
  <si>
    <t>2028.</t>
  </si>
  <si>
    <t>Mköv. Szennyvíz. A. támogatására III. ütem.</t>
  </si>
  <si>
    <t>A képviselő-testület egyetértett a Mezőkövesd  Szennyvízelvezetéséért Alapítvány célkitűzéseivel, és kötelezettséget vállalt, hogy az Alapítvány részére támogatást nyújt a vállalt célok megvalósítására.</t>
  </si>
  <si>
    <t>1. Sz. tájékoztató</t>
  </si>
  <si>
    <t>Az önkormányzatot 2008-2009-2010. években felhasználási kötöttség nélkül</t>
  </si>
  <si>
    <t>megillető normatív támogatás</t>
  </si>
  <si>
    <t>eFt</t>
  </si>
  <si>
    <t>Jogcím megnevezése</t>
  </si>
  <si>
    <t>2008.tény</t>
  </si>
  <si>
    <t>2009.tény</t>
  </si>
  <si>
    <t>2010.terv</t>
  </si>
  <si>
    <t>Települési, igazgatási, kommunális feladatok</t>
  </si>
  <si>
    <r>
      <t xml:space="preserve">  (17603*1380) </t>
    </r>
    <r>
      <rPr>
        <sz val="11"/>
        <color indexed="8"/>
        <rFont val="Times New Roman"/>
        <family val="1"/>
      </rPr>
      <t>(17520*1430)</t>
    </r>
    <r>
      <rPr>
        <b/>
        <sz val="10"/>
        <rFont val="Times New Roman"/>
        <family val="1"/>
      </rPr>
      <t>17272*1947</t>
    </r>
  </si>
  <si>
    <t>Települési sportfeladatok támog. 17389*500</t>
  </si>
  <si>
    <r>
      <t xml:space="preserve">Körjegyz. műk alaphzj. </t>
    </r>
    <r>
      <rPr>
        <i/>
        <sz val="9"/>
        <rFont val="Times New Roman"/>
        <family val="1"/>
      </rPr>
      <t>(12*370000) (12*370000)</t>
    </r>
    <r>
      <rPr>
        <b/>
        <sz val="9"/>
        <rFont val="Times New Roman"/>
        <family val="1"/>
      </rPr>
      <t>12*300000</t>
    </r>
  </si>
  <si>
    <t>Üdülőhelyi feladatok</t>
  </si>
  <si>
    <r>
      <t xml:space="preserve">   </t>
    </r>
    <r>
      <rPr>
        <sz val="10"/>
        <rFont val="Times New Roman"/>
        <family val="1"/>
      </rPr>
      <t>(12.000.000*2) (14.000.000*</t>
    </r>
    <r>
      <rPr>
        <i/>
        <sz val="10"/>
        <rFont val="Times New Roman"/>
        <family val="1"/>
      </rPr>
      <t>2)</t>
    </r>
    <r>
      <rPr>
        <b/>
        <i/>
        <sz val="10"/>
        <rFont val="Times New Roman"/>
        <family val="1"/>
      </rPr>
      <t>18.000.000*1</t>
    </r>
  </si>
  <si>
    <t>Nappali szociális intézeti ellátás (30*150.000)</t>
  </si>
  <si>
    <r>
      <t xml:space="preserve">Bölcsődei ellátás   </t>
    </r>
    <r>
      <rPr>
        <sz val="10"/>
        <rFont val="Times New Roman"/>
        <family val="1"/>
      </rPr>
      <t xml:space="preserve">(48*547.000) (56*547000) </t>
    </r>
    <r>
      <rPr>
        <b/>
        <sz val="10"/>
        <rFont val="Times New Roman"/>
        <family val="1"/>
      </rPr>
      <t>58*494100</t>
    </r>
  </si>
  <si>
    <r>
      <t xml:space="preserve">Ingyenes bölcsődei étk. </t>
    </r>
    <r>
      <rPr>
        <sz val="10"/>
        <rFont val="Times New Roman"/>
        <family val="1"/>
      </rPr>
      <t>(6*50000)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(10*50000)</t>
    </r>
    <r>
      <rPr>
        <b/>
        <sz val="10"/>
        <rFont val="Times New Roman"/>
        <family val="1"/>
      </rPr>
      <t xml:space="preserve"> 3*65000</t>
    </r>
  </si>
  <si>
    <r>
      <t xml:space="preserve">Óvodai nev.alaphzj </t>
    </r>
    <r>
      <rPr>
        <sz val="8"/>
        <rFont val="Times New Roman"/>
        <family val="1"/>
      </rPr>
      <t>(453*199.000)(</t>
    </r>
    <r>
      <rPr>
        <i/>
        <sz val="8"/>
        <rFont val="Times New Roman"/>
        <family val="1"/>
      </rPr>
      <t>497*199.000*8/12)</t>
    </r>
  </si>
  <si>
    <t>Óvodai hzj. Kieg. Hzj (140*10.000 Ft)</t>
  </si>
  <si>
    <r>
      <t>Óvodai nev. alaphzj.(2007.szept.1-től  8,3*2550000*4/12 1.nev.év.) 1</t>
    </r>
    <r>
      <rPr>
        <b/>
        <sz val="9"/>
        <rFont val="Times New Roman"/>
        <family val="1"/>
      </rPr>
      <t>-</t>
    </r>
    <r>
      <rPr>
        <sz val="9"/>
        <rFont val="Times New Roman"/>
        <family val="1"/>
      </rPr>
      <t>nevelési év 111*2550000*8/12</t>
    </r>
  </si>
  <si>
    <t>Óvodai nev. alaphzj.(2007.szept.1-től  8,3*2550000*4/12 1.nev.év.) 2-3-nevelési év 358*2550000*8/13</t>
  </si>
  <si>
    <t>Óvodai nev. alaphzj.(2007.szept.1-től  8,3*2550000*4/12 1.nev.év.) 1-2 nevelési év (105*2550000*4/12)</t>
  </si>
  <si>
    <t>Óvodai nev. alaphzj.(2007.szept.1-től  8,3*2550000*4/12 1.nev.év.)3-nevelési év 350*2550000*4/12</t>
  </si>
  <si>
    <t>Isk.okt.alaph.1évf.132*2550000*8/12</t>
  </si>
  <si>
    <t>Isk.okt.alaph.2-3évf.260*2550000*8/12</t>
  </si>
  <si>
    <t>Isk.okt.alaph.4évf.173*2550000*8/12</t>
  </si>
  <si>
    <t>Iskolai okt.5. Évfolyam (167*2550000*8/12)</t>
  </si>
  <si>
    <t>Iskolai okt.6. Évfolyam (172*2550000*8/12)</t>
  </si>
  <si>
    <t>Iskolai okt.7-8. Évfolyam (328*2550000*8/12)</t>
  </si>
  <si>
    <t>Iskolai okt.5-6. Évfolyam (316*2550000*4/12) 18,1*2350000*8/12</t>
  </si>
  <si>
    <t xml:space="preserve">Iskolai okt.7-8. Évfolyam (330*2550000*4/12) </t>
  </si>
  <si>
    <t>sajátos.nev.igényű tan.nev.okt.(2009)</t>
  </si>
  <si>
    <t>Isk. okt. 9. Évf.341*2550000*8/12</t>
  </si>
  <si>
    <t>Isk. okt. 10. Évf.362*2550000*8/12</t>
  </si>
  <si>
    <t>Isk. okt.11-139. Évf.508*2550000*8/12</t>
  </si>
  <si>
    <t>Isk.okt.11-13. Évf. 549*2550000*4/12</t>
  </si>
  <si>
    <t>Isk. szak. Szakmai elm. Okt.10-11-12. Éfv.136*2550000*8/12</t>
  </si>
  <si>
    <r>
      <t>Iskol.szak. záró évf. képz. (</t>
    </r>
    <r>
      <rPr>
        <sz val="10"/>
        <rFont val="Times New Roman"/>
        <family val="1"/>
      </rPr>
      <t>46*67200) (63*67200*8/12) 22*58800*4/12</t>
    </r>
  </si>
  <si>
    <r>
      <t xml:space="preserve">Iskol.szak. záró évf. képz. </t>
    </r>
    <r>
      <rPr>
        <sz val="10"/>
        <rFont val="Times New Roman"/>
        <family val="1"/>
      </rPr>
      <t xml:space="preserve"> (60*67200*4/12) 27*58800*8/12</t>
    </r>
  </si>
  <si>
    <r>
      <t>Gyógypedagógiai nev. visszahely. (</t>
    </r>
    <r>
      <rPr>
        <b/>
        <sz val="10"/>
        <rFont val="Times New Roman"/>
        <family val="1"/>
      </rPr>
      <t>1*144000*8/12</t>
    </r>
    <r>
      <rPr>
        <sz val="10"/>
        <color indexed="8"/>
        <rFont val="Times New Roman"/>
        <family val="1"/>
      </rPr>
      <t xml:space="preserve"> ) 2*134400*4/12</t>
    </r>
  </si>
  <si>
    <r>
      <t>Korai fejl gond.</t>
    </r>
    <r>
      <rPr>
        <i/>
        <sz val="10"/>
        <rFont val="Times New Roman"/>
        <family val="1"/>
      </rPr>
      <t>( 5*240.000) (10*240000) 11*240000</t>
    </r>
  </si>
  <si>
    <r>
      <t xml:space="preserve">Fejlesztő felkészítés </t>
    </r>
    <r>
      <rPr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3*325000)(2*325000) 2*305000</t>
    </r>
  </si>
  <si>
    <r>
      <t>Alapf.műv.zenem.ág.</t>
    </r>
    <r>
      <rPr>
        <b/>
        <sz val="10"/>
        <rFont val="Times New Roman"/>
        <family val="1"/>
      </rPr>
      <t xml:space="preserve"> (</t>
    </r>
    <r>
      <rPr>
        <sz val="10"/>
        <rFont val="Times New Roman"/>
        <family val="1"/>
      </rPr>
      <t>252*105000*8/12) 5,8*2350000*8/12</t>
    </r>
  </si>
  <si>
    <r>
      <t xml:space="preserve">Képzőm, táncm </t>
    </r>
    <r>
      <rPr>
        <i/>
        <sz val="10"/>
        <rFont val="Times New Roman"/>
        <family val="1"/>
      </rPr>
      <t>(152*40000*8/12) 0,8*2350000*8/12</t>
    </r>
  </si>
  <si>
    <t>Alapf.zeneműv.( 275*2550000*4/12) 5,8*2350000*4/12</t>
  </si>
  <si>
    <t>Képző, taáncműv.okt. (152*2500000*4/12) 0,8*2350000*4/12</t>
  </si>
  <si>
    <t>Képző .min.int.zene (275*51000*8/12) 274*44900*8/12</t>
  </si>
  <si>
    <t>Képző.min.int.képző (152*20000*4/12) 94*17600*8/12</t>
  </si>
  <si>
    <r>
      <t>Bentl kollég ell(</t>
    </r>
    <r>
      <rPr>
        <sz val="10"/>
        <rFont val="Times New Roman"/>
        <family val="1"/>
      </rPr>
      <t>103*318.000)99*318000) (78*318000*8/12) 3,7*2350000*4/12</t>
    </r>
  </si>
  <si>
    <r>
      <t>Bentl kollég ell</t>
    </r>
    <r>
      <rPr>
        <sz val="10"/>
        <rFont val="Times New Roman"/>
        <family val="1"/>
      </rPr>
      <t xml:space="preserve"> (78*2550000*4/12) 3,8*2350000*8/12</t>
    </r>
  </si>
  <si>
    <r>
      <t>Kollég.lakhatási feltételek megt.(78*186000*4/12)(</t>
    </r>
    <r>
      <rPr>
        <b/>
        <sz val="10"/>
        <rFont val="Times New Roman"/>
        <family val="1"/>
      </rPr>
      <t>72*186000*8/12) 72*165000*4/12</t>
    </r>
  </si>
  <si>
    <r>
      <t>Kollég.lakhatási feltételek megt. (</t>
    </r>
    <r>
      <rPr>
        <b/>
        <sz val="10"/>
        <rFont val="Times New Roman"/>
        <family val="1"/>
      </rPr>
      <t>72*177000*4/12) 73*165000*8/12</t>
    </r>
  </si>
  <si>
    <r>
      <t>Ált.Isk. napk. Fogl.(</t>
    </r>
    <r>
      <rPr>
        <sz val="10"/>
        <rFont val="Times New Roman"/>
        <family val="1"/>
      </rPr>
      <t>375*23000) 534*23000*8/12)</t>
    </r>
  </si>
  <si>
    <t>Ált.isk.napk. 1-4.évf. (391*2550000*4/12) 3,7*2350000*8/12</t>
  </si>
  <si>
    <t>Ált.isk.napk. 5-8.évf. (140*2550000*4/12) 0,7*2350000*8/12</t>
  </si>
  <si>
    <r>
      <t>Nyelvi felkészítő tanf.(</t>
    </r>
    <r>
      <rPr>
        <sz val="9"/>
        <rFont val="Times New Roman"/>
        <family val="1"/>
      </rPr>
      <t>61*71500)( 49*71500*8/12) 35*64000*4/12</t>
    </r>
  </si>
  <si>
    <r>
      <t>Nyelvi felkészítő tanf.(</t>
    </r>
    <r>
      <rPr>
        <sz val="9"/>
        <rFont val="Times New Roman"/>
        <family val="1"/>
      </rPr>
      <t>35*71500*4/12) 26*64000*8/12</t>
    </r>
  </si>
  <si>
    <t xml:space="preserve"> Kedvezményes étkeztetés  óvoda (173*550009) 149*65000</t>
  </si>
  <si>
    <t xml:space="preserve">                                         ált. iskola (235*55000) 298*65000</t>
  </si>
  <si>
    <t xml:space="preserve">                                         középisk, szakközép (75*55000)</t>
  </si>
  <si>
    <t xml:space="preserve">                                         kollégium (44*55000) 42*65000</t>
  </si>
  <si>
    <r>
      <t>Bejáró tanuló (805*15000*8/12) (</t>
    </r>
    <r>
      <rPr>
        <b/>
        <sz val="9"/>
        <rFont val="Times New Roman"/>
        <family val="1"/>
      </rPr>
      <t>901*18000*8/12) 942*15300*8/12</t>
    </r>
  </si>
  <si>
    <r>
      <t>Bejáró tanuló (820*18000*4/12) (</t>
    </r>
    <r>
      <rPr>
        <b/>
        <sz val="9"/>
        <rFont val="Times New Roman"/>
        <family val="1"/>
      </rPr>
      <t>926*18000*4/12) 955*15300*4/12</t>
    </r>
  </si>
  <si>
    <r>
      <t xml:space="preserve">Intfent. társ. ált. isk.(50*45000) </t>
    </r>
    <r>
      <rPr>
        <sz val="9"/>
        <rFont val="Times New Roman"/>
        <family val="1"/>
      </rPr>
      <t>63*45.000) 162*45000*8/12</t>
    </r>
  </si>
  <si>
    <r>
      <t>Intfent. társ. ált. isk. bejáró1-4 évf. (29*45000)</t>
    </r>
    <r>
      <rPr>
        <b/>
        <sz val="9"/>
        <rFont val="Times New Roman"/>
        <family val="1"/>
      </rPr>
      <t xml:space="preserve"> (</t>
    </r>
    <r>
      <rPr>
        <sz val="9"/>
        <rFont val="Times New Roman"/>
        <family val="1"/>
      </rPr>
      <t>68*45000*4/12) 47*36800*8/12</t>
    </r>
  </si>
  <si>
    <r>
      <t>Intfent. társ. ált. isk. bejáró5. Évf.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(23*45000*4/12)</t>
    </r>
    <r>
      <rPr>
        <b/>
        <sz val="9"/>
        <rFont val="Times New Roman"/>
        <family val="1"/>
      </rPr>
      <t>21*45000*8/12</t>
    </r>
  </si>
  <si>
    <r>
      <t>Intfent. társ. ált. isk. bejáró6-8. Évf</t>
    </r>
    <r>
      <rPr>
        <b/>
        <i/>
        <sz val="9"/>
        <rFont val="Times New Roman"/>
        <family val="1"/>
      </rPr>
      <t>.</t>
    </r>
    <r>
      <rPr>
        <sz val="9"/>
        <rFont val="Times New Roman"/>
        <family val="1"/>
      </rPr>
      <t>(68*45000*4/12)69*45000*8/12</t>
    </r>
  </si>
  <si>
    <r>
      <t>Helyi közm.közgy felad.(17603*1135)(17520*1135)</t>
    </r>
    <r>
      <rPr>
        <b/>
        <sz val="9"/>
        <rFont val="Times New Roman"/>
        <family val="1"/>
      </rPr>
      <t>17389*1061</t>
    </r>
  </si>
  <si>
    <r>
      <t>Lakott területtel kapcs feladatok</t>
    </r>
    <r>
      <rPr>
        <sz val="9"/>
        <rFont val="Times New Roman"/>
        <family val="1"/>
      </rPr>
      <t xml:space="preserve">( 44*3800) (44*3800) </t>
    </r>
    <r>
      <rPr>
        <b/>
        <sz val="9"/>
        <rFont val="Times New Roman"/>
        <family val="1"/>
      </rPr>
      <t>44*3088</t>
    </r>
  </si>
  <si>
    <r>
      <t xml:space="preserve"> -okmányir.munkaáll.(36252x 504)(39886*513)</t>
    </r>
    <r>
      <rPr>
        <b/>
        <sz val="9"/>
        <rFont val="Times New Roman"/>
        <family val="1"/>
      </rPr>
      <t xml:space="preserve"> 39886*324</t>
    </r>
  </si>
  <si>
    <r>
      <t xml:space="preserve"> - körzetközpontnak gyám. ügy.felad (45326*280) </t>
    </r>
    <r>
      <rPr>
        <b/>
        <sz val="9"/>
        <rFont val="Times New Roman"/>
        <family val="1"/>
      </rPr>
      <t>45326*270</t>
    </r>
  </si>
  <si>
    <r>
      <t xml:space="preserve"> - körzetközpontnak ép. ügy.felad alap hzj.(45301*50)</t>
    </r>
    <r>
      <rPr>
        <b/>
        <sz val="9"/>
        <rFont val="Times New Roman"/>
        <family val="1"/>
      </rPr>
      <t>45301*70</t>
    </r>
  </si>
  <si>
    <r>
      <t xml:space="preserve"> - körzetközpontnak ép. ügy.felad kieg.hzj(479 *7700)</t>
    </r>
    <r>
      <rPr>
        <b/>
        <sz val="9"/>
        <rFont val="Times New Roman"/>
        <family val="1"/>
      </rPr>
      <t>479*7737</t>
    </r>
  </si>
  <si>
    <t>Pénzbeni és termész. szoc. és gyerm.jóléti ellátások*********</t>
  </si>
  <si>
    <t>A lakáshoz jutás és a lakásfent. Felad. Ellátásához***********</t>
  </si>
  <si>
    <t>Szoc. Étkeztetés(169*70800)180*81200)</t>
  </si>
  <si>
    <t>Szoc.étkezés 2007.dec.h-ban ellátott 140*82000</t>
  </si>
  <si>
    <r>
      <t>Szoc.étkezés 2008-ban új ellátott nyugdíjmin.150%-át El nem érő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(11*92500)</t>
    </r>
    <r>
      <rPr>
        <b/>
        <sz val="9"/>
        <rFont val="Times New Roman"/>
        <family val="1"/>
      </rPr>
      <t xml:space="preserve"> 70*90050</t>
    </r>
  </si>
  <si>
    <r>
      <t>Szoc.étkezés 2008-ban új ellátott nyugdíjmin.150%-300% közötti jöv (11*82000)</t>
    </r>
    <r>
      <rPr>
        <b/>
        <sz val="9"/>
        <rFont val="Times New Roman"/>
        <family val="1"/>
      </rPr>
      <t xml:space="preserve"> 89*79850</t>
    </r>
  </si>
  <si>
    <r>
      <t xml:space="preserve">Szoc.étkezés 2008-ban új ellátott nyugdíjmin.300%-át meghaladó (1*65000) </t>
    </r>
    <r>
      <rPr>
        <b/>
        <sz val="9"/>
        <rFont val="Times New Roman"/>
        <family val="1"/>
      </rPr>
      <t>10*63250</t>
    </r>
  </si>
  <si>
    <t>Házi segítségnyújtás 2007.dec.h-ban ellátott (12*190000)</t>
  </si>
  <si>
    <t>Házi segítségnyújtás 2008-ban új ellátott nyugdíjmin.150%-át El nem érő (3*275000)</t>
  </si>
  <si>
    <t>Házi segítségnyújtás 2008-ban új ellátott nyugdíjmin.150%-át meghaladó jöv. (3*173700)</t>
  </si>
  <si>
    <t>Kiegészítő tám. ingyenes tankönyvell (1289*10000)(1227*10000) 1236*10000</t>
  </si>
  <si>
    <t>Tanulói tankönyv ingy.ell.- tartósan beteg tanuló (99*10000)</t>
  </si>
  <si>
    <t>Tanulói tankönyv ingy.ell.- sajátos nev.tanuló (36*10000)</t>
  </si>
  <si>
    <t>Tanulói tankönyv ingy.ell.- nagyk. Sajátj. Csp. Jog. (15*10000)</t>
  </si>
  <si>
    <t>Tanulói tankönyv ingy.ell.- rsz. Gyvt. Kedv.rész. (630*10000)</t>
  </si>
  <si>
    <t>Tanulói tankönyv ingy.ell.- egyedülálló szülő ált.n. (237*10000)</t>
  </si>
  <si>
    <t>Tanulói tankönyv ingy.ell.- 3 v többgy. Család tan. 8430*10000)</t>
  </si>
  <si>
    <r>
      <t xml:space="preserve">Tanulói tankönyv. </t>
    </r>
    <r>
      <rPr>
        <sz val="10"/>
        <rFont val="Times New Roman"/>
        <family val="1"/>
      </rPr>
      <t>(2800*1000)(</t>
    </r>
    <r>
      <rPr>
        <b/>
        <i/>
        <sz val="10"/>
        <rFont val="Times New Roman"/>
        <family val="1"/>
      </rPr>
      <t>1704*1000) 2693*1000</t>
    </r>
  </si>
  <si>
    <t>2009. terv</t>
  </si>
  <si>
    <t>2010. terv</t>
  </si>
  <si>
    <t xml:space="preserve">Minőségfejlesztési feladatok           </t>
  </si>
  <si>
    <r>
      <t>Ped. szakm.szolg.(3281x720)( 3210*720).2099</t>
    </r>
    <r>
      <rPr>
        <b/>
        <i/>
        <sz val="10"/>
        <rFont val="Times New Roman"/>
        <family val="1"/>
      </rPr>
      <t>*720*8/12</t>
    </r>
  </si>
  <si>
    <r>
      <t>Hozzájár.tömegkfelad(</t>
    </r>
    <r>
      <rPr>
        <sz val="10"/>
        <rFont val="Times New Roman"/>
        <family val="1"/>
      </rPr>
      <t>17603*515)(17520*515)</t>
    </r>
    <r>
      <rPr>
        <b/>
        <sz val="10"/>
        <rFont val="Times New Roman"/>
        <family val="1"/>
      </rPr>
      <t>17389*515</t>
    </r>
  </si>
  <si>
    <t>2008-2009-2010. évi normatív  KÖTÖTT  felhasználású támogatások</t>
  </si>
  <si>
    <t>Önk. által szervezett közcélú foglalk. Támogatása********</t>
  </si>
  <si>
    <r>
      <t>Ped.szaksz.</t>
    </r>
    <r>
      <rPr>
        <sz val="8"/>
        <rFont val="Times New Roman"/>
        <family val="1"/>
      </rPr>
      <t>( 8*1.020.000</t>
    </r>
    <r>
      <rPr>
        <i/>
        <sz val="8"/>
        <rFont val="Times New Roman"/>
        <family val="1"/>
      </rPr>
      <t>)</t>
    </r>
    <r>
      <rPr>
        <sz val="8"/>
        <rFont val="Times New Roman"/>
        <family val="1"/>
      </rPr>
      <t>(7*1020000)</t>
    </r>
    <r>
      <rPr>
        <b/>
        <sz val="8"/>
        <rFont val="Times New Roman"/>
        <family val="1"/>
      </rPr>
      <t>8*1100000*8/12+8*970000*4/12</t>
    </r>
  </si>
  <si>
    <r>
      <t>Ped.szakv.tovább</t>
    </r>
    <r>
      <rPr>
        <sz val="8"/>
        <rFont val="Times New Roman"/>
        <family val="1"/>
      </rPr>
      <t xml:space="preserve">(308*11700) </t>
    </r>
    <r>
      <rPr>
        <sz val="7"/>
        <rFont val="Times New Roman"/>
        <family val="1"/>
      </rPr>
      <t>(303*11700)</t>
    </r>
    <r>
      <rPr>
        <b/>
        <sz val="7"/>
        <rFont val="Times New Roman"/>
        <family val="1"/>
      </rPr>
      <t xml:space="preserve"> 301*11700*8/12+296*11700*4/12</t>
    </r>
  </si>
  <si>
    <r>
      <t>Szoc.továbbk szakv.(</t>
    </r>
    <r>
      <rPr>
        <sz val="10"/>
        <rFont val="Times New Roman"/>
        <family val="1"/>
      </rPr>
      <t>38*9400) (18*9400)(</t>
    </r>
    <r>
      <rPr>
        <b/>
        <sz val="10"/>
        <rFont val="Times New Roman"/>
        <family val="1"/>
      </rPr>
      <t>18*9400) 16*9400</t>
    </r>
  </si>
  <si>
    <t>Diáksport támogatása</t>
  </si>
  <si>
    <t xml:space="preserve">Személyi juttatáshoz </t>
  </si>
  <si>
    <r>
      <t>a./ készenl.szolg.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(62*3920172) (</t>
    </r>
    <r>
      <rPr>
        <b/>
        <sz val="10"/>
        <rFont val="Times New Roman"/>
        <family val="1"/>
      </rPr>
      <t>66*3813425) 68*3620169</t>
    </r>
  </si>
  <si>
    <r>
      <t>a./ tűzoltólakt.üzem.(1083*4717)(1083*4717)</t>
    </r>
    <r>
      <rPr>
        <b/>
        <sz val="10"/>
        <rFont val="Times New Roman"/>
        <family val="1"/>
      </rPr>
      <t>1083*4897</t>
    </r>
  </si>
  <si>
    <r>
      <t>b./ járm. üzem, karb (84548*115)</t>
    </r>
    <r>
      <rPr>
        <b/>
        <sz val="10"/>
        <rFont val="Times New Roman"/>
        <family val="1"/>
      </rPr>
      <t>(87133*138)82979*138</t>
    </r>
  </si>
  <si>
    <r>
      <t xml:space="preserve">     (3*500.000)(3*500000) </t>
    </r>
    <r>
      <rPr>
        <b/>
        <sz val="10"/>
        <rFont val="Times New Roman"/>
        <family val="1"/>
      </rPr>
      <t>3*500000</t>
    </r>
  </si>
  <si>
    <t xml:space="preserve">e./ irodaszer, inform.eszk  </t>
  </si>
  <si>
    <t>Kötött normatív támog. Össz.</t>
  </si>
  <si>
    <t>Központi támogatás mindösszesen:</t>
  </si>
  <si>
    <t>SZJA lakhelyen maradó rész</t>
  </si>
  <si>
    <t>SZJA kiegészítés *************</t>
  </si>
  <si>
    <t>2. sz. tájékoztató</t>
  </si>
  <si>
    <t>Kimutatás az Európai Uniós forrással megvalósuló beruházásokról</t>
  </si>
  <si>
    <t>Öszeg (eFt)</t>
  </si>
  <si>
    <t>Bevételek</t>
  </si>
  <si>
    <t>Támogatások</t>
  </si>
  <si>
    <t xml:space="preserve">              -Szent Imre tagiskola rekonst.</t>
  </si>
  <si>
    <t xml:space="preserve">              -Szennyvíz-csat.hálózat felj.</t>
  </si>
  <si>
    <t xml:space="preserve">              -Kerékpárút fejlesztés</t>
  </si>
  <si>
    <t>Fejlesztési hitel (önkorm. saját forrás)</t>
  </si>
  <si>
    <t>Önkormányzati sajátforrás</t>
  </si>
  <si>
    <t>Bevételek összesen:</t>
  </si>
  <si>
    <t>Kiadások:</t>
  </si>
  <si>
    <t>Kiadás összesen:</t>
  </si>
  <si>
    <t>3. sz. tájékoztató</t>
  </si>
  <si>
    <t>Út - híd keret</t>
  </si>
  <si>
    <t>eFt-ban</t>
  </si>
  <si>
    <t>Dologi jellegű kiadások</t>
  </si>
  <si>
    <t xml:space="preserve">  2009. évi áthúzódó út-járda karb.</t>
  </si>
  <si>
    <t xml:space="preserve">  2010. évi kátyúzás</t>
  </si>
  <si>
    <t xml:space="preserve">  Külterületi földutak karbantartása</t>
  </si>
  <si>
    <t xml:space="preserve">   Útfestés</t>
  </si>
  <si>
    <t xml:space="preserve">   Kresz-táblák cseréje, pótlása</t>
  </si>
  <si>
    <t xml:space="preserve">   Síkosságmentesítés, hóeltakarítás</t>
  </si>
  <si>
    <t xml:space="preserve">   Egyéb lakossági igények kezelése (Br.10 mó)</t>
  </si>
  <si>
    <t xml:space="preserve">   Vásárolt termékek és szolg. ÁFA-ja</t>
  </si>
  <si>
    <t xml:space="preserve">   Egyéb különféle dologi kiad.</t>
  </si>
  <si>
    <t>Dologi jellegű kiadások összesen:</t>
  </si>
  <si>
    <t>Felhalmozási kiadás összesen</t>
  </si>
  <si>
    <t>Kiadások mindösszesen:</t>
  </si>
  <si>
    <t>4. sz. tájékoztató</t>
  </si>
  <si>
    <t>KIMUTATÁS</t>
  </si>
  <si>
    <t>Az Önkormányzati Környezetvédelmi Alap bevételeinek és kiadásainak tervezett felhasználásáról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</si>
  <si>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</si>
  <si>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</si>
  <si>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</si>
  <si>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</si>
  <si>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</si>
  <si>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</si>
  <si>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</si>
  <si>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</si>
  <si>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</si>
  <si>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</si>
  <si>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"Szennyvízcsatornázásért Alapítvány támogatása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</si>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</sst>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</numFmts>
  <fonts count="7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name val="Times New Roman CE"/>
      <family val="1"/>
    </font>
    <font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Arial CE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i/>
      <sz val="10"/>
      <name val="Arial CE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u val="single"/>
      <sz val="12"/>
      <name val="Arial CE"/>
      <family val="2"/>
    </font>
    <font>
      <b/>
      <u val="single"/>
      <sz val="10"/>
      <name val="Times New Roman"/>
      <family val="1"/>
    </font>
    <font>
      <b/>
      <u val="single"/>
      <sz val="14"/>
      <name val="Arial CE"/>
      <family val="2"/>
    </font>
    <font>
      <b/>
      <u val="single"/>
      <sz val="14"/>
      <name val="Arial"/>
      <family val="2"/>
    </font>
    <font>
      <b/>
      <u val="single"/>
      <sz val="11"/>
      <name val="Arial CE"/>
      <family val="2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>
      <alignment/>
    </xf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12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13" xfId="0" applyFont="1" applyBorder="1" applyAlignment="1">
      <alignment/>
    </xf>
    <xf numFmtId="3" fontId="25" fillId="0" borderId="14" xfId="0" applyNumberFormat="1" applyFont="1" applyBorder="1" applyAlignment="1">
      <alignment/>
    </xf>
    <xf numFmtId="0" fontId="25" fillId="0" borderId="15" xfId="0" applyFont="1" applyBorder="1" applyAlignment="1">
      <alignment/>
    </xf>
    <xf numFmtId="3" fontId="25" fillId="0" borderId="14" xfId="0" applyNumberFormat="1" applyFont="1" applyBorder="1" applyAlignment="1">
      <alignment horizontal="right"/>
    </xf>
    <xf numFmtId="0" fontId="19" fillId="0" borderId="15" xfId="0" applyFont="1" applyBorder="1" applyAlignment="1">
      <alignment/>
    </xf>
    <xf numFmtId="3" fontId="19" fillId="0" borderId="14" xfId="0" applyNumberFormat="1" applyFont="1" applyBorder="1" applyAlignment="1">
      <alignment horizontal="right"/>
    </xf>
    <xf numFmtId="0" fontId="25" fillId="0" borderId="13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19" fillId="0" borderId="13" xfId="0" applyFont="1" applyBorder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0" fontId="25" fillId="0" borderId="18" xfId="0" applyFont="1" applyBorder="1" applyAlignment="1">
      <alignment/>
    </xf>
    <xf numFmtId="3" fontId="25" fillId="0" borderId="17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25" fillId="0" borderId="19" xfId="0" applyFont="1" applyBorder="1" applyAlignment="1">
      <alignment/>
    </xf>
    <xf numFmtId="0" fontId="25" fillId="24" borderId="14" xfId="0" applyFont="1" applyFill="1" applyBorder="1" applyAlignment="1">
      <alignment/>
    </xf>
    <xf numFmtId="0" fontId="25" fillId="0" borderId="20" xfId="0" applyFont="1" applyBorder="1" applyAlignment="1">
      <alignment/>
    </xf>
    <xf numFmtId="0" fontId="25" fillId="0" borderId="14" xfId="0" applyFont="1" applyBorder="1" applyAlignment="1">
      <alignment/>
    </xf>
    <xf numFmtId="3" fontId="19" fillId="0" borderId="14" xfId="0" applyNumberFormat="1" applyFont="1" applyBorder="1" applyAlignment="1">
      <alignment/>
    </xf>
    <xf numFmtId="0" fontId="25" fillId="0" borderId="21" xfId="0" applyFont="1" applyBorder="1" applyAlignment="1">
      <alignment/>
    </xf>
    <xf numFmtId="3" fontId="25" fillId="0" borderId="22" xfId="0" applyNumberFormat="1" applyFont="1" applyBorder="1" applyAlignment="1">
      <alignment/>
    </xf>
    <xf numFmtId="0" fontId="25" fillId="0" borderId="23" xfId="0" applyFont="1" applyBorder="1" applyAlignment="1">
      <alignment/>
    </xf>
    <xf numFmtId="3" fontId="25" fillId="0" borderId="22" xfId="0" applyNumberFormat="1" applyFont="1" applyBorder="1" applyAlignment="1">
      <alignment horizontal="right"/>
    </xf>
    <xf numFmtId="0" fontId="28" fillId="0" borderId="0" xfId="0" applyFont="1" applyAlignment="1">
      <alignment/>
    </xf>
    <xf numFmtId="3" fontId="25" fillId="0" borderId="24" xfId="0" applyNumberFormat="1" applyFont="1" applyBorder="1" applyAlignment="1">
      <alignment/>
    </xf>
    <xf numFmtId="0" fontId="25" fillId="0" borderId="25" xfId="0" applyFont="1" applyBorder="1" applyAlignment="1">
      <alignment/>
    </xf>
    <xf numFmtId="3" fontId="25" fillId="0" borderId="24" xfId="0" applyNumberFormat="1" applyFont="1" applyBorder="1" applyAlignment="1">
      <alignment horizontal="right"/>
    </xf>
    <xf numFmtId="0" fontId="19" fillId="0" borderId="19" xfId="0" applyFont="1" applyBorder="1" applyAlignment="1">
      <alignment/>
    </xf>
    <xf numFmtId="3" fontId="19" fillId="0" borderId="24" xfId="0" applyNumberFormat="1" applyFont="1" applyBorder="1" applyAlignment="1">
      <alignment/>
    </xf>
    <xf numFmtId="0" fontId="19" fillId="0" borderId="25" xfId="0" applyFont="1" applyBorder="1" applyAlignment="1">
      <alignment/>
    </xf>
    <xf numFmtId="3" fontId="19" fillId="0" borderId="24" xfId="0" applyNumberFormat="1" applyFont="1" applyBorder="1" applyAlignment="1">
      <alignment horizontal="right"/>
    </xf>
    <xf numFmtId="0" fontId="25" fillId="0" borderId="26" xfId="0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28" xfId="0" applyFont="1" applyBorder="1" applyAlignment="1">
      <alignment/>
    </xf>
    <xf numFmtId="3" fontId="25" fillId="0" borderId="27" xfId="0" applyNumberFormat="1" applyFont="1" applyBorder="1" applyAlignment="1">
      <alignment horizontal="right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 horizontal="right"/>
    </xf>
    <xf numFmtId="0" fontId="30" fillId="0" borderId="17" xfId="0" applyFont="1" applyBorder="1" applyAlignment="1">
      <alignment/>
    </xf>
    <xf numFmtId="0" fontId="32" fillId="0" borderId="17" xfId="0" applyFont="1" applyBorder="1" applyAlignment="1">
      <alignment/>
    </xf>
    <xf numFmtId="0" fontId="30" fillId="0" borderId="29" xfId="0" applyFont="1" applyBorder="1" applyAlignment="1">
      <alignment/>
    </xf>
    <xf numFmtId="0" fontId="32" fillId="0" borderId="29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14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22" xfId="0" applyFont="1" applyBorder="1" applyAlignment="1">
      <alignment/>
    </xf>
    <xf numFmtId="0" fontId="32" fillId="0" borderId="14" xfId="0" applyFont="1" applyBorder="1" applyAlignment="1">
      <alignment/>
    </xf>
    <xf numFmtId="3" fontId="0" fillId="0" borderId="25" xfId="0" applyNumberFormat="1" applyBorder="1" applyAlignment="1">
      <alignment/>
    </xf>
    <xf numFmtId="0" fontId="32" fillId="0" borderId="27" xfId="0" applyFont="1" applyBorder="1" applyAlignment="1">
      <alignment/>
    </xf>
    <xf numFmtId="3" fontId="33" fillId="0" borderId="27" xfId="0" applyNumberFormat="1" applyFont="1" applyBorder="1" applyAlignment="1">
      <alignment/>
    </xf>
    <xf numFmtId="0" fontId="32" fillId="0" borderId="11" xfId="0" applyFont="1" applyBorder="1" applyAlignment="1">
      <alignment/>
    </xf>
    <xf numFmtId="3" fontId="33" fillId="0" borderId="11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0" fontId="32" fillId="0" borderId="22" xfId="0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32" fillId="0" borderId="30" xfId="0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14" fillId="0" borderId="14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14" fillId="0" borderId="30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33" fillId="0" borderId="26" xfId="0" applyNumberFormat="1" applyFont="1" applyBorder="1" applyAlignment="1">
      <alignment/>
    </xf>
    <xf numFmtId="3" fontId="33" fillId="0" borderId="34" xfId="0" applyNumberFormat="1" applyFont="1" applyBorder="1" applyAlignment="1">
      <alignment/>
    </xf>
    <xf numFmtId="0" fontId="32" fillId="0" borderId="30" xfId="0" applyFont="1" applyBorder="1" applyAlignment="1">
      <alignment/>
    </xf>
    <xf numFmtId="3" fontId="0" fillId="0" borderId="35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30" xfId="0" applyFont="1" applyBorder="1" applyAlignment="1">
      <alignment/>
    </xf>
    <xf numFmtId="0" fontId="32" fillId="0" borderId="16" xfId="0" applyFont="1" applyBorder="1" applyAlignment="1">
      <alignment/>
    </xf>
    <xf numFmtId="3" fontId="0" fillId="0" borderId="27" xfId="0" applyNumberFormat="1" applyBorder="1" applyAlignment="1">
      <alignment/>
    </xf>
    <xf numFmtId="0" fontId="32" fillId="0" borderId="10" xfId="0" applyFont="1" applyBorder="1" applyAlignment="1">
      <alignment/>
    </xf>
    <xf numFmtId="3" fontId="0" fillId="0" borderId="11" xfId="0" applyNumberFormat="1" applyBorder="1" applyAlignment="1">
      <alignment/>
    </xf>
    <xf numFmtId="0" fontId="14" fillId="0" borderId="21" xfId="0" applyFont="1" applyBorder="1" applyAlignment="1">
      <alignment/>
    </xf>
    <xf numFmtId="0" fontId="14" fillId="0" borderId="13" xfId="0" applyFont="1" applyBorder="1" applyAlignment="1">
      <alignment/>
    </xf>
    <xf numFmtId="3" fontId="0" fillId="0" borderId="0" xfId="0" applyNumberFormat="1" applyBorder="1" applyAlignment="1">
      <alignment/>
    </xf>
    <xf numFmtId="0" fontId="32" fillId="24" borderId="27" xfId="0" applyFont="1" applyFill="1" applyBorder="1" applyAlignment="1">
      <alignment wrapText="1"/>
    </xf>
    <xf numFmtId="3" fontId="33" fillId="24" borderId="27" xfId="0" applyNumberFormat="1" applyFont="1" applyFill="1" applyBorder="1" applyAlignment="1">
      <alignment/>
    </xf>
    <xf numFmtId="0" fontId="32" fillId="24" borderId="36" xfId="0" applyFont="1" applyFill="1" applyBorder="1" applyAlignment="1">
      <alignment/>
    </xf>
    <xf numFmtId="3" fontId="0" fillId="24" borderId="22" xfId="0" applyNumberFormat="1" applyFill="1" applyBorder="1" applyAlignment="1">
      <alignment/>
    </xf>
    <xf numFmtId="3" fontId="0" fillId="24" borderId="37" xfId="0" applyNumberFormat="1" applyFill="1" applyBorder="1" applyAlignment="1">
      <alignment/>
    </xf>
    <xf numFmtId="3" fontId="0" fillId="0" borderId="29" xfId="0" applyNumberFormat="1" applyBorder="1" applyAlignment="1">
      <alignment/>
    </xf>
    <xf numFmtId="0" fontId="14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30" xfId="0" applyNumberFormat="1" applyFont="1" applyBorder="1" applyAlignment="1">
      <alignment/>
    </xf>
    <xf numFmtId="0" fontId="32" fillId="24" borderId="27" xfId="0" applyFont="1" applyFill="1" applyBorder="1" applyAlignment="1">
      <alignment/>
    </xf>
    <xf numFmtId="0" fontId="29" fillId="0" borderId="0" xfId="0" applyFont="1" applyBorder="1" applyAlignment="1">
      <alignment horizontal="right"/>
    </xf>
    <xf numFmtId="0" fontId="30" fillId="0" borderId="26" xfId="0" applyFont="1" applyBorder="1" applyAlignment="1">
      <alignment/>
    </xf>
    <xf numFmtId="0" fontId="34" fillId="0" borderId="27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wrapText="1"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2" fillId="0" borderId="26" xfId="0" applyFont="1" applyBorder="1" applyAlignment="1">
      <alignment/>
    </xf>
    <xf numFmtId="0" fontId="33" fillId="0" borderId="0" xfId="0" applyFont="1" applyAlignment="1">
      <alignment/>
    </xf>
    <xf numFmtId="3" fontId="0" fillId="0" borderId="38" xfId="0" applyNumberFormat="1" applyBorder="1" applyAlignment="1">
      <alignment/>
    </xf>
    <xf numFmtId="0" fontId="32" fillId="0" borderId="21" xfId="0" applyFont="1" applyBorder="1" applyAlignment="1">
      <alignment/>
    </xf>
    <xf numFmtId="3" fontId="0" fillId="0" borderId="39" xfId="0" applyNumberFormat="1" applyBorder="1" applyAlignment="1">
      <alignment/>
    </xf>
    <xf numFmtId="0" fontId="35" fillId="0" borderId="13" xfId="0" applyFont="1" applyBorder="1" applyAlignment="1">
      <alignment/>
    </xf>
    <xf numFmtId="0" fontId="32" fillId="0" borderId="20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9" xfId="0" applyFont="1" applyFill="1" applyBorder="1" applyAlignment="1">
      <alignment/>
    </xf>
    <xf numFmtId="0" fontId="32" fillId="0" borderId="20" xfId="0" applyFont="1" applyBorder="1" applyAlignment="1">
      <alignment/>
    </xf>
    <xf numFmtId="0" fontId="14" fillId="0" borderId="13" xfId="0" applyFont="1" applyFill="1" applyBorder="1" applyAlignment="1">
      <alignment/>
    </xf>
    <xf numFmtId="0" fontId="32" fillId="0" borderId="40" xfId="0" applyFont="1" applyBorder="1" applyAlignment="1">
      <alignment/>
    </xf>
    <xf numFmtId="0" fontId="14" fillId="0" borderId="40" xfId="0" applyFont="1" applyBorder="1" applyAlignment="1">
      <alignment/>
    </xf>
    <xf numFmtId="0" fontId="32" fillId="0" borderId="13" xfId="0" applyFont="1" applyBorder="1" applyAlignment="1">
      <alignment/>
    </xf>
    <xf numFmtId="3" fontId="0" fillId="0" borderId="26" xfId="0" applyNumberFormat="1" applyBorder="1" applyAlignment="1">
      <alignment/>
    </xf>
    <xf numFmtId="0" fontId="32" fillId="24" borderId="16" xfId="0" applyFont="1" applyFill="1" applyBorder="1" applyAlignment="1">
      <alignment/>
    </xf>
    <xf numFmtId="3" fontId="33" fillId="24" borderId="26" xfId="0" applyNumberFormat="1" applyFont="1" applyFill="1" applyBorder="1" applyAlignment="1">
      <alignment/>
    </xf>
    <xf numFmtId="0" fontId="32" fillId="24" borderId="26" xfId="0" applyFont="1" applyFill="1" applyBorder="1" applyAlignment="1">
      <alignment/>
    </xf>
    <xf numFmtId="3" fontId="0" fillId="24" borderId="26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14" fillId="0" borderId="20" xfId="0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33" fillId="0" borderId="26" xfId="0" applyFont="1" applyBorder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Border="1" applyAlignment="1">
      <alignment horizontal="right"/>
    </xf>
    <xf numFmtId="0" fontId="37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23" fillId="0" borderId="17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5" fillId="0" borderId="11" xfId="0" applyFont="1" applyBorder="1" applyAlignment="1">
      <alignment/>
    </xf>
    <xf numFmtId="3" fontId="19" fillId="0" borderId="41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0" fontId="19" fillId="0" borderId="22" xfId="0" applyFont="1" applyBorder="1" applyAlignment="1">
      <alignment/>
    </xf>
    <xf numFmtId="3" fontId="19" fillId="0" borderId="39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0" fontId="19" fillId="0" borderId="14" xfId="0" applyFont="1" applyBorder="1" applyAlignment="1">
      <alignment/>
    </xf>
    <xf numFmtId="3" fontId="19" fillId="0" borderId="32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30" xfId="0" applyFont="1" applyBorder="1" applyAlignment="1">
      <alignment/>
    </xf>
    <xf numFmtId="3" fontId="19" fillId="0" borderId="31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34" xfId="0" applyNumberFormat="1" applyFont="1" applyBorder="1" applyAlignment="1">
      <alignment/>
    </xf>
    <xf numFmtId="0" fontId="25" fillId="0" borderId="17" xfId="0" applyFont="1" applyBorder="1" applyAlignment="1">
      <alignment/>
    </xf>
    <xf numFmtId="3" fontId="19" fillId="0" borderId="18" xfId="0" applyNumberFormat="1" applyFont="1" applyBorder="1" applyAlignment="1">
      <alignment/>
    </xf>
    <xf numFmtId="3" fontId="19" fillId="0" borderId="38" xfId="0" applyNumberFormat="1" applyFont="1" applyBorder="1" applyAlignment="1">
      <alignment/>
    </xf>
    <xf numFmtId="0" fontId="25" fillId="0" borderId="22" xfId="0" applyFont="1" applyBorder="1" applyAlignment="1">
      <alignment/>
    </xf>
    <xf numFmtId="3" fontId="19" fillId="0" borderId="23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0" fontId="25" fillId="0" borderId="30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24" xfId="0" applyFont="1" applyFill="1" applyBorder="1" applyAlignment="1">
      <alignment/>
    </xf>
    <xf numFmtId="3" fontId="19" fillId="0" borderId="29" xfId="0" applyNumberFormat="1" applyFont="1" applyBorder="1" applyAlignment="1">
      <alignment/>
    </xf>
    <xf numFmtId="0" fontId="25" fillId="0" borderId="30" xfId="0" applyFont="1" applyBorder="1" applyAlignment="1">
      <alignment/>
    </xf>
    <xf numFmtId="0" fontId="19" fillId="0" borderId="14" xfId="0" applyFont="1" applyFill="1" applyBorder="1" applyAlignment="1">
      <alignment/>
    </xf>
    <xf numFmtId="3" fontId="19" fillId="0" borderId="33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0" fontId="19" fillId="0" borderId="29" xfId="0" applyFont="1" applyBorder="1" applyAlignment="1">
      <alignment/>
    </xf>
    <xf numFmtId="3" fontId="25" fillId="0" borderId="38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19" fillId="24" borderId="13" xfId="0" applyNumberFormat="1" applyFont="1" applyFill="1" applyBorder="1" applyAlignment="1">
      <alignment/>
    </xf>
    <xf numFmtId="3" fontId="19" fillId="24" borderId="14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3" fontId="19" fillId="0" borderId="21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19" fillId="0" borderId="26" xfId="0" applyNumberFormat="1" applyFont="1" applyBorder="1" applyAlignment="1">
      <alignment/>
    </xf>
    <xf numFmtId="0" fontId="25" fillId="24" borderId="26" xfId="0" applyFont="1" applyFill="1" applyBorder="1" applyAlignment="1">
      <alignment/>
    </xf>
    <xf numFmtId="3" fontId="25" fillId="0" borderId="27" xfId="0" applyNumberFormat="1" applyFont="1" applyBorder="1" applyAlignment="1">
      <alignment/>
    </xf>
    <xf numFmtId="0" fontId="25" fillId="24" borderId="26" xfId="0" applyFont="1" applyFill="1" applyBorder="1" applyAlignment="1">
      <alignment/>
    </xf>
    <xf numFmtId="3" fontId="19" fillId="24" borderId="26" xfId="0" applyNumberFormat="1" applyFont="1" applyFill="1" applyBorder="1" applyAlignment="1">
      <alignment/>
    </xf>
    <xf numFmtId="3" fontId="19" fillId="0" borderId="27" xfId="0" applyNumberFormat="1" applyFont="1" applyBorder="1" applyAlignment="1">
      <alignment/>
    </xf>
    <xf numFmtId="3" fontId="19" fillId="0" borderId="28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25" fillId="0" borderId="26" xfId="0" applyFont="1" applyBorder="1" applyAlignment="1">
      <alignment/>
    </xf>
    <xf numFmtId="3" fontId="25" fillId="0" borderId="26" xfId="0" applyNumberFormat="1" applyFont="1" applyBorder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3" fillId="0" borderId="17" xfId="0" applyFont="1" applyBorder="1" applyAlignment="1">
      <alignment horizont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wrapText="1"/>
    </xf>
    <xf numFmtId="0" fontId="25" fillId="0" borderId="17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19" fillId="0" borderId="23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44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17" xfId="0" applyFont="1" applyBorder="1" applyAlignment="1">
      <alignment horizontal="center" wrapText="1"/>
    </xf>
    <xf numFmtId="0" fontId="25" fillId="0" borderId="38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4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21" xfId="0" applyNumberFormat="1" applyBorder="1" applyAlignment="1">
      <alignment/>
    </xf>
    <xf numFmtId="0" fontId="0" fillId="0" borderId="44" xfId="0" applyFont="1" applyBorder="1" applyAlignment="1">
      <alignment/>
    </xf>
    <xf numFmtId="0" fontId="14" fillId="0" borderId="45" xfId="0" applyFont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32" fillId="24" borderId="16" xfId="0" applyFont="1" applyFill="1" applyBorder="1" applyAlignment="1">
      <alignment/>
    </xf>
    <xf numFmtId="3" fontId="0" fillId="24" borderId="17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0" fontId="32" fillId="24" borderId="40" xfId="0" applyFont="1" applyFill="1" applyBorder="1" applyAlignment="1">
      <alignment/>
    </xf>
    <xf numFmtId="3" fontId="33" fillId="24" borderId="29" xfId="0" applyNumberFormat="1" applyFont="1" applyFill="1" applyBorder="1" applyAlignment="1">
      <alignment/>
    </xf>
    <xf numFmtId="0" fontId="32" fillId="24" borderId="10" xfId="0" applyFont="1" applyFill="1" applyBorder="1" applyAlignment="1">
      <alignment/>
    </xf>
    <xf numFmtId="3" fontId="0" fillId="24" borderId="10" xfId="0" applyNumberFormat="1" applyFill="1" applyBorder="1" applyAlignment="1">
      <alignment/>
    </xf>
    <xf numFmtId="0" fontId="32" fillId="0" borderId="45" xfId="0" applyFont="1" applyBorder="1" applyAlignment="1">
      <alignment/>
    </xf>
    <xf numFmtId="3" fontId="0" fillId="24" borderId="13" xfId="0" applyNumberFormat="1" applyFill="1" applyBorder="1" applyAlignment="1">
      <alignment/>
    </xf>
    <xf numFmtId="3" fontId="0" fillId="24" borderId="19" xfId="0" applyNumberFormat="1" applyFill="1" applyBorder="1" applyAlignment="1">
      <alignment/>
    </xf>
    <xf numFmtId="3" fontId="0" fillId="0" borderId="40" xfId="0" applyNumberFormat="1" applyBorder="1" applyAlignment="1">
      <alignment/>
    </xf>
    <xf numFmtId="3" fontId="33" fillId="0" borderId="29" xfId="0" applyNumberFormat="1" applyFont="1" applyBorder="1" applyAlignment="1">
      <alignment/>
    </xf>
    <xf numFmtId="0" fontId="32" fillId="24" borderId="26" xfId="0" applyFont="1" applyFill="1" applyBorder="1" applyAlignment="1">
      <alignment/>
    </xf>
    <xf numFmtId="0" fontId="25" fillId="0" borderId="17" xfId="0" applyFont="1" applyBorder="1" applyAlignment="1">
      <alignment wrapText="1"/>
    </xf>
    <xf numFmtId="3" fontId="35" fillId="0" borderId="14" xfId="0" applyNumberFormat="1" applyFont="1" applyBorder="1" applyAlignment="1">
      <alignment/>
    </xf>
    <xf numFmtId="0" fontId="0" fillId="0" borderId="20" xfId="0" applyBorder="1" applyAlignment="1">
      <alignment/>
    </xf>
    <xf numFmtId="0" fontId="32" fillId="24" borderId="46" xfId="0" applyFont="1" applyFill="1" applyBorder="1" applyAlignment="1">
      <alignment/>
    </xf>
    <xf numFmtId="3" fontId="0" fillId="24" borderId="11" xfId="0" applyNumberFormat="1" applyFill="1" applyBorder="1" applyAlignment="1">
      <alignment/>
    </xf>
    <xf numFmtId="3" fontId="0" fillId="24" borderId="14" xfId="0" applyNumberFormat="1" applyFill="1" applyBorder="1" applyAlignment="1">
      <alignment/>
    </xf>
    <xf numFmtId="3" fontId="0" fillId="24" borderId="24" xfId="0" applyNumberFormat="1" applyFill="1" applyBorder="1" applyAlignment="1">
      <alignment/>
    </xf>
    <xf numFmtId="0" fontId="32" fillId="24" borderId="0" xfId="0" applyFont="1" applyFill="1" applyBorder="1" applyAlignment="1">
      <alignment/>
    </xf>
    <xf numFmtId="3" fontId="33" fillId="24" borderId="0" xfId="0" applyNumberFormat="1" applyFont="1" applyFill="1" applyBorder="1" applyAlignment="1">
      <alignment/>
    </xf>
    <xf numFmtId="0" fontId="38" fillId="0" borderId="38" xfId="0" applyFont="1" applyBorder="1" applyAlignment="1">
      <alignment horizontal="center" wrapText="1"/>
    </xf>
    <xf numFmtId="3" fontId="33" fillId="0" borderId="17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33" fillId="24" borderId="29" xfId="0" applyNumberFormat="1" applyFont="1" applyFill="1" applyBorder="1" applyAlignment="1">
      <alignment/>
    </xf>
    <xf numFmtId="0" fontId="32" fillId="0" borderId="46" xfId="0" applyFont="1" applyBorder="1" applyAlignment="1">
      <alignment/>
    </xf>
    <xf numFmtId="3" fontId="0" fillId="24" borderId="23" xfId="0" applyNumberFormat="1" applyFill="1" applyBorder="1" applyAlignment="1">
      <alignment/>
    </xf>
    <xf numFmtId="3" fontId="0" fillId="24" borderId="11" xfId="0" applyNumberFormat="1" applyFill="1" applyBorder="1" applyAlignment="1">
      <alignment/>
    </xf>
    <xf numFmtId="3" fontId="0" fillId="24" borderId="15" xfId="0" applyNumberFormat="1" applyFill="1" applyBorder="1" applyAlignment="1">
      <alignment/>
    </xf>
    <xf numFmtId="3" fontId="0" fillId="24" borderId="14" xfId="0" applyNumberFormat="1" applyFill="1" applyBorder="1" applyAlignment="1">
      <alignment/>
    </xf>
    <xf numFmtId="3" fontId="0" fillId="24" borderId="35" xfId="0" applyNumberFormat="1" applyFill="1" applyBorder="1" applyAlignment="1">
      <alignment/>
    </xf>
    <xf numFmtId="3" fontId="0" fillId="24" borderId="25" xfId="0" applyNumberFormat="1" applyFill="1" applyBorder="1" applyAlignment="1">
      <alignment/>
    </xf>
    <xf numFmtId="3" fontId="0" fillId="24" borderId="35" xfId="0" applyNumberFormat="1" applyFill="1" applyBorder="1" applyAlignment="1">
      <alignment/>
    </xf>
    <xf numFmtId="3" fontId="0" fillId="24" borderId="29" xfId="0" applyNumberFormat="1" applyFill="1" applyBorder="1" applyAlignment="1">
      <alignment/>
    </xf>
    <xf numFmtId="3" fontId="33" fillId="24" borderId="0" xfId="0" applyNumberFormat="1" applyFont="1" applyFill="1" applyBorder="1" applyAlignment="1">
      <alignment/>
    </xf>
    <xf numFmtId="0" fontId="38" fillId="0" borderId="17" xfId="0" applyFont="1" applyBorder="1" applyAlignment="1">
      <alignment horizontal="center" wrapText="1"/>
    </xf>
    <xf numFmtId="0" fontId="38" fillId="0" borderId="17" xfId="0" applyFont="1" applyBorder="1" applyAlignment="1">
      <alignment wrapText="1"/>
    </xf>
    <xf numFmtId="0" fontId="32" fillId="24" borderId="10" xfId="0" applyFont="1" applyFill="1" applyBorder="1" applyAlignment="1">
      <alignment/>
    </xf>
    <xf numFmtId="3" fontId="0" fillId="24" borderId="30" xfId="0" applyNumberFormat="1" applyFill="1" applyBorder="1" applyAlignment="1">
      <alignment/>
    </xf>
    <xf numFmtId="3" fontId="0" fillId="24" borderId="20" xfId="0" applyNumberFormat="1" applyFill="1" applyBorder="1" applyAlignment="1">
      <alignment/>
    </xf>
    <xf numFmtId="0" fontId="32" fillId="0" borderId="37" xfId="0" applyFont="1" applyBorder="1" applyAlignment="1">
      <alignment/>
    </xf>
    <xf numFmtId="0" fontId="32" fillId="24" borderId="18" xfId="0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0" fontId="33" fillId="0" borderId="17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40" fillId="0" borderId="17" xfId="0" applyFont="1" applyBorder="1" applyAlignment="1">
      <alignment horizontal="center" wrapText="1"/>
    </xf>
    <xf numFmtId="0" fontId="33" fillId="0" borderId="26" xfId="0" applyFont="1" applyBorder="1" applyAlignment="1">
      <alignment horizontal="center" wrapText="1"/>
    </xf>
    <xf numFmtId="0" fontId="33" fillId="0" borderId="27" xfId="0" applyFont="1" applyBorder="1" applyAlignment="1">
      <alignment wrapText="1"/>
    </xf>
    <xf numFmtId="3" fontId="0" fillId="0" borderId="19" xfId="0" applyNumberFormat="1" applyBorder="1" applyAlignment="1">
      <alignment/>
    </xf>
    <xf numFmtId="0" fontId="32" fillId="24" borderId="26" xfId="0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32" fillId="0" borderId="18" xfId="0" applyFont="1" applyBorder="1" applyAlignment="1">
      <alignment wrapText="1"/>
    </xf>
    <xf numFmtId="0" fontId="32" fillId="0" borderId="17" xfId="0" applyFont="1" applyBorder="1" applyAlignment="1">
      <alignment wrapText="1"/>
    </xf>
    <xf numFmtId="0" fontId="33" fillId="0" borderId="27" xfId="0" applyFont="1" applyBorder="1" applyAlignment="1">
      <alignment/>
    </xf>
    <xf numFmtId="3" fontId="33" fillId="0" borderId="27" xfId="0" applyNumberFormat="1" applyFont="1" applyBorder="1" applyAlignment="1">
      <alignment horizontal="right"/>
    </xf>
    <xf numFmtId="0" fontId="33" fillId="0" borderId="0" xfId="0" applyFont="1" applyBorder="1" applyAlignment="1">
      <alignment/>
    </xf>
    <xf numFmtId="0" fontId="33" fillId="0" borderId="28" xfId="0" applyFont="1" applyBorder="1" applyAlignment="1">
      <alignment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33" fillId="0" borderId="28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32" fillId="0" borderId="28" xfId="0" applyFont="1" applyBorder="1" applyAlignment="1">
      <alignment horizontal="center" wrapText="1"/>
    </xf>
    <xf numFmtId="0" fontId="32" fillId="0" borderId="27" xfId="0" applyFont="1" applyBorder="1" applyAlignment="1">
      <alignment horizontal="center" wrapText="1"/>
    </xf>
    <xf numFmtId="3" fontId="33" fillId="0" borderId="28" xfId="0" applyNumberFormat="1" applyFont="1" applyBorder="1" applyAlignment="1">
      <alignment/>
    </xf>
    <xf numFmtId="0" fontId="0" fillId="0" borderId="22" xfId="0" applyFont="1" applyBorder="1" applyAlignment="1">
      <alignment wrapText="1"/>
    </xf>
    <xf numFmtId="3" fontId="0" fillId="0" borderId="1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5" xfId="0" applyFont="1" applyBorder="1" applyAlignment="1">
      <alignment/>
    </xf>
    <xf numFmtId="0" fontId="41" fillId="0" borderId="0" xfId="0" applyFont="1" applyAlignment="1">
      <alignment horizontal="right"/>
    </xf>
    <xf numFmtId="0" fontId="30" fillId="0" borderId="17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0" fillId="0" borderId="29" xfId="0" applyBorder="1" applyAlignment="1">
      <alignment/>
    </xf>
    <xf numFmtId="0" fontId="32" fillId="0" borderId="29" xfId="0" applyFont="1" applyBorder="1" applyAlignment="1">
      <alignment horizontal="center"/>
    </xf>
    <xf numFmtId="0" fontId="33" fillId="0" borderId="13" xfId="0" applyFont="1" applyBorder="1" applyAlignment="1">
      <alignment/>
    </xf>
    <xf numFmtId="3" fontId="33" fillId="0" borderId="14" xfId="0" applyNumberFormat="1" applyFont="1" applyBorder="1" applyAlignment="1">
      <alignment/>
    </xf>
    <xf numFmtId="0" fontId="0" fillId="0" borderId="40" xfId="0" applyBorder="1" applyAlignment="1">
      <alignment/>
    </xf>
    <xf numFmtId="0" fontId="33" fillId="0" borderId="48" xfId="0" applyFont="1" applyBorder="1" applyAlignment="1">
      <alignment horizontal="center"/>
    </xf>
    <xf numFmtId="0" fontId="33" fillId="0" borderId="49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33" fillId="0" borderId="53" xfId="0" applyFont="1" applyBorder="1" applyAlignment="1">
      <alignment/>
    </xf>
    <xf numFmtId="0" fontId="33" fillId="0" borderId="54" xfId="0" applyFont="1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33" fillId="0" borderId="54" xfId="0" applyNumberFormat="1" applyFont="1" applyBorder="1" applyAlignment="1">
      <alignment/>
    </xf>
    <xf numFmtId="0" fontId="30" fillId="0" borderId="16" xfId="0" applyFont="1" applyBorder="1" applyAlignment="1">
      <alignment/>
    </xf>
    <xf numFmtId="0" fontId="32" fillId="0" borderId="38" xfId="0" applyFont="1" applyBorder="1" applyAlignment="1">
      <alignment/>
    </xf>
    <xf numFmtId="0" fontId="0" fillId="0" borderId="40" xfId="0" applyBorder="1" applyAlignment="1">
      <alignment/>
    </xf>
    <xf numFmtId="0" fontId="32" fillId="0" borderId="42" xfId="0" applyFont="1" applyBorder="1" applyAlignment="1">
      <alignment/>
    </xf>
    <xf numFmtId="3" fontId="23" fillId="24" borderId="27" xfId="0" applyNumberFormat="1" applyFont="1" applyFill="1" applyBorder="1" applyAlignment="1">
      <alignment/>
    </xf>
    <xf numFmtId="3" fontId="23" fillId="24" borderId="34" xfId="0" applyNumberFormat="1" applyFont="1" applyFill="1" applyBorder="1" applyAlignment="1">
      <alignment/>
    </xf>
    <xf numFmtId="0" fontId="42" fillId="0" borderId="26" xfId="0" applyFont="1" applyBorder="1" applyAlignment="1">
      <alignment/>
    </xf>
    <xf numFmtId="3" fontId="37" fillId="0" borderId="27" xfId="0" applyNumberFormat="1" applyFont="1" applyBorder="1" applyAlignment="1">
      <alignment/>
    </xf>
    <xf numFmtId="3" fontId="37" fillId="0" borderId="34" xfId="0" applyNumberFormat="1" applyFont="1" applyBorder="1" applyAlignment="1">
      <alignment/>
    </xf>
    <xf numFmtId="164" fontId="42" fillId="0" borderId="16" xfId="0" applyNumberFormat="1" applyFont="1" applyBorder="1" applyAlignment="1">
      <alignment/>
    </xf>
    <xf numFmtId="3" fontId="37" fillId="24" borderId="27" xfId="0" applyNumberFormat="1" applyFont="1" applyFill="1" applyBorder="1" applyAlignment="1">
      <alignment/>
    </xf>
    <xf numFmtId="3" fontId="37" fillId="24" borderId="34" xfId="0" applyNumberFormat="1" applyFont="1" applyFill="1" applyBorder="1" applyAlignment="1">
      <alignment/>
    </xf>
    <xf numFmtId="164" fontId="42" fillId="0" borderId="10" xfId="0" applyNumberFormat="1" applyFont="1" applyBorder="1" applyAlignment="1">
      <alignment/>
    </xf>
    <xf numFmtId="3" fontId="37" fillId="0" borderId="22" xfId="0" applyNumberFormat="1" applyFont="1" applyBorder="1" applyAlignment="1">
      <alignment/>
    </xf>
    <xf numFmtId="3" fontId="37" fillId="0" borderId="20" xfId="0" applyNumberFormat="1" applyFont="1" applyBorder="1" applyAlignment="1">
      <alignment/>
    </xf>
    <xf numFmtId="3" fontId="37" fillId="0" borderId="22" xfId="0" applyNumberFormat="1" applyFont="1" applyBorder="1" applyAlignment="1">
      <alignment/>
    </xf>
    <xf numFmtId="164" fontId="42" fillId="0" borderId="13" xfId="0" applyNumberFormat="1" applyFont="1" applyBorder="1" applyAlignment="1">
      <alignment/>
    </xf>
    <xf numFmtId="3" fontId="37" fillId="0" borderId="13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164" fontId="42" fillId="0" borderId="19" xfId="0" applyNumberFormat="1" applyFont="1" applyBorder="1" applyAlignment="1">
      <alignment/>
    </xf>
    <xf numFmtId="3" fontId="37" fillId="0" borderId="24" xfId="0" applyNumberFormat="1" applyFont="1" applyBorder="1" applyAlignment="1">
      <alignment/>
    </xf>
    <xf numFmtId="3" fontId="37" fillId="0" borderId="19" xfId="0" applyNumberFormat="1" applyFont="1" applyBorder="1" applyAlignment="1">
      <alignment/>
    </xf>
    <xf numFmtId="3" fontId="37" fillId="0" borderId="24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23" fillId="24" borderId="26" xfId="0" applyNumberFormat="1" applyFont="1" applyFill="1" applyBorder="1" applyAlignment="1">
      <alignment/>
    </xf>
    <xf numFmtId="3" fontId="23" fillId="24" borderId="27" xfId="0" applyNumberFormat="1" applyFont="1" applyFill="1" applyBorder="1" applyAlignment="1">
      <alignment/>
    </xf>
    <xf numFmtId="0" fontId="35" fillId="0" borderId="10" xfId="0" applyFont="1" applyBorder="1" applyAlignment="1">
      <alignment/>
    </xf>
    <xf numFmtId="0" fontId="35" fillId="0" borderId="19" xfId="0" applyFont="1" applyBorder="1" applyAlignment="1">
      <alignment/>
    </xf>
    <xf numFmtId="164" fontId="35" fillId="0" borderId="13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0" fontId="35" fillId="0" borderId="13" xfId="0" applyFont="1" applyBorder="1" applyAlignment="1">
      <alignment/>
    </xf>
    <xf numFmtId="164" fontId="35" fillId="0" borderId="19" xfId="0" applyNumberFormat="1" applyFont="1" applyBorder="1" applyAlignment="1">
      <alignment/>
    </xf>
    <xf numFmtId="3" fontId="37" fillId="0" borderId="30" xfId="0" applyNumberFormat="1" applyFont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44" xfId="0" applyFont="1" applyBorder="1" applyAlignment="1">
      <alignment/>
    </xf>
    <xf numFmtId="3" fontId="37" fillId="0" borderId="29" xfId="0" applyNumberFormat="1" applyFont="1" applyBorder="1" applyAlignment="1">
      <alignment/>
    </xf>
    <xf numFmtId="0" fontId="14" fillId="0" borderId="2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37" fillId="0" borderId="30" xfId="0" applyNumberFormat="1" applyFont="1" applyBorder="1" applyAlignment="1">
      <alignment/>
    </xf>
    <xf numFmtId="0" fontId="14" fillId="0" borderId="10" xfId="0" applyFont="1" applyBorder="1" applyAlignment="1">
      <alignment/>
    </xf>
    <xf numFmtId="3" fontId="37" fillId="0" borderId="11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3" fontId="37" fillId="0" borderId="21" xfId="0" applyNumberFormat="1" applyFont="1" applyBorder="1" applyAlignment="1">
      <alignment/>
    </xf>
    <xf numFmtId="0" fontId="32" fillId="0" borderId="26" xfId="0" applyFont="1" applyBorder="1" applyAlignment="1">
      <alignment wrapText="1"/>
    </xf>
    <xf numFmtId="3" fontId="23" fillId="0" borderId="27" xfId="0" applyNumberFormat="1" applyFont="1" applyBorder="1" applyAlignment="1">
      <alignment/>
    </xf>
    <xf numFmtId="3" fontId="23" fillId="0" borderId="34" xfId="0" applyNumberFormat="1" applyFont="1" applyBorder="1" applyAlignment="1">
      <alignment/>
    </xf>
    <xf numFmtId="0" fontId="14" fillId="0" borderId="10" xfId="0" applyFont="1" applyBorder="1" applyAlignment="1">
      <alignment/>
    </xf>
    <xf numFmtId="3" fontId="37" fillId="0" borderId="41" xfId="0" applyNumberFormat="1" applyFont="1" applyBorder="1" applyAlignment="1">
      <alignment/>
    </xf>
    <xf numFmtId="3" fontId="37" fillId="0" borderId="42" xfId="0" applyNumberFormat="1" applyFont="1" applyBorder="1" applyAlignment="1">
      <alignment/>
    </xf>
    <xf numFmtId="3" fontId="23" fillId="0" borderId="29" xfId="0" applyNumberFormat="1" applyFont="1" applyBorder="1" applyAlignment="1">
      <alignment/>
    </xf>
    <xf numFmtId="3" fontId="23" fillId="0" borderId="42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37" fillId="0" borderId="17" xfId="0" applyNumberFormat="1" applyFont="1" applyBorder="1" applyAlignment="1">
      <alignment/>
    </xf>
    <xf numFmtId="3" fontId="37" fillId="0" borderId="38" xfId="0" applyNumberFormat="1" applyFont="1" applyBorder="1" applyAlignment="1">
      <alignment/>
    </xf>
    <xf numFmtId="3" fontId="37" fillId="0" borderId="32" xfId="0" applyNumberFormat="1" applyFont="1" applyBorder="1" applyAlignment="1">
      <alignment/>
    </xf>
    <xf numFmtId="0" fontId="44" fillId="0" borderId="0" xfId="0" applyFont="1" applyAlignment="1">
      <alignment/>
    </xf>
    <xf numFmtId="0" fontId="32" fillId="0" borderId="27" xfId="0" applyFont="1" applyBorder="1" applyAlignment="1">
      <alignment wrapText="1"/>
    </xf>
    <xf numFmtId="0" fontId="32" fillId="0" borderId="38" xfId="0" applyFont="1" applyBorder="1" applyAlignment="1">
      <alignment wrapText="1"/>
    </xf>
    <xf numFmtId="0" fontId="14" fillId="24" borderId="1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3" fontId="14" fillId="0" borderId="24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30" fillId="0" borderId="27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33" fillId="0" borderId="27" xfId="0" applyNumberFormat="1" applyFont="1" applyBorder="1" applyAlignment="1">
      <alignment/>
    </xf>
    <xf numFmtId="0" fontId="43" fillId="0" borderId="0" xfId="0" applyFont="1" applyAlignment="1">
      <alignment horizontal="right"/>
    </xf>
    <xf numFmtId="0" fontId="29" fillId="0" borderId="0" xfId="0" applyFont="1" applyAlignment="1">
      <alignment/>
    </xf>
    <xf numFmtId="0" fontId="30" fillId="0" borderId="16" xfId="0" applyFont="1" applyBorder="1" applyAlignment="1">
      <alignment/>
    </xf>
    <xf numFmtId="0" fontId="14" fillId="24" borderId="19" xfId="0" applyFont="1" applyFill="1" applyBorder="1" applyAlignment="1">
      <alignment wrapText="1"/>
    </xf>
    <xf numFmtId="3" fontId="14" fillId="0" borderId="14" xfId="0" applyNumberFormat="1" applyFont="1" applyBorder="1" applyAlignment="1">
      <alignment/>
    </xf>
    <xf numFmtId="0" fontId="0" fillId="24" borderId="0" xfId="0" applyFill="1" applyBorder="1" applyAlignment="1">
      <alignment/>
    </xf>
    <xf numFmtId="3" fontId="14" fillId="0" borderId="30" xfId="0" applyNumberFormat="1" applyFont="1" applyBorder="1" applyAlignment="1">
      <alignment/>
    </xf>
    <xf numFmtId="0" fontId="32" fillId="0" borderId="53" xfId="0" applyFont="1" applyBorder="1" applyAlignment="1">
      <alignment/>
    </xf>
    <xf numFmtId="0" fontId="32" fillId="0" borderId="56" xfId="0" applyFont="1" applyBorder="1" applyAlignment="1">
      <alignment/>
    </xf>
    <xf numFmtId="3" fontId="33" fillId="0" borderId="30" xfId="0" applyNumberFormat="1" applyFont="1" applyBorder="1" applyAlignment="1">
      <alignment/>
    </xf>
    <xf numFmtId="0" fontId="0" fillId="0" borderId="54" xfId="0" applyBorder="1" applyAlignment="1">
      <alignment/>
    </xf>
    <xf numFmtId="0" fontId="43" fillId="0" borderId="0" xfId="0" applyFont="1" applyAlignment="1">
      <alignment/>
    </xf>
    <xf numFmtId="0" fontId="14" fillId="24" borderId="44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17" xfId="0" applyFont="1" applyBorder="1" applyAlignment="1">
      <alignment horizontal="left" vertical="center"/>
    </xf>
    <xf numFmtId="0" fontId="45" fillId="0" borderId="57" xfId="0" applyFont="1" applyBorder="1" applyAlignment="1">
      <alignment/>
    </xf>
    <xf numFmtId="3" fontId="19" fillId="0" borderId="57" xfId="0" applyNumberFormat="1" applyFont="1" applyBorder="1" applyAlignment="1">
      <alignment/>
    </xf>
    <xf numFmtId="0" fontId="46" fillId="0" borderId="57" xfId="0" applyFont="1" applyBorder="1" applyAlignment="1">
      <alignment/>
    </xf>
    <xf numFmtId="0" fontId="19" fillId="0" borderId="57" xfId="0" applyFont="1" applyBorder="1" applyAlignment="1">
      <alignment wrapText="1"/>
    </xf>
    <xf numFmtId="0" fontId="47" fillId="0" borderId="57" xfId="0" applyFont="1" applyBorder="1" applyAlignment="1">
      <alignment/>
    </xf>
    <xf numFmtId="0" fontId="46" fillId="0" borderId="57" xfId="0" applyFont="1" applyBorder="1" applyAlignment="1">
      <alignment wrapText="1"/>
    </xf>
    <xf numFmtId="0" fontId="19" fillId="0" borderId="57" xfId="0" applyFont="1" applyBorder="1" applyAlignment="1">
      <alignment/>
    </xf>
    <xf numFmtId="0" fontId="49" fillId="0" borderId="57" xfId="0" applyFont="1" applyBorder="1" applyAlignment="1">
      <alignment/>
    </xf>
    <xf numFmtId="0" fontId="25" fillId="0" borderId="38" xfId="0" applyFont="1" applyBorder="1" applyAlignment="1">
      <alignment horizontal="center" vertical="center" wrapText="1"/>
    </xf>
    <xf numFmtId="0" fontId="50" fillId="0" borderId="57" xfId="0" applyFont="1" applyBorder="1" applyAlignment="1">
      <alignment/>
    </xf>
    <xf numFmtId="3" fontId="48" fillId="0" borderId="57" xfId="0" applyNumberFormat="1" applyFont="1" applyBorder="1" applyAlignment="1">
      <alignment/>
    </xf>
    <xf numFmtId="3" fontId="51" fillId="0" borderId="57" xfId="0" applyNumberFormat="1" applyFont="1" applyBorder="1" applyAlignment="1">
      <alignment/>
    </xf>
    <xf numFmtId="0" fontId="25" fillId="0" borderId="57" xfId="0" applyFont="1" applyBorder="1" applyAlignment="1">
      <alignment/>
    </xf>
    <xf numFmtId="3" fontId="25" fillId="0" borderId="57" xfId="0" applyNumberFormat="1" applyFont="1" applyBorder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5" fillId="0" borderId="27" xfId="0" applyFont="1" applyBorder="1" applyAlignment="1">
      <alignment horizontal="left" vertical="center"/>
    </xf>
    <xf numFmtId="0" fontId="25" fillId="0" borderId="34" xfId="0" applyFont="1" applyBorder="1" applyAlignment="1">
      <alignment horizontal="center" vertical="center" wrapText="1"/>
    </xf>
    <xf numFmtId="0" fontId="19" fillId="0" borderId="41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43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44" xfId="0" applyNumberFormat="1" applyBorder="1" applyAlignment="1">
      <alignment horizontal="right"/>
    </xf>
    <xf numFmtId="3" fontId="0" fillId="0" borderId="47" xfId="0" applyNumberFormat="1" applyBorder="1" applyAlignment="1">
      <alignment horizontal="right"/>
    </xf>
    <xf numFmtId="0" fontId="0" fillId="0" borderId="28" xfId="0" applyBorder="1" applyAlignment="1">
      <alignment/>
    </xf>
    <xf numFmtId="3" fontId="0" fillId="0" borderId="26" xfId="0" applyNumberFormat="1" applyBorder="1" applyAlignment="1">
      <alignment horizontal="right"/>
    </xf>
    <xf numFmtId="3" fontId="33" fillId="0" borderId="34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33" fillId="0" borderId="34" xfId="0" applyNumberFormat="1" applyFont="1" applyBorder="1" applyAlignment="1">
      <alignment/>
    </xf>
    <xf numFmtId="0" fontId="0" fillId="0" borderId="43" xfId="0" applyBorder="1" applyAlignment="1">
      <alignment horizontal="right"/>
    </xf>
    <xf numFmtId="164" fontId="33" fillId="0" borderId="2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33" fillId="0" borderId="16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3" fontId="0" fillId="0" borderId="33" xfId="0" applyNumberFormat="1" applyFont="1" applyBorder="1" applyAlignment="1">
      <alignment/>
    </xf>
    <xf numFmtId="0" fontId="0" fillId="0" borderId="35" xfId="0" applyFont="1" applyBorder="1" applyAlignment="1">
      <alignment horizontal="left"/>
    </xf>
    <xf numFmtId="3" fontId="0" fillId="0" borderId="55" xfId="0" applyNumberFormat="1" applyBorder="1" applyAlignment="1">
      <alignment/>
    </xf>
    <xf numFmtId="3" fontId="0" fillId="0" borderId="47" xfId="0" applyNumberFormat="1" applyFont="1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44" xfId="0" applyBorder="1" applyAlignment="1">
      <alignment/>
    </xf>
    <xf numFmtId="3" fontId="0" fillId="0" borderId="44" xfId="0" applyNumberForma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0" fontId="32" fillId="0" borderId="27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right" vertical="center"/>
    </xf>
    <xf numFmtId="3" fontId="32" fillId="0" borderId="18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horizontal="left" vertical="center" wrapText="1"/>
    </xf>
    <xf numFmtId="3" fontId="32" fillId="0" borderId="27" xfId="0" applyNumberFormat="1" applyFont="1" applyBorder="1" applyAlignment="1">
      <alignment horizontal="right" vertical="center"/>
    </xf>
    <xf numFmtId="3" fontId="32" fillId="0" borderId="28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center" vertical="center"/>
    </xf>
    <xf numFmtId="3" fontId="32" fillId="0" borderId="3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22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wrapText="1"/>
    </xf>
    <xf numFmtId="0" fontId="31" fillId="0" borderId="14" xfId="0" applyFont="1" applyBorder="1" applyAlignment="1">
      <alignment horizontal="center"/>
    </xf>
    <xf numFmtId="3" fontId="14" fillId="0" borderId="14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/>
    </xf>
    <xf numFmtId="3" fontId="14" fillId="0" borderId="14" xfId="0" applyNumberFormat="1" applyFont="1" applyBorder="1" applyAlignment="1">
      <alignment horizontal="right" vertical="center"/>
    </xf>
    <xf numFmtId="3" fontId="31" fillId="0" borderId="14" xfId="0" applyNumberFormat="1" applyFont="1" applyBorder="1" applyAlignment="1">
      <alignment horizontal="right"/>
    </xf>
    <xf numFmtId="3" fontId="31" fillId="0" borderId="15" xfId="0" applyNumberFormat="1" applyFont="1" applyBorder="1" applyAlignment="1">
      <alignment/>
    </xf>
    <xf numFmtId="3" fontId="32" fillId="0" borderId="14" xfId="0" applyNumberFormat="1" applyFont="1" applyBorder="1" applyAlignment="1">
      <alignment horizontal="right" vertical="center"/>
    </xf>
    <xf numFmtId="0" fontId="31" fillId="0" borderId="24" xfId="0" applyFont="1" applyBorder="1" applyAlignment="1">
      <alignment horizontal="center"/>
    </xf>
    <xf numFmtId="3" fontId="31" fillId="0" borderId="24" xfId="0" applyNumberFormat="1" applyFont="1" applyBorder="1" applyAlignment="1">
      <alignment horizontal="right"/>
    </xf>
    <xf numFmtId="3" fontId="31" fillId="0" borderId="25" xfId="0" applyNumberFormat="1" applyFont="1" applyBorder="1" applyAlignment="1">
      <alignment/>
    </xf>
    <xf numFmtId="3" fontId="32" fillId="0" borderId="24" xfId="0" applyNumberFormat="1" applyFont="1" applyBorder="1" applyAlignment="1">
      <alignment horizontal="right" vertical="center"/>
    </xf>
    <xf numFmtId="0" fontId="30" fillId="0" borderId="27" xfId="0" applyFont="1" applyBorder="1" applyAlignment="1">
      <alignment horizontal="center"/>
    </xf>
    <xf numFmtId="3" fontId="32" fillId="0" borderId="26" xfId="0" applyNumberFormat="1" applyFont="1" applyBorder="1" applyAlignment="1">
      <alignment/>
    </xf>
    <xf numFmtId="3" fontId="32" fillId="0" borderId="27" xfId="0" applyNumberFormat="1" applyFont="1" applyBorder="1" applyAlignment="1">
      <alignment/>
    </xf>
    <xf numFmtId="0" fontId="53" fillId="0" borderId="29" xfId="0" applyFont="1" applyBorder="1" applyAlignment="1">
      <alignment/>
    </xf>
    <xf numFmtId="0" fontId="30" fillId="0" borderId="40" xfId="0" applyFont="1" applyBorder="1" applyAlignment="1">
      <alignment/>
    </xf>
    <xf numFmtId="3" fontId="32" fillId="0" borderId="29" xfId="0" applyNumberFormat="1" applyFont="1" applyBorder="1" applyAlignment="1">
      <alignment horizontal="right"/>
    </xf>
    <xf numFmtId="3" fontId="32" fillId="0" borderId="29" xfId="0" applyNumberFormat="1" applyFont="1" applyBorder="1" applyAlignment="1">
      <alignment/>
    </xf>
    <xf numFmtId="0" fontId="32" fillId="0" borderId="0" xfId="0" applyFont="1" applyAlignment="1">
      <alignment horizontal="center"/>
    </xf>
    <xf numFmtId="0" fontId="30" fillId="0" borderId="26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30" fillId="0" borderId="34" xfId="0" applyFont="1" applyBorder="1" applyAlignment="1">
      <alignment vertical="center"/>
    </xf>
    <xf numFmtId="0" fontId="54" fillId="0" borderId="10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41" xfId="0" applyFont="1" applyBorder="1" applyAlignment="1">
      <alignment/>
    </xf>
    <xf numFmtId="3" fontId="55" fillId="0" borderId="10" xfId="0" applyNumberFormat="1" applyFont="1" applyBorder="1" applyAlignment="1">
      <alignment horizontal="right"/>
    </xf>
    <xf numFmtId="3" fontId="55" fillId="0" borderId="41" xfId="0" applyNumberFormat="1" applyFont="1" applyBorder="1" applyAlignment="1">
      <alignment horizontal="right"/>
    </xf>
    <xf numFmtId="3" fontId="31" fillId="0" borderId="13" xfId="0" applyNumberFormat="1" applyFont="1" applyBorder="1" applyAlignment="1">
      <alignment horizontal="right"/>
    </xf>
    <xf numFmtId="3" fontId="31" fillId="0" borderId="32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3" fontId="31" fillId="0" borderId="40" xfId="0" applyNumberFormat="1" applyFont="1" applyBorder="1" applyAlignment="1">
      <alignment horizontal="right"/>
    </xf>
    <xf numFmtId="3" fontId="31" fillId="0" borderId="42" xfId="0" applyNumberFormat="1" applyFont="1" applyBorder="1" applyAlignment="1">
      <alignment horizontal="right"/>
    </xf>
    <xf numFmtId="3" fontId="30" fillId="0" borderId="26" xfId="0" applyNumberFormat="1" applyFont="1" applyBorder="1" applyAlignment="1">
      <alignment horizontal="right" vertical="center"/>
    </xf>
    <xf numFmtId="3" fontId="30" fillId="0" borderId="34" xfId="0" applyNumberFormat="1" applyFont="1" applyBorder="1" applyAlignment="1">
      <alignment horizontal="right" vertical="center"/>
    </xf>
    <xf numFmtId="0" fontId="32" fillId="0" borderId="26" xfId="0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32" fillId="0" borderId="34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41" xfId="0" applyFont="1" applyBorder="1" applyAlignment="1">
      <alignment vertical="center"/>
    </xf>
    <xf numFmtId="3" fontId="31" fillId="0" borderId="10" xfId="0" applyNumberFormat="1" applyFont="1" applyBorder="1" applyAlignment="1">
      <alignment horizontal="center" vertical="center"/>
    </xf>
    <xf numFmtId="3" fontId="31" fillId="0" borderId="41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31" xfId="0" applyFont="1" applyBorder="1" applyAlignment="1">
      <alignment vertical="center"/>
    </xf>
    <xf numFmtId="3" fontId="31" fillId="0" borderId="44" xfId="0" applyNumberFormat="1" applyFont="1" applyBorder="1" applyAlignment="1">
      <alignment horizontal="center" vertical="center"/>
    </xf>
    <xf numFmtId="3" fontId="31" fillId="0" borderId="47" xfId="0" applyNumberFormat="1" applyFont="1" applyBorder="1" applyAlignment="1">
      <alignment horizontal="center" vertical="center"/>
    </xf>
    <xf numFmtId="3" fontId="30" fillId="0" borderId="26" xfId="0" applyNumberFormat="1" applyFont="1" applyBorder="1" applyAlignment="1">
      <alignment horizontal="center" vertical="center"/>
    </xf>
    <xf numFmtId="3" fontId="30" fillId="0" borderId="34" xfId="0" applyNumberFormat="1" applyFont="1" applyBorder="1" applyAlignment="1">
      <alignment horizontal="center" vertical="center"/>
    </xf>
    <xf numFmtId="0" fontId="40" fillId="0" borderId="34" xfId="0" applyFont="1" applyBorder="1" applyAlignment="1">
      <alignment horizontal="center" wrapText="1"/>
    </xf>
    <xf numFmtId="3" fontId="33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33" fillId="0" borderId="0" xfId="0" applyFont="1" applyBorder="1" applyAlignment="1">
      <alignment wrapText="1"/>
    </xf>
    <xf numFmtId="3" fontId="31" fillId="0" borderId="41" xfId="0" applyNumberFormat="1" applyFont="1" applyBorder="1" applyAlignment="1">
      <alignment horizontal="right" vertical="center"/>
    </xf>
    <xf numFmtId="3" fontId="31" fillId="0" borderId="47" xfId="0" applyNumberFormat="1" applyFont="1" applyBorder="1" applyAlignment="1">
      <alignment horizontal="right" vertical="center"/>
    </xf>
    <xf numFmtId="3" fontId="0" fillId="24" borderId="38" xfId="0" applyNumberFormat="1" applyFill="1" applyBorder="1" applyAlignment="1">
      <alignment/>
    </xf>
    <xf numFmtId="3" fontId="14" fillId="0" borderId="32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3" fontId="32" fillId="0" borderId="34" xfId="0" applyNumberFormat="1" applyFont="1" applyBorder="1" applyAlignment="1">
      <alignment/>
    </xf>
    <xf numFmtId="0" fontId="57" fillId="0" borderId="21" xfId="0" applyFont="1" applyBorder="1" applyAlignment="1">
      <alignment/>
    </xf>
    <xf numFmtId="3" fontId="14" fillId="0" borderId="11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14" fillId="0" borderId="2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14" fillId="0" borderId="39" xfId="0" applyNumberFormat="1" applyFont="1" applyBorder="1" applyAlignment="1">
      <alignment/>
    </xf>
    <xf numFmtId="3" fontId="57" fillId="0" borderId="22" xfId="0" applyNumberFormat="1" applyFont="1" applyBorder="1" applyAlignment="1">
      <alignment/>
    </xf>
    <xf numFmtId="0" fontId="57" fillId="0" borderId="20" xfId="0" applyFont="1" applyBorder="1" applyAlignment="1">
      <alignment/>
    </xf>
    <xf numFmtId="3" fontId="57" fillId="0" borderId="30" xfId="0" applyNumberFormat="1" applyFont="1" applyBorder="1" applyAlignment="1">
      <alignment/>
    </xf>
    <xf numFmtId="3" fontId="32" fillId="0" borderId="31" xfId="0" applyNumberFormat="1" applyFont="1" applyBorder="1" applyAlignment="1">
      <alignment/>
    </xf>
    <xf numFmtId="3" fontId="57" fillId="0" borderId="29" xfId="0" applyNumberFormat="1" applyFont="1" applyBorder="1" applyAlignment="1">
      <alignment/>
    </xf>
    <xf numFmtId="3" fontId="57" fillId="0" borderId="0" xfId="0" applyNumberFormat="1" applyFont="1" applyBorder="1" applyAlignment="1">
      <alignment/>
    </xf>
    <xf numFmtId="3" fontId="57" fillId="0" borderId="35" xfId="0" applyNumberFormat="1" applyFont="1" applyBorder="1" applyAlignment="1">
      <alignment/>
    </xf>
    <xf numFmtId="3" fontId="32" fillId="0" borderId="42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34" fillId="0" borderId="27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24" borderId="16" xfId="0" applyNumberFormat="1" applyFill="1" applyBorder="1" applyAlignment="1">
      <alignment/>
    </xf>
    <xf numFmtId="3" fontId="14" fillId="0" borderId="13" xfId="0" applyNumberFormat="1" applyFont="1" applyBorder="1" applyAlignment="1">
      <alignment/>
    </xf>
    <xf numFmtId="3" fontId="14" fillId="0" borderId="34" xfId="0" applyNumberFormat="1" applyFont="1" applyBorder="1" applyAlignment="1">
      <alignment/>
    </xf>
    <xf numFmtId="3" fontId="35" fillId="0" borderId="10" xfId="0" applyNumberFormat="1" applyFont="1" applyFill="1" applyBorder="1" applyAlignment="1">
      <alignment/>
    </xf>
    <xf numFmtId="3" fontId="35" fillId="0" borderId="11" xfId="0" applyNumberFormat="1" applyFont="1" applyFill="1" applyBorder="1" applyAlignment="1">
      <alignment/>
    </xf>
    <xf numFmtId="3" fontId="35" fillId="0" borderId="41" xfId="0" applyNumberFormat="1" applyFont="1" applyFill="1" applyBorder="1" applyAlignment="1">
      <alignment/>
    </xf>
    <xf numFmtId="3" fontId="35" fillId="0" borderId="13" xfId="0" applyNumberFormat="1" applyFont="1" applyBorder="1" applyAlignment="1">
      <alignment/>
    </xf>
    <xf numFmtId="3" fontId="35" fillId="0" borderId="14" xfId="0" applyNumberFormat="1" applyFont="1" applyBorder="1" applyAlignment="1">
      <alignment/>
    </xf>
    <xf numFmtId="3" fontId="35" fillId="0" borderId="32" xfId="0" applyNumberFormat="1" applyFont="1" applyBorder="1" applyAlignment="1">
      <alignment/>
    </xf>
    <xf numFmtId="3" fontId="35" fillId="0" borderId="44" xfId="0" applyNumberFormat="1" applyFont="1" applyBorder="1" applyAlignment="1">
      <alignment/>
    </xf>
    <xf numFmtId="3" fontId="35" fillId="0" borderId="35" xfId="0" applyNumberFormat="1" applyFont="1" applyBorder="1" applyAlignment="1">
      <alignment/>
    </xf>
    <xf numFmtId="3" fontId="35" fillId="0" borderId="47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14" fillId="0" borderId="31" xfId="0" applyNumberFormat="1" applyFont="1" applyBorder="1" applyAlignment="1">
      <alignment/>
    </xf>
    <xf numFmtId="3" fontId="32" fillId="0" borderId="20" xfId="0" applyNumberFormat="1" applyFont="1" applyBorder="1" applyAlignment="1">
      <alignment/>
    </xf>
    <xf numFmtId="3" fontId="57" fillId="0" borderId="21" xfId="0" applyNumberFormat="1" applyFont="1" applyBorder="1" applyAlignment="1">
      <alignment/>
    </xf>
    <xf numFmtId="3" fontId="57" fillId="0" borderId="20" xfId="0" applyNumberFormat="1" applyFont="1" applyBorder="1" applyAlignment="1">
      <alignment/>
    </xf>
    <xf numFmtId="3" fontId="57" fillId="0" borderId="31" xfId="0" applyNumberFormat="1" applyFont="1" applyBorder="1" applyAlignment="1">
      <alignment/>
    </xf>
    <xf numFmtId="3" fontId="32" fillId="0" borderId="30" xfId="0" applyNumberFormat="1" applyFont="1" applyBorder="1" applyAlignment="1">
      <alignment/>
    </xf>
    <xf numFmtId="3" fontId="32" fillId="0" borderId="40" xfId="0" applyNumberFormat="1" applyFont="1" applyBorder="1" applyAlignment="1">
      <alignment/>
    </xf>
    <xf numFmtId="3" fontId="33" fillId="24" borderId="34" xfId="0" applyNumberFormat="1" applyFont="1" applyFill="1" applyBorder="1" applyAlignment="1">
      <alignment/>
    </xf>
    <xf numFmtId="3" fontId="14" fillId="0" borderId="41" xfId="0" applyNumberFormat="1" applyFont="1" applyBorder="1" applyAlignment="1">
      <alignment/>
    </xf>
    <xf numFmtId="3" fontId="57" fillId="0" borderId="40" xfId="0" applyNumberFormat="1" applyFont="1" applyBorder="1" applyAlignment="1">
      <alignment/>
    </xf>
    <xf numFmtId="3" fontId="57" fillId="0" borderId="47" xfId="0" applyNumberFormat="1" applyFont="1" applyBorder="1" applyAlignment="1">
      <alignment/>
    </xf>
    <xf numFmtId="0" fontId="34" fillId="0" borderId="26" xfId="0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14" fillId="0" borderId="27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3" fontId="14" fillId="0" borderId="22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3" fontId="32" fillId="0" borderId="26" xfId="0" applyNumberFormat="1" applyFont="1" applyBorder="1" applyAlignment="1">
      <alignment/>
    </xf>
    <xf numFmtId="3" fontId="32" fillId="0" borderId="27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3" fontId="32" fillId="0" borderId="20" xfId="0" applyNumberFormat="1" applyFont="1" applyBorder="1" applyAlignment="1">
      <alignment/>
    </xf>
    <xf numFmtId="3" fontId="32" fillId="0" borderId="30" xfId="0" applyNumberFormat="1" applyFont="1" applyBorder="1" applyAlignment="1">
      <alignment/>
    </xf>
    <xf numFmtId="3" fontId="33" fillId="24" borderId="26" xfId="0" applyNumberFormat="1" applyFont="1" applyFill="1" applyBorder="1" applyAlignment="1">
      <alignment/>
    </xf>
    <xf numFmtId="3" fontId="33" fillId="24" borderId="27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22" xfId="0" applyFont="1" applyBorder="1" applyAlignment="1">
      <alignment/>
    </xf>
    <xf numFmtId="0" fontId="32" fillId="0" borderId="0" xfId="0" applyFont="1" applyAlignment="1">
      <alignment/>
    </xf>
    <xf numFmtId="0" fontId="59" fillId="0" borderId="0" xfId="0" applyFont="1" applyAlignment="1">
      <alignment horizont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left" vertical="center"/>
    </xf>
    <xf numFmtId="3" fontId="37" fillId="0" borderId="22" xfId="0" applyNumberFormat="1" applyFont="1" applyBorder="1" applyAlignment="1">
      <alignment horizontal="right" vertical="center" wrapText="1"/>
    </xf>
    <xf numFmtId="0" fontId="61" fillId="0" borderId="45" xfId="0" applyFont="1" applyBorder="1" applyAlignment="1">
      <alignment horizontal="left" vertical="center"/>
    </xf>
    <xf numFmtId="3" fontId="37" fillId="0" borderId="50" xfId="0" applyNumberFormat="1" applyFont="1" applyBorder="1" applyAlignment="1">
      <alignment horizontal="right" vertical="center" wrapText="1"/>
    </xf>
    <xf numFmtId="0" fontId="60" fillId="0" borderId="21" xfId="0" applyFont="1" applyBorder="1" applyAlignment="1">
      <alignment vertical="center" wrapText="1"/>
    </xf>
    <xf numFmtId="3" fontId="37" fillId="0" borderId="30" xfId="0" applyNumberFormat="1" applyFont="1" applyBorder="1" applyAlignment="1">
      <alignment horizontal="right" vertical="center" wrapText="1"/>
    </xf>
    <xf numFmtId="0" fontId="60" fillId="0" borderId="13" xfId="0" applyFont="1" applyBorder="1" applyAlignment="1">
      <alignment vertical="center"/>
    </xf>
    <xf numFmtId="3" fontId="37" fillId="0" borderId="14" xfId="0" applyNumberFormat="1" applyFont="1" applyBorder="1" applyAlignment="1">
      <alignment horizontal="right" vertical="center" wrapText="1"/>
    </xf>
    <xf numFmtId="0" fontId="37" fillId="0" borderId="13" xfId="0" applyFont="1" applyBorder="1" applyAlignment="1">
      <alignment vertical="center"/>
    </xf>
    <xf numFmtId="0" fontId="23" fillId="0" borderId="20" xfId="0" applyFont="1" applyBorder="1" applyAlignment="1">
      <alignment horizontal="left" vertical="center"/>
    </xf>
    <xf numFmtId="3" fontId="23" fillId="0" borderId="30" xfId="0" applyNumberFormat="1" applyFont="1" applyBorder="1" applyAlignment="1">
      <alignment horizontal="right" vertical="center" wrapText="1"/>
    </xf>
    <xf numFmtId="0" fontId="23" fillId="0" borderId="26" xfId="0" applyFont="1" applyBorder="1" applyAlignment="1">
      <alignment vertical="center"/>
    </xf>
    <xf numFmtId="3" fontId="23" fillId="0" borderId="27" xfId="0" applyNumberFormat="1" applyFont="1" applyBorder="1" applyAlignment="1">
      <alignment horizontal="right" vertical="center" wrapText="1"/>
    </xf>
    <xf numFmtId="0" fontId="23" fillId="0" borderId="20" xfId="0" applyFont="1" applyBorder="1" applyAlignment="1">
      <alignment vertical="center"/>
    </xf>
    <xf numFmtId="0" fontId="60" fillId="0" borderId="21" xfId="0" applyFont="1" applyBorder="1" applyAlignment="1">
      <alignment vertical="center"/>
    </xf>
    <xf numFmtId="3" fontId="37" fillId="0" borderId="22" xfId="40" applyNumberFormat="1" applyFont="1" applyFill="1" applyBorder="1" applyAlignment="1" applyProtection="1">
      <alignment horizontal="right" vertical="center"/>
      <protection/>
    </xf>
    <xf numFmtId="0" fontId="37" fillId="0" borderId="20" xfId="0" applyFont="1" applyBorder="1" applyAlignment="1">
      <alignment vertical="center"/>
    </xf>
    <xf numFmtId="3" fontId="37" fillId="0" borderId="14" xfId="40" applyNumberFormat="1" applyFont="1" applyFill="1" applyBorder="1" applyAlignment="1" applyProtection="1">
      <alignment horizontal="right" vertical="center"/>
      <protection/>
    </xf>
    <xf numFmtId="0" fontId="23" fillId="0" borderId="13" xfId="0" applyFont="1" applyBorder="1" applyAlignment="1">
      <alignment vertical="center"/>
    </xf>
    <xf numFmtId="3" fontId="23" fillId="0" borderId="14" xfId="40" applyNumberFormat="1" applyFont="1" applyFill="1" applyBorder="1" applyAlignment="1" applyProtection="1">
      <alignment horizontal="right" vertical="center"/>
      <protection/>
    </xf>
    <xf numFmtId="0" fontId="25" fillId="0" borderId="19" xfId="0" applyFont="1" applyBorder="1" applyAlignment="1">
      <alignment vertical="center"/>
    </xf>
    <xf numFmtId="3" fontId="23" fillId="0" borderId="24" xfId="40" applyNumberFormat="1" applyFont="1" applyFill="1" applyBorder="1" applyAlignment="1" applyProtection="1">
      <alignment horizontal="right" vertical="center"/>
      <protection/>
    </xf>
    <xf numFmtId="0" fontId="23" fillId="0" borderId="19" xfId="0" applyFont="1" applyBorder="1" applyAlignment="1">
      <alignment vertical="center"/>
    </xf>
    <xf numFmtId="3" fontId="23" fillId="0" borderId="29" xfId="40" applyNumberFormat="1" applyFont="1" applyFill="1" applyBorder="1" applyAlignment="1" applyProtection="1">
      <alignment horizontal="right" vertical="center"/>
      <protection/>
    </xf>
    <xf numFmtId="3" fontId="23" fillId="0" borderId="27" xfId="40" applyNumberFormat="1" applyFont="1" applyFill="1" applyBorder="1" applyAlignment="1" applyProtection="1">
      <alignment horizontal="right" vertical="center"/>
      <protection/>
    </xf>
    <xf numFmtId="0" fontId="23" fillId="0" borderId="16" xfId="0" applyFont="1" applyBorder="1" applyAlignment="1">
      <alignment vertical="center"/>
    </xf>
    <xf numFmtId="3" fontId="23" fillId="0" borderId="17" xfId="4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Border="1" applyAlignment="1">
      <alignment vertical="center"/>
    </xf>
    <xf numFmtId="3" fontId="30" fillId="0" borderId="0" xfId="40" applyNumberFormat="1" applyFont="1" applyFill="1" applyBorder="1" applyAlignment="1" applyProtection="1">
      <alignment horizontal="right" vertical="center"/>
      <protection/>
    </xf>
    <xf numFmtId="0" fontId="58" fillId="0" borderId="0" xfId="0" applyFont="1" applyAlignment="1">
      <alignment horizontal="center"/>
    </xf>
    <xf numFmtId="0" fontId="30" fillId="0" borderId="27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32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/>
    </xf>
    <xf numFmtId="3" fontId="14" fillId="0" borderId="24" xfId="0" applyNumberFormat="1" applyFont="1" applyBorder="1" applyAlignment="1">
      <alignment horizontal="right"/>
    </xf>
    <xf numFmtId="3" fontId="32" fillId="0" borderId="27" xfId="0" applyNumberFormat="1" applyFont="1" applyBorder="1" applyAlignment="1">
      <alignment horizontal="right"/>
    </xf>
    <xf numFmtId="0" fontId="30" fillId="0" borderId="13" xfId="0" applyFont="1" applyBorder="1" applyAlignment="1">
      <alignment horizontal="center" vertical="center"/>
    </xf>
    <xf numFmtId="3" fontId="32" fillId="0" borderId="22" xfId="0" applyNumberFormat="1" applyFont="1" applyBorder="1" applyAlignment="1">
      <alignment horizontal="right"/>
    </xf>
    <xf numFmtId="0" fontId="58" fillId="0" borderId="21" xfId="0" applyFont="1" applyBorder="1" applyAlignment="1">
      <alignment/>
    </xf>
    <xf numFmtId="166" fontId="14" fillId="0" borderId="22" xfId="40" applyNumberFormat="1" applyFont="1" applyFill="1" applyBorder="1" applyAlignment="1" applyProtection="1">
      <alignment horizontal="right"/>
      <protection/>
    </xf>
    <xf numFmtId="3" fontId="14" fillId="0" borderId="14" xfId="40" applyNumberFormat="1" applyFont="1" applyFill="1" applyBorder="1" applyAlignment="1" applyProtection="1">
      <alignment horizontal="right"/>
      <protection/>
    </xf>
    <xf numFmtId="3" fontId="14" fillId="0" borderId="24" xfId="40" applyNumberFormat="1" applyFont="1" applyFill="1" applyBorder="1" applyAlignment="1" applyProtection="1">
      <alignment horizontal="right"/>
      <protection/>
    </xf>
    <xf numFmtId="3" fontId="32" fillId="0" borderId="27" xfId="40" applyNumberFormat="1" applyFont="1" applyFill="1" applyBorder="1" applyAlignment="1" applyProtection="1">
      <alignment horizontal="right"/>
      <protection/>
    </xf>
    <xf numFmtId="3" fontId="32" fillId="0" borderId="22" xfId="40" applyNumberFormat="1" applyFont="1" applyFill="1" applyBorder="1" applyAlignment="1" applyProtection="1">
      <alignment horizontal="right"/>
      <protection/>
    </xf>
    <xf numFmtId="0" fontId="58" fillId="0" borderId="13" xfId="0" applyFont="1" applyBorder="1" applyAlignment="1">
      <alignment/>
    </xf>
    <xf numFmtId="0" fontId="14" fillId="0" borderId="19" xfId="0" applyFont="1" applyBorder="1" applyAlignment="1">
      <alignment/>
    </xf>
    <xf numFmtId="3" fontId="14" fillId="0" borderId="22" xfId="40" applyNumberFormat="1" applyFont="1" applyFill="1" applyBorder="1" applyAlignment="1" applyProtection="1">
      <alignment horizontal="right"/>
      <protection/>
    </xf>
    <xf numFmtId="3" fontId="32" fillId="0" borderId="30" xfId="40" applyNumberFormat="1" applyFont="1" applyFill="1" applyBorder="1" applyAlignment="1" applyProtection="1">
      <alignment horizontal="right"/>
      <protection/>
    </xf>
    <xf numFmtId="3" fontId="32" fillId="0" borderId="27" xfId="40" applyNumberFormat="1" applyFont="1" applyFill="1" applyBorder="1" applyAlignment="1" applyProtection="1">
      <alignment/>
      <protection/>
    </xf>
    <xf numFmtId="3" fontId="32" fillId="0" borderId="22" xfId="40" applyNumberFormat="1" applyFont="1" applyFill="1" applyBorder="1" applyAlignment="1" applyProtection="1">
      <alignment/>
      <protection/>
    </xf>
    <xf numFmtId="3" fontId="14" fillId="0" borderId="14" xfId="40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/>
    </xf>
    <xf numFmtId="3" fontId="14" fillId="0" borderId="22" xfId="40" applyNumberFormat="1" applyFont="1" applyFill="1" applyBorder="1" applyAlignment="1" applyProtection="1">
      <alignment/>
      <protection/>
    </xf>
    <xf numFmtId="3" fontId="32" fillId="0" borderId="14" xfId="40" applyNumberFormat="1" applyFont="1" applyFill="1" applyBorder="1" applyAlignment="1" applyProtection="1">
      <alignment/>
      <protection/>
    </xf>
    <xf numFmtId="0" fontId="14" fillId="0" borderId="13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3" fontId="14" fillId="0" borderId="35" xfId="40" applyNumberFormat="1" applyFont="1" applyFill="1" applyBorder="1" applyAlignment="1" applyProtection="1">
      <alignment/>
      <protection/>
    </xf>
    <xf numFmtId="3" fontId="32" fillId="0" borderId="27" xfId="40" applyNumberFormat="1" applyFont="1" applyFill="1" applyBorder="1" applyAlignment="1" applyProtection="1">
      <alignment vertical="center"/>
      <protection/>
    </xf>
    <xf numFmtId="0" fontId="32" fillId="0" borderId="20" xfId="0" applyFont="1" applyBorder="1" applyAlignment="1">
      <alignment vertical="center"/>
    </xf>
    <xf numFmtId="3" fontId="32" fillId="0" borderId="30" xfId="40" applyNumberFormat="1" applyFont="1" applyFill="1" applyBorder="1" applyAlignment="1" applyProtection="1">
      <alignment vertical="center"/>
      <protection/>
    </xf>
    <xf numFmtId="3" fontId="32" fillId="0" borderId="27" xfId="0" applyNumberFormat="1" applyFont="1" applyBorder="1" applyAlignment="1">
      <alignment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wrapText="1"/>
    </xf>
    <xf numFmtId="0" fontId="59" fillId="0" borderId="21" xfId="0" applyFont="1" applyBorder="1" applyAlignment="1">
      <alignment/>
    </xf>
    <xf numFmtId="0" fontId="30" fillId="0" borderId="22" xfId="0" applyFont="1" applyBorder="1" applyAlignment="1">
      <alignment horizontal="center" wrapText="1"/>
    </xf>
    <xf numFmtId="0" fontId="31" fillId="0" borderId="21" xfId="0" applyFont="1" applyBorder="1" applyAlignment="1">
      <alignment/>
    </xf>
    <xf numFmtId="3" fontId="31" fillId="0" borderId="22" xfId="0" applyNumberFormat="1" applyFont="1" applyBorder="1" applyAlignment="1">
      <alignment horizontal="right" wrapText="1"/>
    </xf>
    <xf numFmtId="0" fontId="31" fillId="0" borderId="13" xfId="0" applyFont="1" applyBorder="1" applyAlignment="1">
      <alignment wrapText="1"/>
    </xf>
    <xf numFmtId="3" fontId="31" fillId="0" borderId="14" xfId="40" applyNumberFormat="1" applyFont="1" applyFill="1" applyBorder="1" applyAlignment="1" applyProtection="1">
      <alignment/>
      <protection/>
    </xf>
    <xf numFmtId="3" fontId="31" fillId="0" borderId="24" xfId="40" applyNumberFormat="1" applyFont="1" applyFill="1" applyBorder="1" applyAlignment="1" applyProtection="1">
      <alignment/>
      <protection/>
    </xf>
    <xf numFmtId="0" fontId="31" fillId="0" borderId="20" xfId="0" applyFont="1" applyBorder="1" applyAlignment="1">
      <alignment wrapText="1"/>
    </xf>
    <xf numFmtId="0" fontId="31" fillId="0" borderId="19" xfId="0" applyFont="1" applyBorder="1" applyAlignment="1">
      <alignment wrapText="1"/>
    </xf>
    <xf numFmtId="0" fontId="31" fillId="0" borderId="21" xfId="0" applyFont="1" applyBorder="1" applyAlignment="1">
      <alignment wrapText="1"/>
    </xf>
    <xf numFmtId="3" fontId="31" fillId="0" borderId="30" xfId="40" applyNumberFormat="1" applyFont="1" applyFill="1" applyBorder="1" applyAlignment="1" applyProtection="1">
      <alignment/>
      <protection/>
    </xf>
    <xf numFmtId="0" fontId="30" fillId="0" borderId="26" xfId="0" applyFont="1" applyBorder="1" applyAlignment="1">
      <alignment wrapText="1"/>
    </xf>
    <xf numFmtId="3" fontId="30" fillId="0" borderId="27" xfId="40" applyNumberFormat="1" applyFont="1" applyFill="1" applyBorder="1" applyAlignment="1" applyProtection="1">
      <alignment/>
      <protection/>
    </xf>
    <xf numFmtId="3" fontId="31" fillId="0" borderId="22" xfId="40" applyNumberFormat="1" applyFont="1" applyFill="1" applyBorder="1" applyAlignment="1" applyProtection="1">
      <alignment/>
      <protection/>
    </xf>
    <xf numFmtId="0" fontId="59" fillId="0" borderId="13" xfId="0" applyFont="1" applyBorder="1" applyAlignment="1">
      <alignment wrapText="1"/>
    </xf>
    <xf numFmtId="3" fontId="62" fillId="0" borderId="14" xfId="40" applyNumberFormat="1" applyFont="1" applyFill="1" applyBorder="1" applyAlignment="1" applyProtection="1">
      <alignment/>
      <protection/>
    </xf>
    <xf numFmtId="3" fontId="30" fillId="0" borderId="27" xfId="0" applyNumberFormat="1" applyFont="1" applyBorder="1" applyAlignment="1">
      <alignment/>
    </xf>
    <xf numFmtId="0" fontId="37" fillId="0" borderId="57" xfId="0" applyFont="1" applyBorder="1" applyAlignment="1">
      <alignment horizontal="left" wrapText="1"/>
    </xf>
    <xf numFmtId="0" fontId="30" fillId="0" borderId="34" xfId="0" applyFont="1" applyBorder="1" applyAlignment="1">
      <alignment horizontal="center" vertical="center" wrapText="1"/>
    </xf>
    <xf numFmtId="0" fontId="31" fillId="0" borderId="14" xfId="0" applyFont="1" applyBorder="1" applyAlignment="1">
      <alignment/>
    </xf>
    <xf numFmtId="167" fontId="31" fillId="0" borderId="32" xfId="0" applyNumberFormat="1" applyFont="1" applyBorder="1" applyAlignment="1">
      <alignment horizontal="right"/>
    </xf>
    <xf numFmtId="0" fontId="31" fillId="0" borderId="24" xfId="0" applyFont="1" applyBorder="1" applyAlignment="1">
      <alignment/>
    </xf>
    <xf numFmtId="167" fontId="31" fillId="0" borderId="33" xfId="0" applyNumberFormat="1" applyFont="1" applyBorder="1" applyAlignment="1">
      <alignment horizontal="right"/>
    </xf>
    <xf numFmtId="167" fontId="30" fillId="0" borderId="34" xfId="0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167" fontId="30" fillId="0" borderId="0" xfId="0" applyNumberFormat="1" applyFont="1" applyBorder="1" applyAlignment="1">
      <alignment horizontal="right"/>
    </xf>
    <xf numFmtId="0" fontId="19" fillId="0" borderId="0" xfId="54" applyFont="1" applyProtection="1">
      <alignment/>
      <protection/>
    </xf>
    <xf numFmtId="0" fontId="25" fillId="0" borderId="11" xfId="54" applyFont="1" applyBorder="1" applyAlignment="1" applyProtection="1">
      <alignment vertical="center"/>
      <protection/>
    </xf>
    <xf numFmtId="0" fontId="25" fillId="0" borderId="11" xfId="54" applyFont="1" applyBorder="1" applyAlignment="1" applyProtection="1">
      <alignment horizontal="center" vertical="center" wrapText="1"/>
      <protection/>
    </xf>
    <xf numFmtId="0" fontId="25" fillId="0" borderId="39" xfId="54" applyFont="1" applyBorder="1" applyAlignment="1" applyProtection="1">
      <alignment horizontal="center" vertical="center" wrapText="1"/>
      <protection/>
    </xf>
    <xf numFmtId="0" fontId="19" fillId="0" borderId="22" xfId="54" applyFont="1" applyBorder="1" applyProtection="1">
      <alignment/>
      <protection/>
    </xf>
    <xf numFmtId="3" fontId="19" fillId="0" borderId="14" xfId="54" applyNumberFormat="1" applyFont="1" applyBorder="1" applyProtection="1">
      <alignment/>
      <protection/>
    </xf>
    <xf numFmtId="3" fontId="19" fillId="0" borderId="39" xfId="54" applyNumberFormat="1" applyFont="1" applyBorder="1" applyProtection="1">
      <alignment/>
      <protection/>
    </xf>
    <xf numFmtId="3" fontId="19" fillId="0" borderId="22" xfId="54" applyNumberFormat="1" applyFont="1" applyBorder="1" applyProtection="1">
      <alignment/>
      <protection/>
    </xf>
    <xf numFmtId="0" fontId="50" fillId="0" borderId="22" xfId="54" applyFont="1" applyBorder="1" applyProtection="1">
      <alignment/>
      <protection/>
    </xf>
    <xf numFmtId="0" fontId="19" fillId="0" borderId="14" xfId="54" applyFont="1" applyBorder="1" applyProtection="1">
      <alignment/>
      <protection/>
    </xf>
    <xf numFmtId="0" fontId="19" fillId="0" borderId="30" xfId="54" applyFont="1" applyFill="1" applyBorder="1" applyProtection="1">
      <alignment/>
      <protection/>
    </xf>
    <xf numFmtId="3" fontId="19" fillId="0" borderId="32" xfId="54" applyNumberFormat="1" applyFont="1" applyBorder="1" applyProtection="1">
      <alignment/>
      <protection/>
    </xf>
    <xf numFmtId="0" fontId="25" fillId="0" borderId="29" xfId="54" applyFont="1" applyBorder="1" applyProtection="1">
      <alignment/>
      <protection/>
    </xf>
    <xf numFmtId="3" fontId="25" fillId="0" borderId="29" xfId="54" applyNumberFormat="1" applyFont="1" applyBorder="1" applyProtection="1">
      <alignment/>
      <protection/>
    </xf>
    <xf numFmtId="3" fontId="25" fillId="0" borderId="42" xfId="54" applyNumberFormat="1" applyFont="1" applyBorder="1" applyProtection="1">
      <alignment/>
      <protection/>
    </xf>
    <xf numFmtId="0" fontId="25" fillId="0" borderId="53" xfId="54" applyFont="1" applyBorder="1" applyProtection="1">
      <alignment/>
      <protection/>
    </xf>
    <xf numFmtId="3" fontId="25" fillId="0" borderId="58" xfId="54" applyNumberFormat="1" applyFont="1" applyBorder="1" applyProtection="1">
      <alignment/>
      <protection/>
    </xf>
    <xf numFmtId="0" fontId="25" fillId="0" borderId="58" xfId="54" applyFont="1" applyBorder="1" applyProtection="1">
      <alignment/>
      <protection/>
    </xf>
    <xf numFmtId="3" fontId="25" fillId="0" borderId="34" xfId="54" applyNumberFormat="1" applyFont="1" applyBorder="1" applyProtection="1">
      <alignment/>
      <protection/>
    </xf>
    <xf numFmtId="0" fontId="19" fillId="0" borderId="11" xfId="54" applyFont="1" applyBorder="1" applyProtection="1">
      <alignment/>
      <protection/>
    </xf>
    <xf numFmtId="3" fontId="19" fillId="0" borderId="11" xfId="54" applyNumberFormat="1" applyFont="1" applyBorder="1" applyProtection="1">
      <alignment/>
      <protection/>
    </xf>
    <xf numFmtId="0" fontId="25" fillId="0" borderId="35" xfId="54" applyFont="1" applyBorder="1" applyProtection="1">
      <alignment/>
      <protection/>
    </xf>
    <xf numFmtId="3" fontId="25" fillId="0" borderId="35" xfId="54" applyNumberFormat="1" applyFont="1" applyBorder="1" applyProtection="1">
      <alignment/>
      <protection/>
    </xf>
    <xf numFmtId="0" fontId="25" fillId="0" borderId="27" xfId="54" applyFont="1" applyBorder="1" applyAlignment="1" applyProtection="1">
      <alignment vertical="center"/>
      <protection/>
    </xf>
    <xf numFmtId="0" fontId="25" fillId="0" borderId="34" xfId="54" applyFont="1" applyBorder="1" applyAlignment="1" applyProtection="1">
      <alignment horizontal="center" vertical="center" wrapText="1"/>
      <protection/>
    </xf>
    <xf numFmtId="0" fontId="19" fillId="0" borderId="39" xfId="54" applyFont="1" applyBorder="1" applyProtection="1">
      <alignment/>
      <protection/>
    </xf>
    <xf numFmtId="0" fontId="19" fillId="0" borderId="20" xfId="0" applyFont="1" applyFill="1" applyBorder="1" applyAlignment="1">
      <alignment/>
    </xf>
    <xf numFmtId="0" fontId="19" fillId="0" borderId="32" xfId="54" applyFont="1" applyBorder="1" applyProtection="1">
      <alignment/>
      <protection/>
    </xf>
    <xf numFmtId="0" fontId="19" fillId="0" borderId="14" xfId="54" applyFont="1" applyBorder="1" applyAlignment="1" applyProtection="1">
      <alignment wrapText="1"/>
      <protection/>
    </xf>
    <xf numFmtId="0" fontId="19" fillId="0" borderId="24" xfId="54" applyFont="1" applyBorder="1" applyProtection="1">
      <alignment/>
      <protection/>
    </xf>
    <xf numFmtId="0" fontId="25" fillId="0" borderId="26" xfId="54" applyFont="1" applyBorder="1" applyProtection="1">
      <alignment/>
      <protection/>
    </xf>
    <xf numFmtId="3" fontId="25" fillId="0" borderId="27" xfId="54" applyNumberFormat="1" applyFont="1" applyBorder="1" applyProtection="1">
      <alignment/>
      <protection/>
    </xf>
    <xf numFmtId="0" fontId="25" fillId="0" borderId="27" xfId="54" applyFont="1" applyBorder="1" applyProtection="1">
      <alignment/>
      <protection/>
    </xf>
    <xf numFmtId="0" fontId="19" fillId="0" borderId="26" xfId="54" applyFont="1" applyBorder="1" applyProtection="1">
      <alignment/>
      <protection/>
    </xf>
    <xf numFmtId="0" fontId="19" fillId="0" borderId="20" xfId="54" applyFont="1" applyBorder="1" applyProtection="1">
      <alignment/>
      <protection/>
    </xf>
    <xf numFmtId="3" fontId="19" fillId="0" borderId="30" xfId="54" applyNumberFormat="1" applyFont="1" applyBorder="1" applyProtection="1">
      <alignment/>
      <protection/>
    </xf>
    <xf numFmtId="0" fontId="25" fillId="0" borderId="17" xfId="54" applyFont="1" applyBorder="1" applyProtection="1">
      <alignment/>
      <protection/>
    </xf>
    <xf numFmtId="3" fontId="19" fillId="0" borderId="31" xfId="54" applyNumberFormat="1" applyFont="1" applyBorder="1" applyProtection="1">
      <alignment/>
      <protection/>
    </xf>
    <xf numFmtId="3" fontId="19" fillId="0" borderId="27" xfId="54" applyNumberFormat="1" applyFont="1" applyBorder="1" applyProtection="1">
      <alignment/>
      <protection/>
    </xf>
    <xf numFmtId="0" fontId="19" fillId="0" borderId="27" xfId="54" applyFont="1" applyBorder="1" applyProtection="1">
      <alignment/>
      <protection/>
    </xf>
    <xf numFmtId="3" fontId="19" fillId="0" borderId="34" xfId="54" applyNumberFormat="1" applyFont="1" applyBorder="1" applyProtection="1">
      <alignment/>
      <protection/>
    </xf>
    <xf numFmtId="0" fontId="38" fillId="0" borderId="21" xfId="54" applyFont="1" applyBorder="1" applyProtection="1">
      <alignment/>
      <protection/>
    </xf>
    <xf numFmtId="3" fontId="25" fillId="0" borderId="22" xfId="54" applyNumberFormat="1" applyFont="1" applyBorder="1" applyProtection="1">
      <alignment/>
      <protection/>
    </xf>
    <xf numFmtId="0" fontId="38" fillId="0" borderId="11" xfId="54" applyFont="1" applyBorder="1" applyProtection="1">
      <alignment/>
      <protection/>
    </xf>
    <xf numFmtId="3" fontId="25" fillId="0" borderId="39" xfId="54" applyNumberFormat="1" applyFont="1" applyBorder="1" applyProtection="1">
      <alignment/>
      <protection/>
    </xf>
    <xf numFmtId="0" fontId="25" fillId="0" borderId="21" xfId="54" applyFont="1" applyBorder="1" applyProtection="1">
      <alignment/>
      <protection/>
    </xf>
    <xf numFmtId="0" fontId="25" fillId="0" borderId="22" xfId="54" applyFont="1" applyBorder="1" applyProtection="1">
      <alignment/>
      <protection/>
    </xf>
    <xf numFmtId="0" fontId="25" fillId="0" borderId="13" xfId="54" applyFont="1" applyBorder="1" applyProtection="1">
      <alignment/>
      <protection/>
    </xf>
    <xf numFmtId="3" fontId="25" fillId="0" borderId="14" xfId="54" applyNumberFormat="1" applyFont="1" applyBorder="1" applyProtection="1">
      <alignment/>
      <protection/>
    </xf>
    <xf numFmtId="0" fontId="25" fillId="0" borderId="14" xfId="54" applyFont="1" applyBorder="1" applyProtection="1">
      <alignment/>
      <protection/>
    </xf>
    <xf numFmtId="3" fontId="25" fillId="0" borderId="32" xfId="54" applyNumberFormat="1" applyFont="1" applyBorder="1" applyProtection="1">
      <alignment/>
      <protection/>
    </xf>
    <xf numFmtId="0" fontId="25" fillId="0" borderId="44" xfId="54" applyFont="1" applyBorder="1" applyProtection="1">
      <alignment/>
      <protection/>
    </xf>
    <xf numFmtId="3" fontId="25" fillId="0" borderId="47" xfId="54" applyNumberFormat="1" applyFont="1" applyBorder="1" applyProtection="1">
      <alignment/>
      <protection/>
    </xf>
    <xf numFmtId="0" fontId="25" fillId="0" borderId="0" xfId="0" applyFont="1" applyAlignment="1">
      <alignment horizontal="right"/>
    </xf>
    <xf numFmtId="0" fontId="19" fillId="0" borderId="16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3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19" fillId="0" borderId="40" xfId="0" applyFont="1" applyBorder="1" applyAlignment="1">
      <alignment/>
    </xf>
    <xf numFmtId="3" fontId="25" fillId="24" borderId="27" xfId="0" applyNumberFormat="1" applyFont="1" applyFill="1" applyBorder="1" applyAlignment="1">
      <alignment/>
    </xf>
    <xf numFmtId="0" fontId="19" fillId="0" borderId="10" xfId="0" applyFont="1" applyBorder="1" applyAlignment="1">
      <alignment/>
    </xf>
    <xf numFmtId="3" fontId="19" fillId="0" borderId="34" xfId="0" applyNumberFormat="1" applyFont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44" xfId="0" applyFont="1" applyBorder="1" applyAlignment="1">
      <alignment/>
    </xf>
    <xf numFmtId="0" fontId="25" fillId="24" borderId="40" xfId="0" applyFont="1" applyFill="1" applyBorder="1" applyAlignment="1">
      <alignment/>
    </xf>
    <xf numFmtId="3" fontId="25" fillId="24" borderId="29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38" xfId="0" applyBorder="1" applyAlignment="1">
      <alignment/>
    </xf>
    <xf numFmtId="0" fontId="32" fillId="0" borderId="30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0" fontId="64" fillId="0" borderId="0" xfId="0" applyFont="1" applyAlignment="1">
      <alignment/>
    </xf>
    <xf numFmtId="0" fontId="31" fillId="0" borderId="21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0" fillId="0" borderId="28" xfId="0" applyFont="1" applyBorder="1" applyAlignment="1">
      <alignment horizontal="center" vertical="center" wrapText="1"/>
    </xf>
    <xf numFmtId="0" fontId="37" fillId="0" borderId="21" xfId="0" applyFont="1" applyBorder="1" applyAlignment="1">
      <alignment vertical="center" wrapText="1"/>
    </xf>
    <xf numFmtId="3" fontId="37" fillId="0" borderId="22" xfId="40" applyNumberFormat="1" applyFont="1" applyFill="1" applyBorder="1" applyAlignment="1" applyProtection="1">
      <alignment vertical="center"/>
      <protection/>
    </xf>
    <xf numFmtId="3" fontId="37" fillId="0" borderId="23" xfId="40" applyNumberFormat="1" applyFont="1" applyFill="1" applyBorder="1" applyAlignment="1" applyProtection="1">
      <alignment vertical="center"/>
      <protection/>
    </xf>
    <xf numFmtId="0" fontId="37" fillId="0" borderId="13" xfId="0" applyFont="1" applyBorder="1" applyAlignment="1">
      <alignment vertical="center" wrapText="1"/>
    </xf>
    <xf numFmtId="3" fontId="37" fillId="0" borderId="14" xfId="40" applyNumberFormat="1" applyFont="1" applyFill="1" applyBorder="1" applyAlignment="1" applyProtection="1">
      <alignment vertical="center" wrapText="1"/>
      <protection/>
    </xf>
    <xf numFmtId="3" fontId="37" fillId="0" borderId="15" xfId="40" applyNumberFormat="1" applyFont="1" applyFill="1" applyBorder="1" applyAlignment="1" applyProtection="1">
      <alignment vertical="center" wrapText="1"/>
      <protection/>
    </xf>
    <xf numFmtId="0" fontId="36" fillId="0" borderId="13" xfId="0" applyFont="1" applyBorder="1" applyAlignment="1">
      <alignment vertical="center" wrapText="1"/>
    </xf>
    <xf numFmtId="3" fontId="37" fillId="0" borderId="14" xfId="40" applyNumberFormat="1" applyFont="1" applyFill="1" applyBorder="1" applyAlignment="1" applyProtection="1">
      <alignment vertical="center"/>
      <protection/>
    </xf>
    <xf numFmtId="3" fontId="37" fillId="0" borderId="15" xfId="40" applyNumberFormat="1" applyFont="1" applyFill="1" applyBorder="1" applyAlignment="1" applyProtection="1">
      <alignment vertical="center"/>
      <protection/>
    </xf>
    <xf numFmtId="0" fontId="37" fillId="0" borderId="13" xfId="0" applyFont="1" applyBorder="1" applyAlignment="1">
      <alignment vertical="center" shrinkToFit="1"/>
    </xf>
    <xf numFmtId="0" fontId="19" fillId="0" borderId="13" xfId="0" applyFont="1" applyBorder="1" applyAlignment="1">
      <alignment vertical="center"/>
    </xf>
    <xf numFmtId="0" fontId="19" fillId="0" borderId="21" xfId="0" applyFont="1" applyBorder="1" applyAlignment="1">
      <alignment vertical="center" wrapText="1"/>
    </xf>
    <xf numFmtId="0" fontId="37" fillId="0" borderId="21" xfId="0" applyFont="1" applyBorder="1" applyAlignment="1">
      <alignment vertical="center"/>
    </xf>
    <xf numFmtId="3" fontId="37" fillId="0" borderId="30" xfId="40" applyNumberFormat="1" applyFont="1" applyFill="1" applyBorder="1" applyAlignment="1" applyProtection="1">
      <alignment vertical="center"/>
      <protection/>
    </xf>
    <xf numFmtId="3" fontId="37" fillId="0" borderId="0" xfId="40" applyNumberFormat="1" applyFont="1" applyFill="1" applyBorder="1" applyAlignment="1" applyProtection="1">
      <alignment vertical="center"/>
      <protection/>
    </xf>
    <xf numFmtId="3" fontId="23" fillId="0" borderId="27" xfId="40" applyNumberFormat="1" applyFont="1" applyFill="1" applyBorder="1" applyAlignment="1" applyProtection="1">
      <alignment vertical="center"/>
      <protection/>
    </xf>
    <xf numFmtId="3" fontId="23" fillId="0" borderId="28" xfId="40" applyNumberFormat="1" applyFont="1" applyFill="1" applyBorder="1" applyAlignment="1" applyProtection="1">
      <alignment vertical="center"/>
      <protection/>
    </xf>
    <xf numFmtId="0" fontId="30" fillId="0" borderId="16" xfId="0" applyFont="1" applyBorder="1" applyAlignment="1">
      <alignment vertical="center"/>
    </xf>
    <xf numFmtId="0" fontId="30" fillId="0" borderId="16" xfId="0" applyFont="1" applyBorder="1" applyAlignment="1">
      <alignment horizont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/>
    </xf>
    <xf numFmtId="0" fontId="33" fillId="0" borderId="26" xfId="0" applyFont="1" applyBorder="1" applyAlignment="1">
      <alignment/>
    </xf>
    <xf numFmtId="0" fontId="58" fillId="0" borderId="0" xfId="0" applyFont="1" applyAlignment="1">
      <alignment horizontal="right"/>
    </xf>
    <xf numFmtId="0" fontId="30" fillId="0" borderId="20" xfId="0" applyFont="1" applyBorder="1" applyAlignment="1">
      <alignment vertical="center"/>
    </xf>
    <xf numFmtId="0" fontId="30" fillId="0" borderId="30" xfId="0" applyFont="1" applyBorder="1" applyAlignment="1">
      <alignment horizont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59" fillId="0" borderId="0" xfId="0" applyFont="1" applyAlignment="1">
      <alignment/>
    </xf>
    <xf numFmtId="0" fontId="30" fillId="0" borderId="28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31" fillId="0" borderId="22" xfId="0" applyFont="1" applyBorder="1" applyAlignment="1">
      <alignment vertical="center"/>
    </xf>
    <xf numFmtId="3" fontId="31" fillId="0" borderId="23" xfId="40" applyNumberFormat="1" applyFont="1" applyFill="1" applyBorder="1" applyAlignment="1" applyProtection="1">
      <alignment horizontal="right" vertical="center"/>
      <protection/>
    </xf>
    <xf numFmtId="3" fontId="31" fillId="0" borderId="22" xfId="40" applyNumberFormat="1" applyFont="1" applyFill="1" applyBorder="1" applyAlignment="1" applyProtection="1">
      <alignment horizontal="right" vertical="center"/>
      <protection/>
    </xf>
    <xf numFmtId="3" fontId="31" fillId="0" borderId="14" xfId="40" applyNumberFormat="1" applyFont="1" applyFill="1" applyBorder="1" applyAlignment="1" applyProtection="1">
      <alignment horizontal="right" vertical="center"/>
      <protection/>
    </xf>
    <xf numFmtId="0" fontId="31" fillId="0" borderId="29" xfId="0" applyFont="1" applyBorder="1" applyAlignment="1">
      <alignment vertical="center"/>
    </xf>
    <xf numFmtId="3" fontId="31" fillId="0" borderId="43" xfId="40" applyNumberFormat="1" applyFont="1" applyFill="1" applyBorder="1" applyAlignment="1" applyProtection="1">
      <alignment horizontal="right" vertical="center"/>
      <protection/>
    </xf>
    <xf numFmtId="3" fontId="31" fillId="0" borderId="29" xfId="40" applyNumberFormat="1" applyFont="1" applyFill="1" applyBorder="1" applyAlignment="1" applyProtection="1">
      <alignment horizontal="right" vertical="center"/>
      <protection/>
    </xf>
    <xf numFmtId="3" fontId="31" fillId="0" borderId="30" xfId="40" applyNumberFormat="1" applyFont="1" applyFill="1" applyBorder="1" applyAlignment="1" applyProtection="1">
      <alignment horizontal="right" vertical="center"/>
      <protection/>
    </xf>
    <xf numFmtId="0" fontId="30" fillId="0" borderId="27" xfId="0" applyFont="1" applyBorder="1" applyAlignment="1">
      <alignment vertical="center"/>
    </xf>
    <xf numFmtId="3" fontId="30" fillId="0" borderId="28" xfId="40" applyNumberFormat="1" applyFont="1" applyFill="1" applyBorder="1" applyAlignment="1" applyProtection="1">
      <alignment horizontal="right" vertical="center"/>
      <protection/>
    </xf>
    <xf numFmtId="3" fontId="30" fillId="0" borderId="27" xfId="40" applyNumberFormat="1" applyFont="1" applyFill="1" applyBorder="1" applyAlignment="1" applyProtection="1">
      <alignment horizontal="right" vertical="center"/>
      <protection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/>
    </xf>
    <xf numFmtId="3" fontId="19" fillId="0" borderId="10" xfId="40" applyNumberFormat="1" applyFont="1" applyFill="1" applyBorder="1" applyAlignment="1" applyProtection="1">
      <alignment vertical="center"/>
      <protection/>
    </xf>
    <xf numFmtId="3" fontId="19" fillId="0" borderId="11" xfId="40" applyNumberFormat="1" applyFont="1" applyFill="1" applyBorder="1" applyAlignment="1" applyProtection="1">
      <alignment vertical="center"/>
      <protection/>
    </xf>
    <xf numFmtId="3" fontId="19" fillId="0" borderId="41" xfId="40" applyNumberFormat="1" applyFont="1" applyFill="1" applyBorder="1" applyAlignment="1" applyProtection="1">
      <alignment vertical="center"/>
      <protection/>
    </xf>
    <xf numFmtId="0" fontId="19" fillId="0" borderId="13" xfId="0" applyFont="1" applyBorder="1" applyAlignment="1">
      <alignment vertical="center" wrapText="1"/>
    </xf>
    <xf numFmtId="3" fontId="19" fillId="0" borderId="13" xfId="0" applyNumberFormat="1" applyFont="1" applyBorder="1" applyAlignment="1">
      <alignment vertical="center"/>
    </xf>
    <xf numFmtId="3" fontId="19" fillId="0" borderId="13" xfId="40" applyNumberFormat="1" applyFont="1" applyFill="1" applyBorder="1" applyAlignment="1" applyProtection="1">
      <alignment vertical="center"/>
      <protection/>
    </xf>
    <xf numFmtId="3" fontId="19" fillId="0" borderId="14" xfId="40" applyNumberFormat="1" applyFont="1" applyFill="1" applyBorder="1" applyAlignment="1" applyProtection="1">
      <alignment vertical="center"/>
      <protection/>
    </xf>
    <xf numFmtId="3" fontId="19" fillId="0" borderId="32" xfId="40" applyNumberFormat="1" applyFont="1" applyFill="1" applyBorder="1" applyAlignment="1" applyProtection="1">
      <alignment vertical="center"/>
      <protection/>
    </xf>
    <xf numFmtId="3" fontId="19" fillId="0" borderId="39" xfId="40" applyNumberFormat="1" applyFont="1" applyFill="1" applyBorder="1" applyAlignment="1" applyProtection="1">
      <alignment vertical="center"/>
      <protection/>
    </xf>
    <xf numFmtId="3" fontId="19" fillId="0" borderId="13" xfId="0" applyNumberFormat="1" applyFont="1" applyBorder="1" applyAlignment="1">
      <alignment vertical="center" wrapText="1"/>
    </xf>
    <xf numFmtId="0" fontId="19" fillId="0" borderId="13" xfId="0" applyFont="1" applyFill="1" applyBorder="1" applyAlignment="1">
      <alignment horizontal="left" vertical="center"/>
    </xf>
    <xf numFmtId="3" fontId="19" fillId="0" borderId="13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vertical="center"/>
    </xf>
    <xf numFmtId="3" fontId="19" fillId="0" borderId="32" xfId="0" applyNumberFormat="1" applyFont="1" applyBorder="1" applyAlignment="1">
      <alignment vertical="center"/>
    </xf>
    <xf numFmtId="0" fontId="19" fillId="0" borderId="19" xfId="0" applyFont="1" applyFill="1" applyBorder="1" applyAlignment="1">
      <alignment horizontal="left" vertical="center"/>
    </xf>
    <xf numFmtId="3" fontId="19" fillId="0" borderId="19" xfId="0" applyNumberFormat="1" applyFont="1" applyBorder="1" applyAlignment="1">
      <alignment vertical="center"/>
    </xf>
    <xf numFmtId="3" fontId="19" fillId="0" borderId="31" xfId="40" applyNumberFormat="1" applyFont="1" applyFill="1" applyBorder="1" applyAlignment="1" applyProtection="1">
      <alignment vertical="center"/>
      <protection/>
    </xf>
    <xf numFmtId="3" fontId="19" fillId="0" borderId="19" xfId="0" applyNumberFormat="1" applyFont="1" applyBorder="1" applyAlignment="1">
      <alignment horizontal="right" vertical="center"/>
    </xf>
    <xf numFmtId="3" fontId="54" fillId="0" borderId="24" xfId="0" applyNumberFormat="1" applyFont="1" applyBorder="1" applyAlignment="1">
      <alignment/>
    </xf>
    <xf numFmtId="3" fontId="54" fillId="0" borderId="33" xfId="0" applyNumberFormat="1" applyFont="1" applyBorder="1" applyAlignment="1">
      <alignment/>
    </xf>
    <xf numFmtId="3" fontId="54" fillId="0" borderId="14" xfId="0" applyNumberFormat="1" applyFont="1" applyBorder="1" applyAlignment="1">
      <alignment/>
    </xf>
    <xf numFmtId="3" fontId="54" fillId="0" borderId="32" xfId="0" applyNumberFormat="1" applyFont="1" applyBorder="1" applyAlignment="1">
      <alignment/>
    </xf>
    <xf numFmtId="0" fontId="19" fillId="0" borderId="44" xfId="0" applyFont="1" applyFill="1" applyBorder="1" applyAlignment="1">
      <alignment horizontal="left" vertical="center"/>
    </xf>
    <xf numFmtId="0" fontId="0" fillId="0" borderId="47" xfId="0" applyBorder="1" applyAlignment="1">
      <alignment/>
    </xf>
    <xf numFmtId="3" fontId="19" fillId="0" borderId="47" xfId="0" applyNumberFormat="1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58" fillId="0" borderId="0" xfId="0" applyFont="1" applyAlignment="1">
      <alignment/>
    </xf>
    <xf numFmtId="0" fontId="30" fillId="0" borderId="34" xfId="0" applyFont="1" applyBorder="1" applyAlignment="1">
      <alignment horizontal="center" vertical="center"/>
    </xf>
    <xf numFmtId="3" fontId="31" fillId="0" borderId="22" xfId="0" applyNumberFormat="1" applyFont="1" applyBorder="1" applyAlignment="1">
      <alignment horizontal="right" vertical="center"/>
    </xf>
    <xf numFmtId="0" fontId="31" fillId="0" borderId="39" xfId="0" applyFont="1" applyBorder="1" applyAlignment="1">
      <alignment horizontal="center" vertical="center"/>
    </xf>
    <xf numFmtId="3" fontId="31" fillId="0" borderId="14" xfId="0" applyNumberFormat="1" applyFont="1" applyBorder="1" applyAlignment="1">
      <alignment horizontal="right" vertical="center"/>
    </xf>
    <xf numFmtId="0" fontId="31" fillId="0" borderId="32" xfId="0" applyFont="1" applyBorder="1" applyAlignment="1">
      <alignment horizontal="center" vertical="center"/>
    </xf>
    <xf numFmtId="3" fontId="31" fillId="0" borderId="24" xfId="0" applyNumberFormat="1" applyFont="1" applyBorder="1" applyAlignment="1">
      <alignment horizontal="right" vertical="center"/>
    </xf>
    <xf numFmtId="0" fontId="31" fillId="0" borderId="33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54" fillId="0" borderId="0" xfId="0" applyFont="1" applyAlignment="1">
      <alignment/>
    </xf>
    <xf numFmtId="0" fontId="67" fillId="0" borderId="0" xfId="0" applyFont="1" applyAlignment="1">
      <alignment horizontal="center"/>
    </xf>
    <xf numFmtId="0" fontId="70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right"/>
    </xf>
    <xf numFmtId="0" fontId="70" fillId="0" borderId="27" xfId="0" applyFont="1" applyBorder="1" applyAlignment="1">
      <alignment horizontal="center" vertical="center"/>
    </xf>
    <xf numFmtId="0" fontId="55" fillId="0" borderId="22" xfId="0" applyFont="1" applyBorder="1" applyAlignment="1">
      <alignment horizontal="left" vertical="center"/>
    </xf>
    <xf numFmtId="3" fontId="55" fillId="0" borderId="22" xfId="0" applyNumberFormat="1" applyFont="1" applyBorder="1" applyAlignment="1">
      <alignment horizontal="right" vertical="center" wrapText="1"/>
    </xf>
    <xf numFmtId="0" fontId="55" fillId="0" borderId="22" xfId="0" applyFont="1" applyBorder="1" applyAlignment="1">
      <alignment/>
    </xf>
    <xf numFmtId="3" fontId="54" fillId="0" borderId="22" xfId="40" applyNumberFormat="1" applyFont="1" applyFill="1" applyBorder="1" applyAlignment="1" applyProtection="1">
      <alignment horizontal="right"/>
      <protection/>
    </xf>
    <xf numFmtId="0" fontId="41" fillId="0" borderId="14" xfId="0" applyFont="1" applyBorder="1" applyAlignment="1">
      <alignment/>
    </xf>
    <xf numFmtId="3" fontId="55" fillId="0" borderId="22" xfId="40" applyNumberFormat="1" applyFont="1" applyFill="1" applyBorder="1" applyAlignment="1" applyProtection="1">
      <alignment horizontal="right"/>
      <protection/>
    </xf>
    <xf numFmtId="0" fontId="55" fillId="0" borderId="14" xfId="0" applyFont="1" applyBorder="1" applyAlignment="1">
      <alignment/>
    </xf>
    <xf numFmtId="0" fontId="55" fillId="0" borderId="24" xfId="0" applyFont="1" applyBorder="1" applyAlignment="1">
      <alignment wrapText="1"/>
    </xf>
    <xf numFmtId="3" fontId="55" fillId="0" borderId="24" xfId="40" applyNumberFormat="1" applyFont="1" applyFill="1" applyBorder="1" applyAlignment="1" applyProtection="1">
      <alignment horizontal="right"/>
      <protection/>
    </xf>
    <xf numFmtId="0" fontId="55" fillId="0" borderId="14" xfId="0" applyFont="1" applyBorder="1" applyAlignment="1">
      <alignment wrapText="1"/>
    </xf>
    <xf numFmtId="3" fontId="55" fillId="0" borderId="14" xfId="40" applyNumberFormat="1" applyFont="1" applyFill="1" applyBorder="1" applyAlignment="1" applyProtection="1">
      <alignment horizontal="right"/>
      <protection/>
    </xf>
    <xf numFmtId="0" fontId="54" fillId="0" borderId="14" xfId="0" applyFont="1" applyBorder="1" applyAlignment="1">
      <alignment wrapText="1"/>
    </xf>
    <xf numFmtId="0" fontId="69" fillId="0" borderId="29" xfId="0" applyFont="1" applyBorder="1" applyAlignment="1">
      <alignment/>
    </xf>
    <xf numFmtId="3" fontId="69" fillId="0" borderId="29" xfId="40" applyNumberFormat="1" applyFont="1" applyFill="1" applyBorder="1" applyAlignment="1" applyProtection="1">
      <alignment horizontal="right"/>
      <protection/>
    </xf>
    <xf numFmtId="0" fontId="54" fillId="0" borderId="0" xfId="0" applyFont="1" applyAlignment="1">
      <alignment horizontal="justify"/>
    </xf>
    <xf numFmtId="0" fontId="67" fillId="0" borderId="0" xfId="0" applyFont="1" applyAlignment="1">
      <alignment/>
    </xf>
    <xf numFmtId="0" fontId="70" fillId="0" borderId="26" xfId="0" applyFont="1" applyBorder="1" applyAlignment="1">
      <alignment vertical="center"/>
    </xf>
    <xf numFmtId="0" fontId="54" fillId="0" borderId="21" xfId="0" applyFont="1" applyBorder="1" applyAlignment="1">
      <alignment/>
    </xf>
    <xf numFmtId="166" fontId="54" fillId="0" borderId="11" xfId="40" applyNumberFormat="1" applyFont="1" applyFill="1" applyBorder="1" applyAlignment="1" applyProtection="1">
      <alignment/>
      <protection/>
    </xf>
    <xf numFmtId="166" fontId="54" fillId="0" borderId="22" xfId="40" applyNumberFormat="1" applyFont="1" applyFill="1" applyBorder="1" applyAlignment="1" applyProtection="1">
      <alignment/>
      <protection/>
    </xf>
    <xf numFmtId="166" fontId="54" fillId="0" borderId="30" xfId="40" applyNumberFormat="1" applyFont="1" applyFill="1" applyBorder="1" applyAlignment="1" applyProtection="1">
      <alignment/>
      <protection/>
    </xf>
    <xf numFmtId="0" fontId="54" fillId="0" borderId="40" xfId="0" applyFont="1" applyBorder="1" applyAlignment="1">
      <alignment/>
    </xf>
    <xf numFmtId="166" fontId="54" fillId="0" borderId="35" xfId="40" applyNumberFormat="1" applyFont="1" applyFill="1" applyBorder="1" applyAlignment="1" applyProtection="1">
      <alignment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3" fontId="33" fillId="0" borderId="43" xfId="0" applyNumberFormat="1" applyFont="1" applyBorder="1" applyAlignment="1">
      <alignment/>
    </xf>
    <xf numFmtId="3" fontId="33" fillId="0" borderId="42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34" xfId="0" applyBorder="1" applyAlignment="1">
      <alignment horizontal="center"/>
    </xf>
    <xf numFmtId="0" fontId="6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1" fillId="0" borderId="46" xfId="0" applyFont="1" applyBorder="1" applyAlignment="1">
      <alignment horizontal="center"/>
    </xf>
    <xf numFmtId="0" fontId="61" fillId="0" borderId="59" xfId="0" applyFont="1" applyBorder="1" applyAlignment="1">
      <alignment horizontal="center"/>
    </xf>
    <xf numFmtId="0" fontId="61" fillId="0" borderId="57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19" fillId="0" borderId="45" xfId="0" applyFont="1" applyBorder="1" applyAlignment="1">
      <alignment/>
    </xf>
    <xf numFmtId="0" fontId="36" fillId="0" borderId="57" xfId="0" applyFont="1" applyBorder="1" applyAlignment="1">
      <alignment wrapText="1"/>
    </xf>
    <xf numFmtId="3" fontId="36" fillId="0" borderId="60" xfId="40" applyNumberFormat="1" applyFont="1" applyFill="1" applyBorder="1" applyAlignment="1" applyProtection="1">
      <alignment/>
      <protection/>
    </xf>
    <xf numFmtId="3" fontId="36" fillId="0" borderId="57" xfId="0" applyNumberFormat="1" applyFont="1" applyBorder="1" applyAlignment="1">
      <alignment/>
    </xf>
    <xf numFmtId="3" fontId="36" fillId="0" borderId="61" xfId="0" applyNumberFormat="1" applyFont="1" applyBorder="1" applyAlignment="1">
      <alignment/>
    </xf>
    <xf numFmtId="3" fontId="36" fillId="0" borderId="15" xfId="40" applyNumberFormat="1" applyFont="1" applyFill="1" applyBorder="1" applyAlignment="1" applyProtection="1">
      <alignment/>
      <protection/>
    </xf>
    <xf numFmtId="3" fontId="36" fillId="0" borderId="50" xfId="0" applyNumberFormat="1" applyFont="1" applyBorder="1" applyAlignment="1">
      <alignment/>
    </xf>
    <xf numFmtId="3" fontId="36" fillId="0" borderId="57" xfId="40" applyNumberFormat="1" applyFont="1" applyFill="1" applyBorder="1" applyAlignment="1" applyProtection="1">
      <alignment/>
      <protection/>
    </xf>
    <xf numFmtId="3" fontId="36" fillId="0" borderId="50" xfId="40" applyNumberFormat="1" applyFont="1" applyFill="1" applyBorder="1" applyAlignment="1" applyProtection="1">
      <alignment/>
      <protection/>
    </xf>
    <xf numFmtId="0" fontId="19" fillId="0" borderId="45" xfId="0" applyFont="1" applyBorder="1" applyAlignment="1">
      <alignment wrapText="1"/>
    </xf>
    <xf numFmtId="0" fontId="25" fillId="0" borderId="62" xfId="0" applyFont="1" applyBorder="1" applyAlignment="1">
      <alignment/>
    </xf>
    <xf numFmtId="0" fontId="61" fillId="0" borderId="63" xfId="0" applyFont="1" applyBorder="1" applyAlignment="1">
      <alignment/>
    </xf>
    <xf numFmtId="3" fontId="25" fillId="0" borderId="63" xfId="40" applyNumberFormat="1" applyFont="1" applyFill="1" applyBorder="1" applyAlignment="1" applyProtection="1">
      <alignment/>
      <protection/>
    </xf>
    <xf numFmtId="3" fontId="61" fillId="0" borderId="63" xfId="40" applyNumberFormat="1" applyFont="1" applyFill="1" applyBorder="1" applyAlignment="1" applyProtection="1">
      <alignment/>
      <protection/>
    </xf>
    <xf numFmtId="3" fontId="61" fillId="0" borderId="64" xfId="40" applyNumberFormat="1" applyFont="1" applyFill="1" applyBorder="1" applyAlignment="1" applyProtection="1">
      <alignment/>
      <protection/>
    </xf>
    <xf numFmtId="3" fontId="61" fillId="0" borderId="65" xfId="40" applyNumberFormat="1" applyFont="1" applyFill="1" applyBorder="1" applyAlignment="1" applyProtection="1">
      <alignment/>
      <protection/>
    </xf>
    <xf numFmtId="0" fontId="61" fillId="0" borderId="0" xfId="0" applyFont="1" applyBorder="1" applyAlignment="1">
      <alignment/>
    </xf>
    <xf numFmtId="3" fontId="61" fillId="0" borderId="0" xfId="40" applyNumberFormat="1" applyFont="1" applyFill="1" applyBorder="1" applyAlignment="1" applyProtection="1">
      <alignment/>
      <protection/>
    </xf>
    <xf numFmtId="0" fontId="25" fillId="0" borderId="46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3" fontId="36" fillId="0" borderId="61" xfId="40" applyNumberFormat="1" applyFont="1" applyFill="1" applyBorder="1" applyAlignment="1" applyProtection="1">
      <alignment/>
      <protection/>
    </xf>
    <xf numFmtId="0" fontId="61" fillId="0" borderId="66" xfId="0" applyFont="1" applyBorder="1" applyAlignment="1">
      <alignment/>
    </xf>
    <xf numFmtId="0" fontId="61" fillId="0" borderId="67" xfId="0" applyFont="1" applyBorder="1" applyAlignment="1">
      <alignment/>
    </xf>
    <xf numFmtId="3" fontId="25" fillId="0" borderId="67" xfId="40" applyNumberFormat="1" applyFont="1" applyFill="1" applyBorder="1" applyAlignment="1" applyProtection="1">
      <alignment/>
      <protection/>
    </xf>
    <xf numFmtId="3" fontId="61" fillId="0" borderId="67" xfId="40" applyNumberFormat="1" applyFont="1" applyFill="1" applyBorder="1" applyAlignment="1" applyProtection="1">
      <alignment/>
      <protection/>
    </xf>
    <xf numFmtId="3" fontId="61" fillId="0" borderId="68" xfId="40" applyNumberFormat="1" applyFont="1" applyFill="1" applyBorder="1" applyAlignment="1" applyProtection="1">
      <alignment/>
      <protection/>
    </xf>
    <xf numFmtId="3" fontId="25" fillId="0" borderId="65" xfId="40" applyNumberFormat="1" applyFont="1" applyFill="1" applyBorder="1" applyAlignment="1" applyProtection="1">
      <alignment/>
      <protection/>
    </xf>
    <xf numFmtId="0" fontId="32" fillId="0" borderId="0" xfId="0" applyFont="1" applyAlignment="1">
      <alignment horizontal="right"/>
    </xf>
    <xf numFmtId="0" fontId="31" fillId="0" borderId="34" xfId="0" applyFont="1" applyBorder="1" applyAlignment="1">
      <alignment/>
    </xf>
    <xf numFmtId="0" fontId="30" fillId="0" borderId="40" xfId="0" applyFont="1" applyBorder="1" applyAlignment="1">
      <alignment horizontal="center"/>
    </xf>
    <xf numFmtId="0" fontId="31" fillId="0" borderId="20" xfId="0" applyFont="1" applyBorder="1" applyAlignment="1">
      <alignment vertical="center"/>
    </xf>
    <xf numFmtId="0" fontId="31" fillId="0" borderId="30" xfId="0" applyFont="1" applyBorder="1" applyAlignment="1">
      <alignment vertical="center"/>
    </xf>
    <xf numFmtId="0" fontId="31" fillId="0" borderId="27" xfId="0" applyFont="1" applyBorder="1" applyAlignment="1">
      <alignment vertical="center"/>
    </xf>
    <xf numFmtId="0" fontId="30" fillId="0" borderId="34" xfId="0" applyFont="1" applyBorder="1" applyAlignment="1">
      <alignment/>
    </xf>
    <xf numFmtId="0" fontId="30" fillId="0" borderId="43" xfId="0" applyFont="1" applyBorder="1" applyAlignment="1">
      <alignment horizontal="center"/>
    </xf>
    <xf numFmtId="0" fontId="31" fillId="0" borderId="11" xfId="0" applyFont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1" fillId="0" borderId="35" xfId="0" applyFont="1" applyBorder="1" applyAlignment="1">
      <alignment vertical="center"/>
    </xf>
    <xf numFmtId="0" fontId="31" fillId="0" borderId="55" xfId="0" applyFont="1" applyBorder="1" applyAlignment="1">
      <alignment vertical="center"/>
    </xf>
    <xf numFmtId="0" fontId="63" fillId="0" borderId="0" xfId="0" applyFont="1" applyAlignment="1">
      <alignment horizontal="right"/>
    </xf>
    <xf numFmtId="0" fontId="23" fillId="0" borderId="48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19" fillId="0" borderId="45" xfId="0" applyFont="1" applyBorder="1" applyAlignment="1">
      <alignment vertical="center" wrapText="1"/>
    </xf>
    <xf numFmtId="3" fontId="19" fillId="0" borderId="57" xfId="0" applyNumberFormat="1" applyFont="1" applyBorder="1" applyAlignment="1">
      <alignment vertical="center"/>
    </xf>
    <xf numFmtId="3" fontId="25" fillId="0" borderId="50" xfId="0" applyNumberFormat="1" applyFont="1" applyBorder="1" applyAlignment="1">
      <alignment horizontal="center" vertical="center"/>
    </xf>
    <xf numFmtId="3" fontId="19" fillId="0" borderId="50" xfId="0" applyNumberFormat="1" applyFont="1" applyBorder="1" applyAlignment="1">
      <alignment vertical="center"/>
    </xf>
    <xf numFmtId="0" fontId="19" fillId="0" borderId="51" xfId="0" applyFont="1" applyBorder="1" applyAlignment="1">
      <alignment vertical="center" wrapText="1"/>
    </xf>
    <xf numFmtId="3" fontId="19" fillId="0" borderId="70" xfId="0" applyNumberFormat="1" applyFont="1" applyBorder="1" applyAlignment="1">
      <alignment vertical="center"/>
    </xf>
    <xf numFmtId="3" fontId="19" fillId="0" borderId="52" xfId="0" applyNumberFormat="1" applyFont="1" applyBorder="1" applyAlignment="1">
      <alignment vertical="center"/>
    </xf>
    <xf numFmtId="3" fontId="25" fillId="0" borderId="52" xfId="0" applyNumberFormat="1" applyFont="1" applyBorder="1" applyAlignment="1">
      <alignment horizontal="center" vertical="center"/>
    </xf>
    <xf numFmtId="0" fontId="23" fillId="0" borderId="53" xfId="0" applyFont="1" applyBorder="1" applyAlignment="1">
      <alignment vertical="center"/>
    </xf>
    <xf numFmtId="3" fontId="25" fillId="0" borderId="71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3" fontId="25" fillId="0" borderId="50" xfId="0" applyNumberFormat="1" applyFont="1" applyBorder="1" applyAlignment="1">
      <alignment horizontal="right" vertical="center"/>
    </xf>
    <xf numFmtId="0" fontId="0" fillId="0" borderId="0" xfId="0" applyAlignment="1">
      <alignment horizontal="justify" wrapText="1"/>
    </xf>
    <xf numFmtId="3" fontId="25" fillId="0" borderId="54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45" fillId="0" borderId="0" xfId="0" applyFont="1" applyAlignment="1">
      <alignment/>
    </xf>
    <xf numFmtId="0" fontId="23" fillId="0" borderId="57" xfId="0" applyFont="1" applyBorder="1" applyAlignment="1">
      <alignment/>
    </xf>
    <xf numFmtId="0" fontId="61" fillId="0" borderId="57" xfId="0" applyFont="1" applyBorder="1" applyAlignment="1">
      <alignment/>
    </xf>
    <xf numFmtId="0" fontId="50" fillId="0" borderId="57" xfId="0" applyFont="1" applyBorder="1" applyAlignment="1">
      <alignment wrapText="1"/>
    </xf>
    <xf numFmtId="0" fontId="46" fillId="0" borderId="61" xfId="0" applyFont="1" applyBorder="1" applyAlignment="1">
      <alignment wrapText="1"/>
    </xf>
    <xf numFmtId="3" fontId="25" fillId="0" borderId="72" xfId="0" applyNumberFormat="1" applyFont="1" applyBorder="1" applyAlignment="1">
      <alignment/>
    </xf>
    <xf numFmtId="0" fontId="49" fillId="0" borderId="61" xfId="0" applyFont="1" applyBorder="1" applyAlignment="1">
      <alignment/>
    </xf>
    <xf numFmtId="3" fontId="19" fillId="0" borderId="73" xfId="0" applyNumberFormat="1" applyFont="1" applyBorder="1" applyAlignment="1">
      <alignment/>
    </xf>
    <xf numFmtId="3" fontId="19" fillId="0" borderId="46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/>
    </xf>
    <xf numFmtId="0" fontId="25" fillId="0" borderId="61" xfId="0" applyFont="1" applyBorder="1" applyAlignment="1">
      <alignment horizontal="center"/>
    </xf>
    <xf numFmtId="3" fontId="19" fillId="0" borderId="61" xfId="0" applyNumberFormat="1" applyFont="1" applyBorder="1" applyAlignment="1">
      <alignment/>
    </xf>
    <xf numFmtId="3" fontId="25" fillId="0" borderId="61" xfId="0" applyNumberFormat="1" applyFont="1" applyBorder="1" applyAlignment="1">
      <alignment/>
    </xf>
    <xf numFmtId="0" fontId="48" fillId="0" borderId="57" xfId="0" applyFont="1" applyBorder="1" applyAlignment="1">
      <alignment/>
    </xf>
    <xf numFmtId="0" fontId="33" fillId="0" borderId="57" xfId="0" applyFont="1" applyBorder="1" applyAlignment="1">
      <alignment horizontal="center"/>
    </xf>
    <xf numFmtId="0" fontId="0" fillId="0" borderId="57" xfId="0" applyFont="1" applyBorder="1" applyAlignment="1">
      <alignment/>
    </xf>
    <xf numFmtId="0" fontId="33" fillId="0" borderId="57" xfId="0" applyFont="1" applyBorder="1" applyAlignment="1">
      <alignment/>
    </xf>
    <xf numFmtId="3" fontId="0" fillId="0" borderId="57" xfId="0" applyNumberFormat="1" applyBorder="1" applyAlignment="1">
      <alignment/>
    </xf>
    <xf numFmtId="3" fontId="0" fillId="0" borderId="57" xfId="0" applyNumberFormat="1" applyFont="1" applyBorder="1" applyAlignment="1">
      <alignment/>
    </xf>
    <xf numFmtId="3" fontId="33" fillId="0" borderId="57" xfId="0" applyNumberFormat="1" applyFont="1" applyBorder="1" applyAlignment="1">
      <alignment/>
    </xf>
    <xf numFmtId="0" fontId="27" fillId="0" borderId="53" xfId="0" applyFont="1" applyBorder="1" applyAlignment="1">
      <alignment/>
    </xf>
    <xf numFmtId="0" fontId="32" fillId="0" borderId="54" xfId="0" applyFont="1" applyBorder="1" applyAlignment="1">
      <alignment horizontal="center"/>
    </xf>
    <xf numFmtId="0" fontId="37" fillId="0" borderId="57" xfId="0" applyFont="1" applyBorder="1" applyAlignment="1">
      <alignment/>
    </xf>
    <xf numFmtId="3" fontId="37" fillId="0" borderId="57" xfId="0" applyNumberFormat="1" applyFont="1" applyBorder="1" applyAlignment="1">
      <alignment/>
    </xf>
    <xf numFmtId="3" fontId="23" fillId="0" borderId="57" xfId="0" applyNumberFormat="1" applyFont="1" applyBorder="1" applyAlignment="1">
      <alignment/>
    </xf>
    <xf numFmtId="0" fontId="30" fillId="0" borderId="45" xfId="0" applyFont="1" applyBorder="1" applyAlignment="1">
      <alignment vertical="center"/>
    </xf>
    <xf numFmtId="168" fontId="30" fillId="0" borderId="50" xfId="40" applyNumberFormat="1" applyFont="1" applyFill="1" applyBorder="1" applyAlignment="1" applyProtection="1">
      <alignment horizontal="right" vertical="center"/>
      <protection/>
    </xf>
    <xf numFmtId="0" fontId="60" fillId="0" borderId="0" xfId="0" applyFont="1" applyAlignment="1">
      <alignment/>
    </xf>
    <xf numFmtId="0" fontId="23" fillId="0" borderId="57" xfId="0" applyFont="1" applyBorder="1" applyAlignment="1">
      <alignment horizontal="center"/>
    </xf>
    <xf numFmtId="0" fontId="23" fillId="0" borderId="57" xfId="0" applyFont="1" applyBorder="1" applyAlignment="1">
      <alignment horizontal="center" wrapText="1"/>
    </xf>
    <xf numFmtId="10" fontId="37" fillId="0" borderId="57" xfId="0" applyNumberFormat="1" applyFont="1" applyBorder="1" applyAlignment="1">
      <alignment/>
    </xf>
    <xf numFmtId="0" fontId="36" fillId="0" borderId="57" xfId="0" applyFont="1" applyBorder="1" applyAlignment="1">
      <alignment/>
    </xf>
    <xf numFmtId="0" fontId="36" fillId="0" borderId="57" xfId="0" applyFont="1" applyBorder="1" applyAlignment="1">
      <alignment horizontal="justify"/>
    </xf>
    <xf numFmtId="3" fontId="37" fillId="0" borderId="57" xfId="0" applyNumberFormat="1" applyFont="1" applyBorder="1" applyAlignment="1">
      <alignment horizontal="justify"/>
    </xf>
    <xf numFmtId="0" fontId="21" fillId="0" borderId="0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5" fillId="0" borderId="27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43" fillId="0" borderId="0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35" xfId="0" applyNumberFormat="1" applyBorder="1" applyAlignment="1">
      <alignment horizontal="right"/>
    </xf>
    <xf numFmtId="0" fontId="32" fillId="0" borderId="43" xfId="0" applyFont="1" applyBorder="1" applyAlignment="1">
      <alignment horizontal="center"/>
    </xf>
    <xf numFmtId="0" fontId="30" fillId="0" borderId="27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33" fillId="0" borderId="27" xfId="0" applyFont="1" applyBorder="1" applyAlignment="1">
      <alignment wrapText="1"/>
    </xf>
    <xf numFmtId="0" fontId="0" fillId="0" borderId="0" xfId="0" applyBorder="1" applyAlignment="1">
      <alignment/>
    </xf>
    <xf numFmtId="0" fontId="32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4" xfId="0" applyBorder="1" applyAlignment="1">
      <alignment/>
    </xf>
    <xf numFmtId="0" fontId="33" fillId="0" borderId="26" xfId="0" applyFont="1" applyBorder="1" applyAlignment="1">
      <alignment/>
    </xf>
    <xf numFmtId="0" fontId="27" fillId="0" borderId="2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32" fillId="0" borderId="27" xfId="0" applyFont="1" applyBorder="1" applyAlignment="1">
      <alignment vertical="center"/>
    </xf>
    <xf numFmtId="0" fontId="32" fillId="0" borderId="2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25" fillId="0" borderId="0" xfId="54" applyFont="1" applyBorder="1" applyAlignment="1" applyProtection="1">
      <alignment horizontal="center"/>
      <protection/>
    </xf>
    <xf numFmtId="0" fontId="25" fillId="0" borderId="27" xfId="54" applyFont="1" applyBorder="1" applyAlignment="1" applyProtection="1">
      <alignment horizontal="center"/>
      <protection/>
    </xf>
    <xf numFmtId="0" fontId="63" fillId="0" borderId="0" xfId="54" applyFont="1" applyBorder="1" applyAlignment="1" applyProtection="1">
      <alignment horizontal="center"/>
      <protection/>
    </xf>
    <xf numFmtId="0" fontId="60" fillId="0" borderId="0" xfId="54" applyFont="1" applyBorder="1" applyAlignment="1" applyProtection="1">
      <alignment horizontal="center"/>
      <protection/>
    </xf>
    <xf numFmtId="0" fontId="25" fillId="0" borderId="0" xfId="0" applyFont="1" applyBorder="1" applyAlignment="1">
      <alignment horizontal="right"/>
    </xf>
    <xf numFmtId="0" fontId="32" fillId="0" borderId="30" xfId="0" applyFont="1" applyBorder="1" applyAlignment="1">
      <alignment horizontal="center"/>
    </xf>
    <xf numFmtId="166" fontId="30" fillId="0" borderId="27" xfId="4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166" fontId="31" fillId="0" borderId="11" xfId="40" applyNumberFormat="1" applyFont="1" applyFill="1" applyBorder="1" applyAlignment="1" applyProtection="1">
      <alignment horizontal="center" vertical="center"/>
      <protection/>
    </xf>
    <xf numFmtId="166" fontId="31" fillId="0" borderId="14" xfId="40" applyNumberFormat="1" applyFont="1" applyFill="1" applyBorder="1" applyAlignment="1" applyProtection="1">
      <alignment horizontal="center" vertical="center"/>
      <protection/>
    </xf>
    <xf numFmtId="166" fontId="31" fillId="0" borderId="24" xfId="40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3" fillId="0" borderId="27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4" fillId="0" borderId="0" xfId="0" applyFont="1" applyBorder="1" applyAlignment="1">
      <alignment horizontal="justify"/>
    </xf>
    <xf numFmtId="0" fontId="68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  <xf numFmtId="0" fontId="70" fillId="0" borderId="27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 wrapText="1"/>
    </xf>
    <xf numFmtId="0" fontId="61" fillId="0" borderId="49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61" fillId="0" borderId="69" xfId="0" applyFont="1" applyBorder="1" applyAlignment="1">
      <alignment horizontal="center" vertical="center"/>
    </xf>
    <xf numFmtId="0" fontId="30" fillId="0" borderId="27" xfId="0" applyFont="1" applyBorder="1" applyAlignment="1">
      <alignment vertical="center"/>
    </xf>
    <xf numFmtId="0" fontId="63" fillId="0" borderId="0" xfId="0" applyFont="1" applyBorder="1" applyAlignment="1">
      <alignment horizontal="right"/>
    </xf>
    <xf numFmtId="0" fontId="6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justify" vertical="center"/>
    </xf>
    <xf numFmtId="0" fontId="19" fillId="0" borderId="57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0" xfId="0" applyFont="1" applyFill="1" applyBorder="1" applyAlignment="1">
      <alignment wrapText="1"/>
    </xf>
    <xf numFmtId="0" fontId="27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37" fillId="0" borderId="23" xfId="0" applyFont="1" applyBorder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imÓd7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114</xdr:row>
      <xdr:rowOff>38100</xdr:rowOff>
    </xdr:from>
    <xdr:to>
      <xdr:col>1</xdr:col>
      <xdr:colOff>180975</xdr:colOff>
      <xdr:row>115</xdr:row>
      <xdr:rowOff>76200</xdr:rowOff>
    </xdr:to>
    <xdr:sp>
      <xdr:nvSpPr>
        <xdr:cNvPr id="1" name="AutoShape 7"/>
        <xdr:cNvSpPr>
          <a:spLocks/>
        </xdr:cNvSpPr>
      </xdr:nvSpPr>
      <xdr:spPr>
        <a:xfrm>
          <a:off x="3781425" y="21469350"/>
          <a:ext cx="123825" cy="200025"/>
        </a:xfrm>
        <a:prstGeom prst="righ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okumentumok\kv2005v&#233;g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_sz_melléklet"/>
    </sheetNames>
    <sheetDataSet>
      <sheetData sheetId="0">
        <row r="41">
          <cell r="D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48.7109375" style="0" customWidth="1"/>
    <col min="2" max="2" width="19.00390625" style="0" customWidth="1"/>
    <col min="3" max="3" width="38.421875" style="0" customWidth="1"/>
    <col min="4" max="4" width="21.140625" style="0" customWidth="1"/>
  </cols>
  <sheetData>
    <row r="1" spans="1:4" ht="12.75">
      <c r="A1" s="1"/>
      <c r="B1" s="1"/>
      <c r="C1" s="1"/>
      <c r="D1" s="2" t="s">
        <v>0</v>
      </c>
    </row>
    <row r="2" spans="1:4" s="3" customFormat="1" ht="15.75">
      <c r="A2" s="1040" t="s">
        <v>1</v>
      </c>
      <c r="B2" s="1040"/>
      <c r="C2" s="1040"/>
      <c r="D2" s="1040"/>
    </row>
    <row r="3" spans="1:4" s="3" customFormat="1" ht="15.75">
      <c r="A3" s="1040" t="s">
        <v>2</v>
      </c>
      <c r="B3" s="1040"/>
      <c r="C3" s="1040"/>
      <c r="D3" s="1040"/>
    </row>
    <row r="4" spans="1:4" ht="15.75">
      <c r="A4" s="1041" t="s">
        <v>3</v>
      </c>
      <c r="B4" s="1041"/>
      <c r="C4" s="1041" t="s">
        <v>4</v>
      </c>
      <c r="D4" s="1041"/>
    </row>
    <row r="5" spans="1:4" s="7" customFormat="1" ht="15.75">
      <c r="A5" s="4" t="s">
        <v>5</v>
      </c>
      <c r="B5" s="5" t="s">
        <v>6</v>
      </c>
      <c r="C5" s="6" t="s">
        <v>5</v>
      </c>
      <c r="D5" s="5" t="s">
        <v>6</v>
      </c>
    </row>
    <row r="6" spans="1:4" s="7" customFormat="1" ht="15">
      <c r="A6" s="8" t="s">
        <v>7</v>
      </c>
      <c r="B6" s="9">
        <f>'2_sz_ melléklet'!D6</f>
        <v>1380042</v>
      </c>
      <c r="C6" s="10" t="s">
        <v>8</v>
      </c>
      <c r="D6" s="11">
        <f>'1_a_sz_ melléklet'!D15</f>
        <v>3305917</v>
      </c>
    </row>
    <row r="7" spans="1:4" s="7" customFormat="1" ht="15">
      <c r="A7" s="8" t="s">
        <v>9</v>
      </c>
      <c r="B7" s="9">
        <f>'2_a_d_sz_ melléklet'!D10</f>
        <v>400</v>
      </c>
      <c r="C7" s="10"/>
      <c r="D7" s="11"/>
    </row>
    <row r="8" spans="1:4" s="7" customFormat="1" ht="7.5" customHeight="1">
      <c r="A8" s="8"/>
      <c r="B8" s="9"/>
      <c r="C8" s="12"/>
      <c r="D8" s="13"/>
    </row>
    <row r="9" spans="1:4" s="7" customFormat="1" ht="16.5" customHeight="1">
      <c r="A9" s="14" t="s">
        <v>10</v>
      </c>
      <c r="B9" s="9">
        <f>'2_sz_ melléklet'!D13</f>
        <v>2357667.9946666667</v>
      </c>
      <c r="C9" s="10" t="s">
        <v>11</v>
      </c>
      <c r="D9" s="11">
        <f>'1_a_sz_ melléklet'!D22</f>
        <v>671990</v>
      </c>
    </row>
    <row r="10" spans="1:4" s="7" customFormat="1" ht="7.5" customHeight="1">
      <c r="A10" s="8"/>
      <c r="B10" s="9"/>
      <c r="C10" s="12"/>
      <c r="D10" s="11"/>
    </row>
    <row r="11" spans="1:4" s="7" customFormat="1" ht="25.5">
      <c r="A11" s="8" t="s">
        <v>12</v>
      </c>
      <c r="B11" s="9">
        <f>'2_sz_ melléklet'!D26</f>
        <v>407985</v>
      </c>
      <c r="C11" s="15" t="s">
        <v>13</v>
      </c>
      <c r="D11" s="11">
        <f>'1_a_sz_ melléklet'!D27</f>
        <v>34912</v>
      </c>
    </row>
    <row r="12" spans="1:4" s="7" customFormat="1" ht="15">
      <c r="A12" s="8" t="s">
        <v>14</v>
      </c>
      <c r="B12" s="9">
        <f>'2_i_j_sz_ mell_'!E67</f>
        <v>14000</v>
      </c>
      <c r="C12" s="15"/>
      <c r="D12" s="13"/>
    </row>
    <row r="13" spans="1:4" s="7" customFormat="1" ht="9.75" customHeight="1">
      <c r="A13" s="8"/>
      <c r="B13" s="9"/>
      <c r="C13" s="12"/>
      <c r="D13" s="13"/>
    </row>
    <row r="14" spans="1:4" s="7" customFormat="1" ht="33" customHeight="1">
      <c r="A14" s="14" t="s">
        <v>15</v>
      </c>
      <c r="B14" s="9">
        <f>'2_sz_ melléklet'!D33</f>
        <v>4198</v>
      </c>
      <c r="C14" s="15" t="s">
        <v>16</v>
      </c>
      <c r="D14" s="11">
        <f>'1_a_sz_ melléklet'!D32</f>
        <v>298268</v>
      </c>
    </row>
    <row r="15" spans="1:4" s="7" customFormat="1" ht="8.25" customHeight="1">
      <c r="A15" s="8"/>
      <c r="B15" s="9"/>
      <c r="C15" s="12"/>
      <c r="D15" s="11"/>
    </row>
    <row r="16" spans="1:4" s="7" customFormat="1" ht="15">
      <c r="A16" s="8"/>
      <c r="B16" s="9">
        <f>'2_sz_ melléklet'!D39</f>
        <v>0</v>
      </c>
      <c r="C16" s="10" t="s">
        <v>17</v>
      </c>
      <c r="D16" s="11">
        <f>'1_a_sz_ melléklet'!D37</f>
        <v>6000</v>
      </c>
    </row>
    <row r="17" spans="1:4" s="7" customFormat="1" ht="8.25" customHeight="1">
      <c r="A17" s="16"/>
      <c r="B17" s="9"/>
      <c r="C17" s="12"/>
      <c r="D17" s="13"/>
    </row>
    <row r="18" spans="1:4" s="7" customFormat="1" ht="15">
      <c r="A18" s="16"/>
      <c r="B18" s="9"/>
      <c r="C18" s="10" t="s">
        <v>18</v>
      </c>
      <c r="D18" s="11">
        <f>D19+D20</f>
        <v>116662</v>
      </c>
    </row>
    <row r="19" spans="1:4" s="7" customFormat="1" ht="15">
      <c r="A19" s="16"/>
      <c r="B19" s="9"/>
      <c r="C19" s="12" t="s">
        <v>19</v>
      </c>
      <c r="D19" s="13">
        <f>'1_a_sz_ melléklet'!D40</f>
        <v>15000</v>
      </c>
    </row>
    <row r="20" spans="1:4" s="7" customFormat="1" ht="15">
      <c r="A20" s="16"/>
      <c r="B20" s="9"/>
      <c r="C20" s="12" t="s">
        <v>20</v>
      </c>
      <c r="D20" s="13">
        <f>'1_a_sz_ melléklet'!D41</f>
        <v>101662</v>
      </c>
    </row>
    <row r="21" spans="1:4" s="17" customFormat="1" ht="6.75" customHeight="1">
      <c r="A21" s="16"/>
      <c r="B21" s="9"/>
      <c r="C21" s="12"/>
      <c r="D21" s="13"/>
    </row>
    <row r="22" spans="1:4" s="22" customFormat="1" ht="15.75">
      <c r="A22" s="18" t="s">
        <v>21</v>
      </c>
      <c r="B22" s="19">
        <f>B16+B14+B11+B9+B6</f>
        <v>4149892.9946666667</v>
      </c>
      <c r="C22" s="20" t="s">
        <v>22</v>
      </c>
      <c r="D22" s="21">
        <f>D18+D14+D11+D9+D6+D16</f>
        <v>4433749</v>
      </c>
    </row>
    <row r="23" spans="1:4" s="22" customFormat="1" ht="11.25" customHeight="1">
      <c r="A23" s="23"/>
      <c r="B23" s="9"/>
      <c r="C23" s="10"/>
      <c r="D23" s="11"/>
    </row>
    <row r="24" spans="1:4" s="22" customFormat="1" ht="15.75">
      <c r="A24" s="24" t="s">
        <v>23</v>
      </c>
      <c r="B24" s="9">
        <f>'2_sz_ melléklet'!D39</f>
        <v>0</v>
      </c>
      <c r="C24" s="10"/>
      <c r="D24" s="11"/>
    </row>
    <row r="25" spans="1:4" s="22" customFormat="1" ht="15.75">
      <c r="A25" s="25" t="s">
        <v>24</v>
      </c>
      <c r="B25" s="9">
        <f>'2_sz_ melléklet'!D41</f>
        <v>0</v>
      </c>
      <c r="C25" s="10"/>
      <c r="D25" s="11"/>
    </row>
    <row r="26" spans="1:4" ht="12.75">
      <c r="A26" s="26" t="s">
        <v>25</v>
      </c>
      <c r="B26" s="27">
        <f>'2_sz_ melléklet'!D42</f>
        <v>0</v>
      </c>
      <c r="C26" s="12"/>
      <c r="D26" s="13"/>
    </row>
    <row r="27" spans="1:4" ht="8.25" customHeight="1">
      <c r="A27" s="8"/>
      <c r="B27" s="27"/>
      <c r="C27" s="12"/>
      <c r="D27" s="13"/>
    </row>
    <row r="28" spans="1:4" s="32" customFormat="1" ht="15">
      <c r="A28" s="28" t="s">
        <v>26</v>
      </c>
      <c r="B28" s="29">
        <f>B29+B30</f>
        <v>298284.0053333333</v>
      </c>
      <c r="C28" s="30" t="s">
        <v>27</v>
      </c>
      <c r="D28" s="31">
        <f>D29+D30</f>
        <v>14428</v>
      </c>
    </row>
    <row r="29" spans="1:4" s="32" customFormat="1" ht="15">
      <c r="A29" s="23" t="s">
        <v>24</v>
      </c>
      <c r="B29" s="33">
        <f>'2_sz_ melléklet'!D44</f>
        <v>298284.0053333333</v>
      </c>
      <c r="C29" s="34" t="s">
        <v>24</v>
      </c>
      <c r="D29" s="35">
        <f>'1_a_sz_ melléklet'!D47</f>
        <v>0</v>
      </c>
    </row>
    <row r="30" spans="1:4" s="32" customFormat="1" ht="15">
      <c r="A30" s="23" t="s">
        <v>25</v>
      </c>
      <c r="B30" s="33">
        <f>'2_sz_ melléklet'!D45</f>
        <v>0</v>
      </c>
      <c r="C30" s="34" t="s">
        <v>28</v>
      </c>
      <c r="D30" s="35">
        <f>'1_a_sz_ melléklet'!D48</f>
        <v>14428</v>
      </c>
    </row>
    <row r="31" spans="1:4" ht="12.75">
      <c r="A31" s="36"/>
      <c r="B31" s="37"/>
      <c r="C31" s="38"/>
      <c r="D31" s="39"/>
    </row>
    <row r="32" spans="1:4" s="22" customFormat="1" ht="15.75">
      <c r="A32" s="40" t="s">
        <v>29</v>
      </c>
      <c r="B32" s="41">
        <f>B28+B22</f>
        <v>4448177</v>
      </c>
      <c r="C32" s="42" t="s">
        <v>30</v>
      </c>
      <c r="D32" s="43">
        <f>D22+D28</f>
        <v>4448177</v>
      </c>
    </row>
  </sheetData>
  <sheetProtection/>
  <mergeCells count="4">
    <mergeCell ref="A2:D2"/>
    <mergeCell ref="A3:D3"/>
    <mergeCell ref="A4:B4"/>
    <mergeCell ref="C4:D4"/>
  </mergeCells>
  <printOptions/>
  <pageMargins left="0.75" right="0.75" top="1" bottom="1" header="0.5118055555555556" footer="0.5"/>
  <pageSetup horizontalDpi="300" verticalDpi="300" orientation="landscape" paperSize="9"/>
  <headerFooter alignWithMargins="0">
    <oddFooter>&amp;RKészült:2010.01.15.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237"/>
  <sheetViews>
    <sheetView tabSelected="1" zoomScalePageLayoutView="0" workbookViewId="0" topLeftCell="A67">
      <selection activeCell="B80" sqref="B80:B106"/>
    </sheetView>
  </sheetViews>
  <sheetFormatPr defaultColWidth="9.140625" defaultRowHeight="12.75"/>
  <cols>
    <col min="1" max="1" width="62.421875" style="0" customWidth="1"/>
    <col min="2" max="2" width="22.421875" style="0" customWidth="1"/>
  </cols>
  <sheetData>
    <row r="1" spans="1:2" ht="12.75">
      <c r="A1" s="1"/>
      <c r="B1" s="419" t="s">
        <v>313</v>
      </c>
    </row>
    <row r="2" spans="1:2" ht="15" customHeight="1">
      <c r="A2" s="1"/>
      <c r="B2" s="419"/>
    </row>
    <row r="3" spans="1:2" ht="15.75">
      <c r="A3" s="1046" t="s">
        <v>314</v>
      </c>
      <c r="B3" s="1046"/>
    </row>
    <row r="4" spans="1:2" ht="16.5" customHeight="1">
      <c r="A4" s="420"/>
      <c r="B4" s="420"/>
    </row>
    <row r="5" spans="1:2" ht="12.75">
      <c r="A5" s="1"/>
      <c r="B5" s="421" t="s">
        <v>33</v>
      </c>
    </row>
    <row r="6" spans="1:2" ht="27" customHeight="1">
      <c r="A6" s="422" t="s">
        <v>315</v>
      </c>
      <c r="B6" s="203" t="s">
        <v>180</v>
      </c>
    </row>
    <row r="7" spans="1:2" ht="15">
      <c r="A7" s="423" t="s">
        <v>316</v>
      </c>
      <c r="B7" s="424">
        <f>17272*1947/1000</f>
        <v>33628.584</v>
      </c>
    </row>
    <row r="8" spans="1:2" ht="12.75">
      <c r="A8" s="425" t="s">
        <v>317</v>
      </c>
      <c r="B8" s="424">
        <f>12*253.53+1</f>
        <v>3043.36</v>
      </c>
    </row>
    <row r="9" spans="1:2" ht="15">
      <c r="A9" s="423" t="s">
        <v>318</v>
      </c>
      <c r="B9" s="424">
        <f>18000*1</f>
        <v>18000</v>
      </c>
    </row>
    <row r="10" spans="1:2" ht="15">
      <c r="A10" s="423" t="s">
        <v>319</v>
      </c>
      <c r="B10" s="424">
        <f>58*494.1</f>
        <v>28657.800000000003</v>
      </c>
    </row>
    <row r="11" spans="1:2" ht="15">
      <c r="A11" s="423" t="s">
        <v>320</v>
      </c>
      <c r="B11" s="27">
        <f>3*65</f>
        <v>195</v>
      </c>
    </row>
    <row r="12" spans="1:2" ht="12.75">
      <c r="A12" s="426" t="s">
        <v>321</v>
      </c>
      <c r="B12" s="424">
        <f>37*2350/12*8</f>
        <v>57966.666666666664</v>
      </c>
    </row>
    <row r="13" spans="1:2" ht="12.75">
      <c r="A13" s="426" t="s">
        <v>322</v>
      </c>
      <c r="B13" s="424">
        <f>37.8*2350/12*4</f>
        <v>29610</v>
      </c>
    </row>
    <row r="14" spans="1:2" ht="12.75">
      <c r="A14" s="425" t="s">
        <v>323</v>
      </c>
      <c r="B14" s="424">
        <f>11.6*2350/12*8</f>
        <v>18173.333333333332</v>
      </c>
    </row>
    <row r="15" spans="1:2" ht="12.75">
      <c r="A15" s="425" t="s">
        <v>324</v>
      </c>
      <c r="B15" s="424">
        <f>7.7*2350/12*8</f>
        <v>12063.333333333334</v>
      </c>
    </row>
    <row r="16" spans="1:2" ht="12.75">
      <c r="A16" s="425" t="s">
        <v>325</v>
      </c>
      <c r="B16" s="424">
        <f>12.8*2350/12*8</f>
        <v>20053.333333333332</v>
      </c>
    </row>
    <row r="17" spans="1:2" ht="12.75">
      <c r="A17" s="425" t="s">
        <v>326</v>
      </c>
      <c r="B17" s="424">
        <f>11.3*2350/12*4</f>
        <v>8851.666666666666</v>
      </c>
    </row>
    <row r="18" spans="1:2" ht="12.75">
      <c r="A18" s="425" t="s">
        <v>327</v>
      </c>
      <c r="B18" s="424">
        <f>5.8*2350/12*4</f>
        <v>4543.333333333333</v>
      </c>
    </row>
    <row r="19" spans="1:2" ht="12.75">
      <c r="A19" s="425" t="s">
        <v>328</v>
      </c>
      <c r="B19" s="424">
        <f>11.1*2350/12*4</f>
        <v>8695</v>
      </c>
    </row>
    <row r="20" spans="1:2" ht="12.75">
      <c r="A20" s="427" t="s">
        <v>329</v>
      </c>
      <c r="B20" s="424">
        <f>18.1*2350/12*8</f>
        <v>28356.666666666668</v>
      </c>
    </row>
    <row r="21" spans="1:2" ht="12.75">
      <c r="A21" s="427" t="s">
        <v>330</v>
      </c>
      <c r="B21" s="424">
        <f>16.6*2350/12*4</f>
        <v>13003.333333333334</v>
      </c>
    </row>
    <row r="22" spans="1:2" ht="12.75">
      <c r="A22" s="427" t="s">
        <v>331</v>
      </c>
      <c r="B22" s="424">
        <f>11.1*2350/12*8</f>
        <v>17390</v>
      </c>
    </row>
    <row r="23" spans="1:2" ht="12.75">
      <c r="A23" s="427" t="s">
        <v>332</v>
      </c>
      <c r="B23" s="424">
        <f>10.9*2350/12*4</f>
        <v>8538.333333333334</v>
      </c>
    </row>
    <row r="24" spans="1:2" ht="12.75">
      <c r="A24" s="427" t="s">
        <v>333</v>
      </c>
      <c r="B24" s="424">
        <f>16*2350/12*8</f>
        <v>25066.666666666668</v>
      </c>
    </row>
    <row r="25" spans="1:2" ht="12.75">
      <c r="A25" s="427" t="s">
        <v>334</v>
      </c>
      <c r="B25" s="424">
        <f>11.9*2350/12*4</f>
        <v>9321.666666666666</v>
      </c>
    </row>
    <row r="26" spans="1:2" ht="12.75">
      <c r="A26" s="428" t="s">
        <v>335</v>
      </c>
      <c r="B26" s="424">
        <f>1*224/12*8</f>
        <v>149.33333333333334</v>
      </c>
    </row>
    <row r="27" spans="1:2" ht="24">
      <c r="A27" s="428" t="s">
        <v>336</v>
      </c>
      <c r="B27" s="424">
        <f>4*358.4/12*4</f>
        <v>477.8666666666666</v>
      </c>
    </row>
    <row r="28" spans="1:2" ht="24">
      <c r="A28" s="428" t="s">
        <v>337</v>
      </c>
      <c r="B28" s="424">
        <f>5*358.4/12*8</f>
        <v>1194.6666666666667</v>
      </c>
    </row>
    <row r="29" spans="1:2" ht="36">
      <c r="A29" s="428" t="s">
        <v>338</v>
      </c>
      <c r="B29" s="424">
        <f>30*179.2/12*4</f>
        <v>1792</v>
      </c>
    </row>
    <row r="30" spans="1:2" ht="24">
      <c r="A30" s="428" t="s">
        <v>339</v>
      </c>
      <c r="B30" s="424">
        <f>35*179.2/12*8</f>
        <v>4181.333333333333</v>
      </c>
    </row>
    <row r="31" spans="1:2" ht="25.5">
      <c r="A31" s="426" t="s">
        <v>340</v>
      </c>
      <c r="B31" s="424">
        <f>20*134.4/12*4</f>
        <v>896</v>
      </c>
    </row>
    <row r="32" spans="1:2" ht="25.5">
      <c r="A32" s="426" t="s">
        <v>341</v>
      </c>
      <c r="B32" s="424">
        <f>26*134.4/12*8</f>
        <v>2329.6</v>
      </c>
    </row>
    <row r="33" spans="1:2" ht="12.75">
      <c r="A33" s="429" t="s">
        <v>342</v>
      </c>
      <c r="B33" s="424">
        <f>62.3*2350/12*8</f>
        <v>97603.33333333333</v>
      </c>
    </row>
    <row r="34" spans="1:2" ht="12.75">
      <c r="A34" s="429" t="s">
        <v>343</v>
      </c>
      <c r="B34" s="424">
        <f>59.8*2350/12*4</f>
        <v>46843.333333333336</v>
      </c>
    </row>
    <row r="35" spans="1:2" ht="12.75">
      <c r="A35" s="429" t="s">
        <v>344</v>
      </c>
      <c r="B35" s="424">
        <f>22.9*2350/12*8</f>
        <v>35876.666666666664</v>
      </c>
    </row>
    <row r="36" spans="1:2" ht="12.75">
      <c r="A36" s="429" t="s">
        <v>345</v>
      </c>
      <c r="B36" s="424">
        <f>28.3*2350/12*4</f>
        <v>22168.333333333332</v>
      </c>
    </row>
    <row r="37" spans="1:2" ht="12.75">
      <c r="A37" s="429" t="s">
        <v>346</v>
      </c>
      <c r="B37" s="424">
        <f>30.4*2350/12*8</f>
        <v>47626.666666666664</v>
      </c>
    </row>
    <row r="38" spans="1:2" ht="12.75">
      <c r="A38" s="429" t="s">
        <v>347</v>
      </c>
      <c r="B38" s="424">
        <f>22.3*2350/12*4</f>
        <v>17468.333333333332</v>
      </c>
    </row>
    <row r="39" spans="1:2" ht="12.75">
      <c r="A39" s="429" t="s">
        <v>348</v>
      </c>
      <c r="B39" s="424">
        <f>5.9*2350/12*4</f>
        <v>4621.666666666667</v>
      </c>
    </row>
    <row r="40" spans="1:2" ht="12.75">
      <c r="A40" s="426" t="s">
        <v>349</v>
      </c>
      <c r="B40" s="424">
        <f>28.7*2350/12*4</f>
        <v>22481.666666666668</v>
      </c>
    </row>
    <row r="41" spans="1:2" ht="12.75">
      <c r="A41" s="428" t="s">
        <v>350</v>
      </c>
      <c r="B41" s="424">
        <f>27.8*2350/12*8</f>
        <v>43553.333333333336</v>
      </c>
    </row>
    <row r="42" spans="1:2" ht="12.75">
      <c r="A42" s="426" t="s">
        <v>351</v>
      </c>
      <c r="B42" s="424"/>
    </row>
    <row r="43" spans="1:2" ht="12.75">
      <c r="A43" s="429" t="s">
        <v>352</v>
      </c>
      <c r="B43" s="424">
        <f>210*35/12*4</f>
        <v>2450</v>
      </c>
    </row>
    <row r="44" spans="1:2" ht="12.75">
      <c r="A44" s="429" t="s">
        <v>353</v>
      </c>
      <c r="B44" s="424">
        <f>214*35/12*8</f>
        <v>4993.333333333333</v>
      </c>
    </row>
    <row r="45" spans="1:2" ht="12.75">
      <c r="A45" s="429" t="s">
        <v>354</v>
      </c>
      <c r="B45" s="424">
        <f>7*98/12*8</f>
        <v>457.3333333333333</v>
      </c>
    </row>
    <row r="46" spans="1:2" ht="12.75">
      <c r="A46" s="429" t="s">
        <v>355</v>
      </c>
      <c r="B46" s="424">
        <f>16*98/12*4</f>
        <v>522.6666666666666</v>
      </c>
    </row>
    <row r="47" spans="1:2" ht="12.75">
      <c r="A47" s="430" t="s">
        <v>356</v>
      </c>
      <c r="B47" s="424">
        <f>50*137.2/12*4</f>
        <v>2286.6666666666665</v>
      </c>
    </row>
    <row r="48" spans="1:2" ht="12.75">
      <c r="A48" s="429" t="s">
        <v>357</v>
      </c>
      <c r="B48" s="424">
        <f>47*137.2/12*8</f>
        <v>4298.933333333333</v>
      </c>
    </row>
    <row r="49" spans="1:2" ht="12.75">
      <c r="A49" s="430" t="s">
        <v>358</v>
      </c>
      <c r="B49" s="424">
        <f>121*19.6/12*4</f>
        <v>790.5333333333334</v>
      </c>
    </row>
    <row r="50" spans="1:2" ht="12.75">
      <c r="A50" s="430" t="s">
        <v>359</v>
      </c>
      <c r="B50" s="424">
        <f>139*19.6/12*8</f>
        <v>1816.2666666666667</v>
      </c>
    </row>
    <row r="51" spans="1:2" ht="12.75">
      <c r="A51" s="1055">
        <v>2</v>
      </c>
      <c r="B51" s="1055"/>
    </row>
    <row r="52" spans="1:2" ht="12.75">
      <c r="A52" s="1"/>
      <c r="B52" s="419" t="s">
        <v>313</v>
      </c>
    </row>
    <row r="53" spans="1:2" ht="10.5" customHeight="1">
      <c r="A53" s="1"/>
      <c r="B53" s="1"/>
    </row>
    <row r="54" spans="1:2" ht="15.75">
      <c r="A54" s="1046" t="s">
        <v>314</v>
      </c>
      <c r="B54" s="1046"/>
    </row>
    <row r="55" spans="1:2" ht="9.75" customHeight="1">
      <c r="A55" s="420"/>
      <c r="B55" s="420"/>
    </row>
    <row r="56" spans="1:2" ht="12.75">
      <c r="A56" s="1"/>
      <c r="B56" s="421" t="s">
        <v>33</v>
      </c>
    </row>
    <row r="57" spans="1:2" ht="12.75">
      <c r="A57" s="422" t="s">
        <v>315</v>
      </c>
      <c r="B57" s="431" t="s">
        <v>180</v>
      </c>
    </row>
    <row r="58" spans="1:2" ht="12.75">
      <c r="A58" s="430" t="s">
        <v>360</v>
      </c>
      <c r="B58" s="424">
        <f>22*58.8/12*4</f>
        <v>431.2</v>
      </c>
    </row>
    <row r="59" spans="1:2" ht="12.75">
      <c r="A59" s="430" t="s">
        <v>361</v>
      </c>
      <c r="B59" s="424">
        <f>27*58.8/12*8</f>
        <v>1058.3999999999999</v>
      </c>
    </row>
    <row r="60" spans="1:2" ht="12.75">
      <c r="A60" s="430" t="s">
        <v>362</v>
      </c>
      <c r="B60" s="424">
        <f>2*134.4/12*4</f>
        <v>89.60000000000001</v>
      </c>
    </row>
    <row r="61" spans="1:2" ht="12.75">
      <c r="A61" s="430" t="s">
        <v>363</v>
      </c>
      <c r="B61" s="424">
        <f>2*134.4/12*8</f>
        <v>179.20000000000002</v>
      </c>
    </row>
    <row r="62" spans="1:2" ht="12.75">
      <c r="A62" s="430" t="s">
        <v>364</v>
      </c>
      <c r="B62" s="424">
        <f>11*240</f>
        <v>2640</v>
      </c>
    </row>
    <row r="63" spans="1:2" ht="12.75">
      <c r="A63" s="430" t="s">
        <v>365</v>
      </c>
      <c r="B63" s="424">
        <f>2*305</f>
        <v>610</v>
      </c>
    </row>
    <row r="64" spans="1:2" ht="12.75">
      <c r="A64" s="429" t="s">
        <v>366</v>
      </c>
      <c r="B64" s="424">
        <f>5.8*2350*8/12</f>
        <v>9086.666666666666</v>
      </c>
    </row>
    <row r="65" spans="1:2" ht="12.75">
      <c r="A65" s="429" t="s">
        <v>367</v>
      </c>
      <c r="B65" s="424">
        <f>0.8*2350*8/12</f>
        <v>1253.3333333333333</v>
      </c>
    </row>
    <row r="66" spans="1:2" ht="12.75">
      <c r="A66" s="432" t="s">
        <v>368</v>
      </c>
      <c r="B66" s="424">
        <f>5.8*2350000*4/12/1000</f>
        <v>4543.333333333333</v>
      </c>
    </row>
    <row r="67" spans="1:2" ht="12.75">
      <c r="A67" s="432" t="s">
        <v>369</v>
      </c>
      <c r="B67" s="424">
        <f>0.8*2350*4/12</f>
        <v>626.6666666666666</v>
      </c>
    </row>
    <row r="68" spans="1:2" ht="12.75">
      <c r="A68" s="425" t="s">
        <v>370</v>
      </c>
      <c r="B68" s="424">
        <f>274*44.9*8/12</f>
        <v>8201.733333333334</v>
      </c>
    </row>
    <row r="69" spans="1:2" ht="12.75">
      <c r="A69" s="425" t="s">
        <v>371</v>
      </c>
      <c r="B69" s="424">
        <f>274*44.9*4/12</f>
        <v>4100.866666666667</v>
      </c>
    </row>
    <row r="70" spans="1:2" ht="12.75">
      <c r="A70" s="425" t="s">
        <v>372</v>
      </c>
      <c r="B70" s="424">
        <f>94*17.6*8/12</f>
        <v>1102.9333333333334</v>
      </c>
    </row>
    <row r="71" spans="1:2" ht="12.75">
      <c r="A71" s="425" t="s">
        <v>373</v>
      </c>
      <c r="B71" s="424">
        <f>94*17.6*4/12</f>
        <v>551.4666666666667</v>
      </c>
    </row>
    <row r="72" spans="1:2" ht="12.75">
      <c r="A72" s="430" t="s">
        <v>374</v>
      </c>
      <c r="B72" s="424">
        <f>3.7*2350/12*4</f>
        <v>2898.3333333333335</v>
      </c>
    </row>
    <row r="73" spans="1:2" ht="12.75">
      <c r="A73" s="430" t="s">
        <v>375</v>
      </c>
      <c r="B73" s="424">
        <f>3.8*2350/12*8</f>
        <v>5953.333333333333</v>
      </c>
    </row>
    <row r="74" spans="1:2" ht="12.75">
      <c r="A74" s="429" t="s">
        <v>376</v>
      </c>
      <c r="B74" s="424">
        <f>72*165/12*4</f>
        <v>3960</v>
      </c>
    </row>
    <row r="75" spans="1:2" ht="12.75">
      <c r="A75" s="429" t="s">
        <v>377</v>
      </c>
      <c r="B75" s="433">
        <f>73*165/12*8</f>
        <v>8030</v>
      </c>
    </row>
    <row r="76" spans="1:2" ht="12.75">
      <c r="A76" s="430" t="s">
        <v>378</v>
      </c>
      <c r="B76" s="424">
        <f>3.7*2350/12*8</f>
        <v>5796.666666666667</v>
      </c>
    </row>
    <row r="77" spans="1:2" ht="12.75">
      <c r="A77" s="430" t="s">
        <v>379</v>
      </c>
      <c r="B77" s="424">
        <f>0.7*2350/12*8</f>
        <v>1096.6666666666667</v>
      </c>
    </row>
    <row r="78" spans="1:2" ht="12.75">
      <c r="A78" s="430" t="s">
        <v>380</v>
      </c>
      <c r="B78" s="424">
        <f>3.5*2350/12*4</f>
        <v>2741.6666666666665</v>
      </c>
    </row>
    <row r="79" spans="1:2" ht="12.75">
      <c r="A79" s="427" t="s">
        <v>381</v>
      </c>
      <c r="B79" s="424">
        <f>0.6*2350/12*4</f>
        <v>470</v>
      </c>
    </row>
    <row r="80" spans="1:2" ht="12.75">
      <c r="A80" s="427" t="s">
        <v>382</v>
      </c>
      <c r="B80" s="424">
        <f>35*64/12*4</f>
        <v>746.6666666666666</v>
      </c>
    </row>
    <row r="81" spans="1:2" ht="12.75">
      <c r="A81" s="427" t="s">
        <v>383</v>
      </c>
      <c r="B81" s="424">
        <f>26*64/12*8</f>
        <v>1109.3333333333333</v>
      </c>
    </row>
    <row r="82" spans="1:2" ht="12.75">
      <c r="A82" s="425" t="s">
        <v>384</v>
      </c>
      <c r="B82" s="424">
        <f>149*65</f>
        <v>9685</v>
      </c>
    </row>
    <row r="83" spans="1:2" ht="12.75">
      <c r="A83" s="425" t="s">
        <v>385</v>
      </c>
      <c r="B83" s="424">
        <f>298*65</f>
        <v>19370</v>
      </c>
    </row>
    <row r="84" spans="1:2" ht="12.75">
      <c r="A84" s="425" t="s">
        <v>386</v>
      </c>
      <c r="B84" s="424">
        <f>49*65</f>
        <v>3185</v>
      </c>
    </row>
    <row r="85" spans="1:2" ht="12.75">
      <c r="A85" s="425" t="s">
        <v>387</v>
      </c>
      <c r="B85" s="424">
        <f>16*65</f>
        <v>1040</v>
      </c>
    </row>
    <row r="86" spans="1:2" ht="12.75">
      <c r="A86" s="425" t="s">
        <v>388</v>
      </c>
      <c r="B86" s="424">
        <f>42*65</f>
        <v>2730</v>
      </c>
    </row>
    <row r="87" spans="1:2" ht="12.75">
      <c r="A87" s="428" t="s">
        <v>389</v>
      </c>
      <c r="B87" s="424">
        <f>69*20</f>
        <v>1380</v>
      </c>
    </row>
    <row r="88" spans="1:2" ht="12.75">
      <c r="A88" s="427" t="s">
        <v>390</v>
      </c>
      <c r="B88" s="424">
        <f>942*15.3/12*8</f>
        <v>9608.4</v>
      </c>
    </row>
    <row r="89" spans="1:2" ht="12.75">
      <c r="A89" s="427" t="s">
        <v>391</v>
      </c>
      <c r="B89" s="424">
        <f>955*15.3/12*4</f>
        <v>4870.5</v>
      </c>
    </row>
    <row r="90" spans="1:2" ht="12.75">
      <c r="A90" s="427" t="s">
        <v>392</v>
      </c>
      <c r="B90" s="424">
        <f>47*36.3/12*8</f>
        <v>1137.3999999999999</v>
      </c>
    </row>
    <row r="91" spans="1:2" ht="12.75">
      <c r="A91" s="425" t="s">
        <v>393</v>
      </c>
      <c r="B91" s="424">
        <f>50*36.3/12*4</f>
        <v>604.9999999999999</v>
      </c>
    </row>
    <row r="92" spans="1:2" ht="12.75">
      <c r="A92" s="425" t="s">
        <v>394</v>
      </c>
      <c r="B92" s="424">
        <f>39*36.3/12*8</f>
        <v>943.7999999999998</v>
      </c>
    </row>
    <row r="93" spans="1:2" ht="12.75">
      <c r="A93" s="425" t="s">
        <v>395</v>
      </c>
      <c r="B93" s="424">
        <f>58*36.3/12*4</f>
        <v>701.7999999999998</v>
      </c>
    </row>
    <row r="94" spans="1:2" ht="12.75">
      <c r="A94" s="425" t="s">
        <v>396</v>
      </c>
      <c r="B94" s="424">
        <f>48*36.3/12*8</f>
        <v>1161.6</v>
      </c>
    </row>
    <row r="95" spans="1:2" ht="12.75">
      <c r="A95" s="425" t="s">
        <v>397</v>
      </c>
      <c r="B95" s="424">
        <f>25*36.3/12*4</f>
        <v>302.49999999999994</v>
      </c>
    </row>
    <row r="96" spans="1:2" ht="12.75">
      <c r="A96" s="427" t="s">
        <v>398</v>
      </c>
      <c r="B96" s="424">
        <f>48*2.612</f>
        <v>125.376</v>
      </c>
    </row>
    <row r="97" spans="1:2" ht="12.75">
      <c r="A97" s="425" t="s">
        <v>399</v>
      </c>
      <c r="B97" s="424"/>
    </row>
    <row r="98" spans="1:2" ht="12.75">
      <c r="A98" s="427" t="s">
        <v>400</v>
      </c>
      <c r="B98" s="424">
        <v>3000</v>
      </c>
    </row>
    <row r="99" spans="1:2" ht="13.5">
      <c r="A99" s="425" t="s">
        <v>401</v>
      </c>
      <c r="B99" s="434">
        <f>30.638*276</f>
        <v>8456.088</v>
      </c>
    </row>
    <row r="100" spans="1:2" ht="13.5">
      <c r="A100" s="425" t="s">
        <v>402</v>
      </c>
      <c r="B100" s="434">
        <f>44.685*229</f>
        <v>10232.865</v>
      </c>
    </row>
    <row r="101" spans="1:2" ht="13.5">
      <c r="A101" s="425" t="s">
        <v>403</v>
      </c>
      <c r="B101" s="434">
        <f>44.685*56+1</f>
        <v>2503.36</v>
      </c>
    </row>
    <row r="102" spans="1:2" ht="13.5">
      <c r="A102" s="425" t="s">
        <v>404</v>
      </c>
      <c r="B102" s="434">
        <f>0.527*7729</f>
        <v>4073.183</v>
      </c>
    </row>
    <row r="103" spans="1:2" ht="13.5">
      <c r="A103" s="425" t="s">
        <v>405</v>
      </c>
      <c r="B103" s="434">
        <v>120990</v>
      </c>
    </row>
    <row r="104" spans="1:2" ht="12.75">
      <c r="A104" s="428" t="s">
        <v>406</v>
      </c>
      <c r="B104" s="424">
        <f>205*55.363</f>
        <v>11349.414999999999</v>
      </c>
    </row>
    <row r="105" spans="1:2" ht="12.75">
      <c r="A105" s="425" t="s">
        <v>407</v>
      </c>
      <c r="B105" s="424">
        <f>1236*10</f>
        <v>12360</v>
      </c>
    </row>
    <row r="106" spans="1:2" ht="12.75">
      <c r="A106" s="427" t="s">
        <v>408</v>
      </c>
      <c r="B106" s="424">
        <f>2693*1</f>
        <v>2693</v>
      </c>
    </row>
    <row r="107" spans="1:2" ht="12.75">
      <c r="A107" s="435" t="s">
        <v>409</v>
      </c>
      <c r="B107" s="436">
        <f>SUM(B7:B106)</f>
        <v>1011820.2976666667</v>
      </c>
    </row>
    <row r="108" spans="1:2" ht="12.75">
      <c r="A108" s="437"/>
      <c r="B108" s="438"/>
    </row>
    <row r="109" spans="1:2" ht="12.75">
      <c r="A109" s="437"/>
      <c r="B109" s="438"/>
    </row>
    <row r="110" spans="1:2" ht="12.75">
      <c r="A110" s="1055">
        <v>3</v>
      </c>
      <c r="B110" s="1055"/>
    </row>
    <row r="111" spans="1:2" ht="12.75">
      <c r="A111" s="198"/>
      <c r="B111" s="419"/>
    </row>
    <row r="112" spans="1:2" ht="12.75">
      <c r="A112" s="1"/>
      <c r="B112" s="419" t="s">
        <v>410</v>
      </c>
    </row>
    <row r="113" spans="1:2" ht="12.75">
      <c r="A113" s="1"/>
      <c r="B113" s="1"/>
    </row>
    <row r="114" spans="1:2" ht="15.75">
      <c r="A114" s="1046" t="s">
        <v>411</v>
      </c>
      <c r="B114" s="1046"/>
    </row>
    <row r="115" spans="1:2" ht="12.75">
      <c r="A115" s="1"/>
      <c r="B115" s="1"/>
    </row>
    <row r="116" spans="1:2" ht="12.75">
      <c r="A116" s="1"/>
      <c r="B116" s="421" t="s">
        <v>33</v>
      </c>
    </row>
    <row r="117" spans="1:2" ht="12.75">
      <c r="A117" s="439" t="s">
        <v>315</v>
      </c>
      <c r="B117" s="440" t="s">
        <v>180</v>
      </c>
    </row>
    <row r="118" spans="1:2" ht="12.75">
      <c r="A118" s="147" t="s">
        <v>412</v>
      </c>
      <c r="B118" s="441"/>
    </row>
    <row r="119" spans="1:2" ht="12.75">
      <c r="A119" s="154" t="s">
        <v>413</v>
      </c>
      <c r="B119" s="155"/>
    </row>
    <row r="120" spans="1:2" ht="12.75">
      <c r="A120" s="154" t="s">
        <v>414</v>
      </c>
      <c r="B120" s="155">
        <v>0</v>
      </c>
    </row>
    <row r="121" spans="1:2" ht="12.75">
      <c r="A121" s="154" t="s">
        <v>415</v>
      </c>
      <c r="B121" s="155">
        <f>16*9.4</f>
        <v>150.4</v>
      </c>
    </row>
    <row r="122" spans="1:2" ht="12.75">
      <c r="A122" s="160" t="s">
        <v>416</v>
      </c>
      <c r="B122" s="161">
        <f>SUM(B119:B121)</f>
        <v>150.4</v>
      </c>
    </row>
    <row r="123" spans="1:2" ht="12.75">
      <c r="A123" s="435" t="s">
        <v>417</v>
      </c>
      <c r="B123" s="436"/>
    </row>
    <row r="124" spans="1:2" ht="12.75">
      <c r="A124" s="429" t="s">
        <v>418</v>
      </c>
      <c r="B124" s="436"/>
    </row>
    <row r="125" spans="1:2" ht="13.5">
      <c r="A125" s="429" t="s">
        <v>419</v>
      </c>
      <c r="B125" s="424">
        <f>68*3620.169</f>
        <v>246171.492</v>
      </c>
    </row>
    <row r="126" spans="1:2" ht="12.75">
      <c r="A126" s="429" t="s">
        <v>420</v>
      </c>
      <c r="B126" s="436"/>
    </row>
    <row r="127" spans="1:2" ht="13.5">
      <c r="A127" s="429" t="s">
        <v>421</v>
      </c>
      <c r="B127" s="424">
        <f>1083*4.897+1</f>
        <v>5304.451</v>
      </c>
    </row>
    <row r="128" spans="1:2" ht="13.5">
      <c r="A128" s="429" t="s">
        <v>422</v>
      </c>
      <c r="B128" s="424">
        <f>87133*0.138</f>
        <v>12024.354000000001</v>
      </c>
    </row>
    <row r="129" spans="1:2" ht="12.75">
      <c r="A129" s="429" t="s">
        <v>423</v>
      </c>
      <c r="B129" s="424">
        <f>3*500</f>
        <v>1500</v>
      </c>
    </row>
    <row r="130" spans="1:2" ht="13.5">
      <c r="A130" s="429" t="s">
        <v>424</v>
      </c>
      <c r="B130" s="436"/>
    </row>
    <row r="131" spans="1:2" ht="12.75">
      <c r="A131" s="435" t="s">
        <v>416</v>
      </c>
      <c r="B131" s="436">
        <f>SUM(B125:B130)-1</f>
        <v>264999.297</v>
      </c>
    </row>
    <row r="132" spans="1:2" ht="12.75">
      <c r="A132" s="435" t="s">
        <v>425</v>
      </c>
      <c r="B132" s="436">
        <f>B131+B122-1</f>
        <v>265148.69700000004</v>
      </c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  <row r="218" spans="1:2" ht="12.75">
      <c r="A218" s="1"/>
      <c r="B218" s="1"/>
    </row>
    <row r="219" spans="1:2" ht="12.75">
      <c r="A219" s="1"/>
      <c r="B219" s="1"/>
    </row>
    <row r="220" spans="1:2" ht="12.75">
      <c r="A220" s="1"/>
      <c r="B220" s="1"/>
    </row>
    <row r="221" spans="1:2" ht="12.75">
      <c r="A221" s="1"/>
      <c r="B221" s="1"/>
    </row>
    <row r="222" spans="1:2" ht="12.75">
      <c r="A222" s="1"/>
      <c r="B222" s="1"/>
    </row>
    <row r="223" spans="1:2" ht="12.75">
      <c r="A223" s="1"/>
      <c r="B223" s="1"/>
    </row>
    <row r="224" spans="1:2" ht="12.75">
      <c r="A224" s="1"/>
      <c r="B224" s="1"/>
    </row>
    <row r="225" spans="1:2" ht="12.75">
      <c r="A225" s="1"/>
      <c r="B225" s="1"/>
    </row>
    <row r="226" spans="1:2" ht="12.75">
      <c r="A226" s="1"/>
      <c r="B226" s="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</sheetData>
  <sheetProtection/>
  <mergeCells count="5">
    <mergeCell ref="A3:B3"/>
    <mergeCell ref="A51:B51"/>
    <mergeCell ref="A54:B54"/>
    <mergeCell ref="A110:B110"/>
    <mergeCell ref="A114:B114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D99"/>
  <sheetViews>
    <sheetView zoomScalePageLayoutView="0" workbookViewId="0" topLeftCell="A74">
      <selection activeCell="A55" sqref="A55"/>
    </sheetView>
  </sheetViews>
  <sheetFormatPr defaultColWidth="9.140625" defaultRowHeight="12.75"/>
  <cols>
    <col min="1" max="1" width="47.28125" style="0" customWidth="1"/>
    <col min="2" max="2" width="12.140625" style="0" customWidth="1"/>
    <col min="3" max="3" width="13.57421875" style="0" customWidth="1"/>
    <col min="4" max="4" width="13.8515625" style="0" customWidth="1"/>
  </cols>
  <sheetData>
    <row r="4" spans="1:4" ht="14.25">
      <c r="A4" s="1043" t="s">
        <v>426</v>
      </c>
      <c r="B4" s="1043"/>
      <c r="C4" s="1043"/>
      <c r="D4" s="1043"/>
    </row>
    <row r="5" ht="15.75">
      <c r="A5" s="47"/>
    </row>
    <row r="6" spans="1:4" ht="15.75">
      <c r="A6" s="1042" t="s">
        <v>427</v>
      </c>
      <c r="B6" s="1042"/>
      <c r="C6" s="1042"/>
      <c r="D6" s="1042"/>
    </row>
    <row r="7" spans="1:4" ht="15.75">
      <c r="A7" s="45"/>
      <c r="B7" s="46"/>
      <c r="C7" s="46"/>
      <c r="D7" s="46"/>
    </row>
    <row r="8" spans="1:4" ht="15.75">
      <c r="A8" s="45"/>
      <c r="B8" s="46"/>
      <c r="C8" s="46"/>
      <c r="D8" s="46"/>
    </row>
    <row r="9" spans="1:4" ht="12.75">
      <c r="A9" s="1053" t="s">
        <v>218</v>
      </c>
      <c r="B9" s="1053"/>
      <c r="C9" s="1053"/>
      <c r="D9" s="1053"/>
    </row>
    <row r="10" spans="1:4" ht="15.75">
      <c r="A10" s="408" t="s">
        <v>428</v>
      </c>
      <c r="B10" s="442"/>
      <c r="C10" s="1056" t="s">
        <v>220</v>
      </c>
      <c r="D10" s="1056"/>
    </row>
    <row r="11" spans="1:4" ht="12.75">
      <c r="A11" s="320"/>
      <c r="B11" s="443"/>
      <c r="C11" s="1057" t="s">
        <v>39</v>
      </c>
      <c r="D11" s="1057"/>
    </row>
    <row r="12" spans="1:4" ht="12.75">
      <c r="A12" s="109" t="s">
        <v>429</v>
      </c>
      <c r="B12" s="55"/>
      <c r="C12" s="444"/>
      <c r="D12" s="445"/>
    </row>
    <row r="13" spans="1:4" ht="12.75">
      <c r="A13" s="109"/>
      <c r="B13" s="446"/>
      <c r="C13" s="447"/>
      <c r="D13" s="448"/>
    </row>
    <row r="14" spans="1:4" ht="12.75">
      <c r="A14" s="109"/>
      <c r="B14" s="446"/>
      <c r="C14" s="447"/>
      <c r="D14" s="448"/>
    </row>
    <row r="15" spans="1:4" ht="12.75">
      <c r="A15" s="252"/>
      <c r="B15" s="55"/>
      <c r="C15" s="447"/>
      <c r="D15" s="448"/>
    </row>
    <row r="16" spans="1:4" ht="12.75">
      <c r="A16" s="109"/>
      <c r="B16" s="446"/>
      <c r="C16" s="447"/>
      <c r="D16" s="448"/>
    </row>
    <row r="17" spans="1:4" ht="12.75">
      <c r="A17" s="108"/>
      <c r="B17" s="446"/>
      <c r="C17" s="447"/>
      <c r="D17" s="448"/>
    </row>
    <row r="18" spans="1:4" ht="12.75">
      <c r="A18" s="252"/>
      <c r="B18" s="55"/>
      <c r="C18" s="449"/>
      <c r="D18" s="450"/>
    </row>
    <row r="19" spans="1:4" ht="12.75">
      <c r="A19" s="111" t="s">
        <v>430</v>
      </c>
      <c r="B19" s="451"/>
      <c r="C19" s="452"/>
      <c r="D19" s="453">
        <f>SUM(D12:D18)</f>
        <v>0</v>
      </c>
    </row>
    <row r="20" spans="1:4" ht="12.75">
      <c r="A20" s="111" t="s">
        <v>431</v>
      </c>
      <c r="B20" s="451"/>
      <c r="C20" s="452"/>
      <c r="D20" s="453">
        <v>314650</v>
      </c>
    </row>
    <row r="21" spans="1:4" ht="12.75">
      <c r="A21" s="399"/>
      <c r="B21" s="55"/>
      <c r="C21" s="454"/>
      <c r="D21" s="454"/>
    </row>
    <row r="22" spans="1:4" ht="12.75">
      <c r="A22" s="399"/>
      <c r="B22" s="55"/>
      <c r="C22" s="454"/>
      <c r="D22" s="454"/>
    </row>
    <row r="24" spans="1:4" ht="14.25">
      <c r="A24" s="1043" t="s">
        <v>432</v>
      </c>
      <c r="B24" s="1043"/>
      <c r="C24" s="1043"/>
      <c r="D24" s="1043"/>
    </row>
    <row r="26" spans="1:4" ht="15.75">
      <c r="A26" s="1042" t="s">
        <v>433</v>
      </c>
      <c r="B26" s="1042"/>
      <c r="C26" s="1042"/>
      <c r="D26" s="1042"/>
    </row>
    <row r="27" ht="15.75">
      <c r="A27" s="47"/>
    </row>
    <row r="28" spans="1:4" ht="12.75">
      <c r="A28" s="1053" t="s">
        <v>434</v>
      </c>
      <c r="B28" s="1053"/>
      <c r="C28" s="1053"/>
      <c r="D28" s="1053"/>
    </row>
    <row r="29" spans="1:4" ht="15.75">
      <c r="A29" s="408" t="s">
        <v>428</v>
      </c>
      <c r="B29" s="442"/>
      <c r="C29" s="1056" t="s">
        <v>220</v>
      </c>
      <c r="D29" s="1056"/>
    </row>
    <row r="30" spans="1:4" ht="12.75">
      <c r="A30" s="320"/>
      <c r="B30" s="443"/>
      <c r="C30" s="1057" t="s">
        <v>39</v>
      </c>
      <c r="D30" s="1057"/>
    </row>
    <row r="31" spans="1:4" ht="12.75">
      <c r="A31" s="252" t="s">
        <v>435</v>
      </c>
      <c r="B31" s="55"/>
      <c r="C31" s="455"/>
      <c r="D31" s="456"/>
    </row>
    <row r="32" spans="1:4" ht="12.75">
      <c r="A32" s="109" t="s">
        <v>436</v>
      </c>
      <c r="B32" s="446"/>
      <c r="C32" s="457"/>
      <c r="D32" s="458">
        <v>0</v>
      </c>
    </row>
    <row r="33" spans="1:4" ht="12.75">
      <c r="A33" s="109" t="s">
        <v>437</v>
      </c>
      <c r="B33" s="446"/>
      <c r="C33" s="457"/>
      <c r="D33" s="458"/>
    </row>
    <row r="34" spans="1:4" ht="12.75">
      <c r="A34" s="109" t="s">
        <v>438</v>
      </c>
      <c r="B34" s="459"/>
      <c r="C34" s="1058">
        <v>0</v>
      </c>
      <c r="D34" s="1058"/>
    </row>
    <row r="35" spans="1:4" ht="12.75">
      <c r="A35" s="252" t="s">
        <v>439</v>
      </c>
      <c r="B35" s="55"/>
      <c r="C35" s="1059">
        <v>0</v>
      </c>
      <c r="D35" s="1059"/>
    </row>
    <row r="36" spans="1:4" ht="12.75">
      <c r="A36" s="111" t="s">
        <v>440</v>
      </c>
      <c r="B36" s="451"/>
      <c r="C36" s="461"/>
      <c r="D36" s="462">
        <f>SUM(D31+D32+C34+C35)</f>
        <v>0</v>
      </c>
    </row>
    <row r="37" spans="1:4" ht="12.75">
      <c r="A37" s="399"/>
      <c r="B37" s="55"/>
      <c r="C37" s="454"/>
      <c r="D37" s="454"/>
    </row>
    <row r="38" spans="1:4" ht="12.75">
      <c r="A38" s="399"/>
      <c r="B38" s="55"/>
      <c r="C38" s="454"/>
      <c r="D38" s="454"/>
    </row>
    <row r="55" spans="1:4" ht="14.25">
      <c r="A55" s="44"/>
      <c r="B55" s="44"/>
      <c r="C55" s="44"/>
      <c r="D55" s="44" t="s">
        <v>441</v>
      </c>
    </row>
    <row r="56" spans="1:4" ht="14.25">
      <c r="A56" s="44"/>
      <c r="B56" s="44"/>
      <c r="C56" s="44"/>
      <c r="D56" s="44"/>
    </row>
    <row r="58" spans="1:4" ht="15.75">
      <c r="A58" s="1042" t="s">
        <v>442</v>
      </c>
      <c r="B58" s="1042"/>
      <c r="C58" s="1042"/>
      <c r="D58" s="1042"/>
    </row>
    <row r="59" spans="1:4" ht="15.75">
      <c r="A59" s="45"/>
      <c r="B59" s="45"/>
      <c r="C59" s="45"/>
      <c r="D59" s="45"/>
    </row>
    <row r="60" spans="1:4" ht="15.75">
      <c r="A60" s="45"/>
      <c r="B60" s="45"/>
      <c r="C60" s="45"/>
      <c r="D60" s="45"/>
    </row>
    <row r="61" spans="1:4" ht="12.75">
      <c r="A61" s="463"/>
      <c r="B61" s="463"/>
      <c r="C61" s="463"/>
      <c r="D61" s="463" t="s">
        <v>434</v>
      </c>
    </row>
    <row r="62" spans="1:4" ht="15.75">
      <c r="A62" s="408" t="s">
        <v>428</v>
      </c>
      <c r="B62" s="51" t="s">
        <v>443</v>
      </c>
      <c r="C62" s="442" t="s">
        <v>444</v>
      </c>
      <c r="D62" s="51" t="s">
        <v>220</v>
      </c>
    </row>
    <row r="63" spans="1:4" ht="12.75">
      <c r="A63" s="252"/>
      <c r="B63" s="70" t="s">
        <v>39</v>
      </c>
      <c r="C63" s="399" t="s">
        <v>39</v>
      </c>
      <c r="D63" s="70" t="s">
        <v>39</v>
      </c>
    </row>
    <row r="64" spans="1:4" s="293" customFormat="1" ht="12.75">
      <c r="A64" s="464" t="s">
        <v>445</v>
      </c>
      <c r="B64" s="63">
        <f>SUM(B65:B69)</f>
        <v>269073</v>
      </c>
      <c r="C64" s="63">
        <f>C70</f>
        <v>134477</v>
      </c>
      <c r="D64" s="260">
        <f>SUM(B64:C64)</f>
        <v>403550</v>
      </c>
    </row>
    <row r="65" spans="1:4" s="55" customFormat="1" ht="12.75">
      <c r="A65" s="108" t="s">
        <v>446</v>
      </c>
      <c r="B65" s="68">
        <v>266650</v>
      </c>
      <c r="C65" s="89"/>
      <c r="D65" s="465">
        <f aca="true" t="shared" si="0" ref="D65:D99">SUM(B65:C65)</f>
        <v>266650</v>
      </c>
    </row>
    <row r="66" spans="1:4" s="55" customFormat="1" ht="12.75">
      <c r="A66" s="109" t="s">
        <v>447</v>
      </c>
      <c r="B66" s="310">
        <v>2423</v>
      </c>
      <c r="C66" s="57"/>
      <c r="D66" s="466">
        <f t="shared" si="0"/>
        <v>2423</v>
      </c>
    </row>
    <row r="67" spans="1:4" s="55" customFormat="1" ht="12.75">
      <c r="A67" s="109" t="s">
        <v>448</v>
      </c>
      <c r="B67" s="57"/>
      <c r="C67" s="57"/>
      <c r="D67" s="466">
        <f t="shared" si="0"/>
        <v>0</v>
      </c>
    </row>
    <row r="68" spans="1:4" s="55" customFormat="1" ht="12.75">
      <c r="A68" s="109"/>
      <c r="B68" s="75"/>
      <c r="C68" s="57"/>
      <c r="D68" s="466">
        <f t="shared" si="0"/>
        <v>0</v>
      </c>
    </row>
    <row r="69" spans="1:4" s="55" customFormat="1" ht="12.75">
      <c r="A69" s="252"/>
      <c r="B69" s="71"/>
      <c r="C69" s="84"/>
      <c r="D69" s="467"/>
    </row>
    <row r="70" spans="1:4" s="293" customFormat="1" ht="12.75">
      <c r="A70" s="468" t="s">
        <v>449</v>
      </c>
      <c r="B70" s="80"/>
      <c r="C70" s="63">
        <f>SUM(C71:C86)</f>
        <v>134477</v>
      </c>
      <c r="D70" s="81">
        <f t="shared" si="0"/>
        <v>134477</v>
      </c>
    </row>
    <row r="71" spans="1:4" ht="12.75">
      <c r="A71" s="225" t="s">
        <v>450</v>
      </c>
      <c r="B71" s="69"/>
      <c r="C71" s="68">
        <v>30000</v>
      </c>
      <c r="D71" s="134">
        <f t="shared" si="0"/>
        <v>30000</v>
      </c>
    </row>
    <row r="72" spans="1:4" ht="12.75">
      <c r="A72" s="228" t="s">
        <v>451</v>
      </c>
      <c r="B72" s="58"/>
      <c r="C72" s="57">
        <v>4000</v>
      </c>
      <c r="D72" s="466">
        <f t="shared" si="0"/>
        <v>4000</v>
      </c>
    </row>
    <row r="73" spans="1:4" ht="12.75">
      <c r="A73" s="228" t="s">
        <v>452</v>
      </c>
      <c r="B73" s="58"/>
      <c r="C73" s="57">
        <v>800</v>
      </c>
      <c r="D73" s="466">
        <f t="shared" si="0"/>
        <v>800</v>
      </c>
    </row>
    <row r="74" spans="1:4" ht="12.75">
      <c r="A74" s="469" t="s">
        <v>453</v>
      </c>
      <c r="B74" s="58"/>
      <c r="C74" s="57">
        <v>1501</v>
      </c>
      <c r="D74" s="466">
        <f t="shared" si="0"/>
        <v>1501</v>
      </c>
    </row>
    <row r="75" spans="1:4" ht="12.75">
      <c r="A75" s="469" t="s">
        <v>454</v>
      </c>
      <c r="B75" s="58"/>
      <c r="C75" s="57">
        <v>4000</v>
      </c>
      <c r="D75" s="466">
        <f t="shared" si="0"/>
        <v>4000</v>
      </c>
    </row>
    <row r="76" spans="1:4" ht="12.75">
      <c r="A76" s="470" t="s">
        <v>455</v>
      </c>
      <c r="B76" s="61"/>
      <c r="C76" s="78">
        <v>10000</v>
      </c>
      <c r="D76" s="471">
        <f t="shared" si="0"/>
        <v>10000</v>
      </c>
    </row>
    <row r="77" spans="1:4" ht="12.75">
      <c r="A77" s="470" t="s">
        <v>456</v>
      </c>
      <c r="B77" s="61"/>
      <c r="C77" s="78">
        <v>17202</v>
      </c>
      <c r="D77" s="471">
        <f t="shared" si="0"/>
        <v>17202</v>
      </c>
    </row>
    <row r="78" spans="1:4" ht="12.75">
      <c r="A78" s="470" t="s">
        <v>457</v>
      </c>
      <c r="B78" s="61"/>
      <c r="C78" s="78">
        <v>1142</v>
      </c>
      <c r="D78" s="471">
        <f t="shared" si="0"/>
        <v>1142</v>
      </c>
    </row>
    <row r="79" spans="1:4" ht="12.75">
      <c r="A79" s="470" t="s">
        <v>458</v>
      </c>
      <c r="B79" s="61"/>
      <c r="C79" s="78">
        <v>5000</v>
      </c>
      <c r="D79" s="471">
        <f t="shared" si="0"/>
        <v>5000</v>
      </c>
    </row>
    <row r="80" spans="1:4" ht="12.75">
      <c r="A80" s="470" t="s">
        <v>459</v>
      </c>
      <c r="B80" s="61"/>
      <c r="C80" s="78">
        <v>1622</v>
      </c>
      <c r="D80" s="471">
        <f t="shared" si="0"/>
        <v>1622</v>
      </c>
    </row>
    <row r="81" spans="1:4" ht="12.75">
      <c r="A81" s="470" t="s">
        <v>460</v>
      </c>
      <c r="B81" s="61"/>
      <c r="C81" s="78">
        <v>195</v>
      </c>
      <c r="D81" s="471">
        <f t="shared" si="0"/>
        <v>195</v>
      </c>
    </row>
    <row r="82" spans="1:4" ht="12.75">
      <c r="A82" s="470" t="s">
        <v>461</v>
      </c>
      <c r="B82" s="61"/>
      <c r="C82" s="78">
        <v>642</v>
      </c>
      <c r="D82" s="471">
        <f t="shared" si="0"/>
        <v>642</v>
      </c>
    </row>
    <row r="83" spans="1:4" ht="12.75">
      <c r="A83" s="470" t="s">
        <v>462</v>
      </c>
      <c r="B83" s="61"/>
      <c r="C83" s="78">
        <v>297</v>
      </c>
      <c r="D83" s="471">
        <f t="shared" si="0"/>
        <v>297</v>
      </c>
    </row>
    <row r="84" spans="1:4" ht="12.75">
      <c r="A84" s="470" t="s">
        <v>463</v>
      </c>
      <c r="B84" s="61"/>
      <c r="C84" s="78">
        <v>7200</v>
      </c>
      <c r="D84" s="471">
        <f t="shared" si="0"/>
        <v>7200</v>
      </c>
    </row>
    <row r="85" spans="1:4" ht="12.75">
      <c r="A85" s="469" t="s">
        <v>464</v>
      </c>
      <c r="B85" s="58"/>
      <c r="C85" s="57">
        <v>26645</v>
      </c>
      <c r="D85" s="466">
        <f t="shared" si="0"/>
        <v>26645</v>
      </c>
    </row>
    <row r="86" spans="1:4" ht="12.75">
      <c r="A86" s="472" t="s">
        <v>465</v>
      </c>
      <c r="B86" s="473"/>
      <c r="C86" s="83">
        <v>24231</v>
      </c>
      <c r="D86" s="474">
        <f t="shared" si="0"/>
        <v>24231</v>
      </c>
    </row>
    <row r="87" spans="1:4" ht="12.75">
      <c r="A87" s="475" t="s">
        <v>466</v>
      </c>
      <c r="B87" s="92"/>
      <c r="C87" s="84"/>
      <c r="D87" s="467"/>
    </row>
    <row r="88" spans="1:4" s="112" customFormat="1" ht="12.75">
      <c r="A88" s="291" t="s">
        <v>467</v>
      </c>
      <c r="B88" s="80"/>
      <c r="C88" s="63">
        <f>SUM(C89:C99)</f>
        <v>362499</v>
      </c>
      <c r="D88" s="63">
        <f t="shared" si="0"/>
        <v>362499</v>
      </c>
    </row>
    <row r="89" spans="1:4" ht="12.75">
      <c r="A89" s="476" t="s">
        <v>182</v>
      </c>
      <c r="B89" s="89"/>
      <c r="C89" s="130"/>
      <c r="D89" s="100"/>
    </row>
    <row r="90" spans="1:4" ht="12.75">
      <c r="A90" s="109" t="s">
        <v>468</v>
      </c>
      <c r="B90" s="57"/>
      <c r="C90" s="75">
        <v>4313</v>
      </c>
      <c r="D90" s="310">
        <f t="shared" si="0"/>
        <v>4313</v>
      </c>
    </row>
    <row r="91" spans="1:4" ht="12.75">
      <c r="A91" s="109" t="s">
        <v>469</v>
      </c>
      <c r="B91" s="57"/>
      <c r="C91" s="75">
        <v>85018</v>
      </c>
      <c r="D91" s="310">
        <f t="shared" si="0"/>
        <v>85018</v>
      </c>
    </row>
    <row r="92" spans="1:4" ht="12.75">
      <c r="A92" s="371" t="s">
        <v>470</v>
      </c>
      <c r="B92" s="78"/>
      <c r="C92" s="286">
        <v>2246</v>
      </c>
      <c r="D92" s="477">
        <f t="shared" si="0"/>
        <v>2246</v>
      </c>
    </row>
    <row r="93" spans="1:4" ht="12.75">
      <c r="A93" s="478" t="s">
        <v>471</v>
      </c>
      <c r="B93" s="301"/>
      <c r="C93" s="479">
        <v>209791</v>
      </c>
      <c r="D93" s="477">
        <f t="shared" si="0"/>
        <v>209791</v>
      </c>
    </row>
    <row r="94" spans="1:4" ht="12.75">
      <c r="A94" s="478" t="s">
        <v>472</v>
      </c>
      <c r="B94" s="301"/>
      <c r="C94" s="479">
        <v>4458</v>
      </c>
      <c r="D94" s="477">
        <f t="shared" si="0"/>
        <v>4458</v>
      </c>
    </row>
    <row r="95" spans="1:4" ht="12.75">
      <c r="A95" s="478" t="s">
        <v>473</v>
      </c>
      <c r="B95" s="301"/>
      <c r="C95" s="479">
        <v>6501</v>
      </c>
      <c r="D95" s="477">
        <f t="shared" si="0"/>
        <v>6501</v>
      </c>
    </row>
    <row r="96" spans="1:4" ht="12.75">
      <c r="A96" s="478" t="s">
        <v>474</v>
      </c>
      <c r="B96" s="301"/>
      <c r="C96" s="479">
        <v>2358</v>
      </c>
      <c r="D96" s="477">
        <f t="shared" si="0"/>
        <v>2358</v>
      </c>
    </row>
    <row r="97" spans="1:4" ht="12.75">
      <c r="A97" s="478" t="s">
        <v>475</v>
      </c>
      <c r="B97" s="301"/>
      <c r="C97" s="479">
        <v>7468</v>
      </c>
      <c r="D97" s="477">
        <f t="shared" si="0"/>
        <v>7468</v>
      </c>
    </row>
    <row r="98" spans="1:4" ht="12.75">
      <c r="A98" s="478" t="s">
        <v>476</v>
      </c>
      <c r="B98" s="301"/>
      <c r="C98" s="479">
        <v>40346</v>
      </c>
      <c r="D98" s="477">
        <f t="shared" si="0"/>
        <v>40346</v>
      </c>
    </row>
    <row r="99" spans="1:4" ht="12.75">
      <c r="A99" s="480"/>
      <c r="B99" s="312"/>
      <c r="C99" s="481"/>
      <c r="D99" s="482">
        <f t="shared" si="0"/>
        <v>0</v>
      </c>
    </row>
  </sheetData>
  <sheetProtection/>
  <mergeCells count="13">
    <mergeCell ref="A4:D4"/>
    <mergeCell ref="A6:D6"/>
    <mergeCell ref="A9:D9"/>
    <mergeCell ref="C10:D10"/>
    <mergeCell ref="C11:D11"/>
    <mergeCell ref="A24:D24"/>
    <mergeCell ref="A58:D58"/>
    <mergeCell ref="A26:D26"/>
    <mergeCell ref="A28:D28"/>
    <mergeCell ref="C29:D29"/>
    <mergeCell ref="C30:D30"/>
    <mergeCell ref="C34:D34"/>
    <mergeCell ref="C35:D35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1">
      <selection activeCell="A81" sqref="A81"/>
    </sheetView>
  </sheetViews>
  <sheetFormatPr defaultColWidth="9.140625" defaultRowHeight="12.75"/>
  <cols>
    <col min="1" max="1" width="29.7109375" style="0" customWidth="1"/>
    <col min="2" max="2" width="13.57421875" style="0" customWidth="1"/>
    <col min="3" max="3" width="12.8515625" style="0" customWidth="1"/>
    <col min="4" max="5" width="12.7109375" style="0" customWidth="1"/>
  </cols>
  <sheetData>
    <row r="1" spans="4:5" ht="12.75">
      <c r="D1" s="1065" t="s">
        <v>477</v>
      </c>
      <c r="E1" s="1065"/>
    </row>
    <row r="3" spans="1:5" ht="15.75">
      <c r="A3" s="1042" t="s">
        <v>478</v>
      </c>
      <c r="B3" s="1042"/>
      <c r="C3" s="1042"/>
      <c r="D3" s="1042"/>
      <c r="E3" s="1042"/>
    </row>
    <row r="6" spans="4:5" ht="12.75">
      <c r="D6" s="1065" t="s">
        <v>33</v>
      </c>
      <c r="E6" s="1065"/>
    </row>
    <row r="7" spans="1:5" ht="12.75">
      <c r="A7" s="1074" t="s">
        <v>479</v>
      </c>
      <c r="B7" s="1075" t="s">
        <v>480</v>
      </c>
      <c r="C7" s="1076" t="s">
        <v>481</v>
      </c>
      <c r="D7" s="1076"/>
      <c r="E7" s="1076"/>
    </row>
    <row r="8" spans="1:5" ht="12.75">
      <c r="A8" s="1074"/>
      <c r="B8" s="1075"/>
      <c r="C8" s="484" t="s">
        <v>482</v>
      </c>
      <c r="D8" s="485" t="s">
        <v>483</v>
      </c>
      <c r="E8" s="484" t="s">
        <v>484</v>
      </c>
    </row>
    <row r="9" spans="1:5" ht="12.75">
      <c r="A9" s="486" t="s">
        <v>485</v>
      </c>
      <c r="B9" s="487"/>
      <c r="C9" s="488"/>
      <c r="D9" s="489"/>
      <c r="E9" s="488">
        <f>SUM(C9:D9)</f>
        <v>0</v>
      </c>
    </row>
    <row r="10" spans="1:5" ht="12.75">
      <c r="A10" s="490" t="s">
        <v>486</v>
      </c>
      <c r="B10" s="484"/>
      <c r="C10" s="491">
        <f>SUM(C9)</f>
        <v>0</v>
      </c>
      <c r="D10" s="492"/>
      <c r="E10" s="491">
        <f>SUM(C10:D10)</f>
        <v>0</v>
      </c>
    </row>
    <row r="11" spans="1:5" ht="12.75">
      <c r="A11" s="493" t="s">
        <v>487</v>
      </c>
      <c r="B11" s="494"/>
      <c r="C11" s="495">
        <v>0</v>
      </c>
      <c r="D11" s="496">
        <v>0</v>
      </c>
      <c r="E11" s="497">
        <f>SUM(C11:D11)</f>
        <v>0</v>
      </c>
    </row>
    <row r="12" spans="1:5" ht="15">
      <c r="A12" s="498"/>
      <c r="B12" s="499"/>
      <c r="C12" s="500"/>
      <c r="D12" s="501"/>
      <c r="E12" s="502"/>
    </row>
    <row r="13" spans="1:5" ht="15">
      <c r="A13" s="498"/>
      <c r="B13" s="499"/>
      <c r="C13" s="503"/>
      <c r="D13" s="504"/>
      <c r="E13" s="505"/>
    </row>
    <row r="14" spans="1:5" ht="15">
      <c r="A14" s="109"/>
      <c r="B14" s="499"/>
      <c r="C14" s="503"/>
      <c r="D14" s="504"/>
      <c r="E14" s="505"/>
    </row>
    <row r="15" spans="1:5" ht="15">
      <c r="A15" s="109"/>
      <c r="B15" s="499"/>
      <c r="C15" s="503"/>
      <c r="D15" s="504"/>
      <c r="E15" s="505"/>
    </row>
    <row r="16" spans="1:5" ht="15">
      <c r="A16" s="109"/>
      <c r="B16" s="499"/>
      <c r="C16" s="503"/>
      <c r="D16" s="504"/>
      <c r="E16" s="505"/>
    </row>
    <row r="17" spans="1:5" ht="15">
      <c r="A17" s="109"/>
      <c r="B17" s="499"/>
      <c r="C17" s="503"/>
      <c r="D17" s="504"/>
      <c r="E17" s="505"/>
    </row>
    <row r="18" spans="1:5" ht="15">
      <c r="A18" s="371"/>
      <c r="B18" s="506"/>
      <c r="C18" s="507"/>
      <c r="D18" s="508"/>
      <c r="E18" s="509"/>
    </row>
    <row r="19" spans="1:5" ht="15.75">
      <c r="A19" s="111" t="s">
        <v>488</v>
      </c>
      <c r="B19" s="510"/>
      <c r="C19" s="511">
        <f>SUM(C11:C18)</f>
        <v>0</v>
      </c>
      <c r="D19" s="511">
        <f>SUM(D11:D18)</f>
        <v>0</v>
      </c>
      <c r="E19" s="512">
        <f>SUM(E11:E18)</f>
        <v>0</v>
      </c>
    </row>
    <row r="20" spans="1:5" ht="15.75">
      <c r="A20" s="513" t="s">
        <v>489</v>
      </c>
      <c r="B20" s="514"/>
      <c r="C20" s="515">
        <f>SUM(C10:C18)</f>
        <v>0</v>
      </c>
      <c r="D20" s="516">
        <f>SUM(D10:D18)</f>
        <v>0</v>
      </c>
      <c r="E20" s="516">
        <f>SUM(E10:E18)</f>
        <v>0</v>
      </c>
    </row>
    <row r="22" spans="3:5" ht="12.75">
      <c r="C22" s="1065" t="s">
        <v>490</v>
      </c>
      <c r="D22" s="1065"/>
      <c r="E22" s="1065"/>
    </row>
    <row r="23" spans="3:5" ht="12.75">
      <c r="C23" s="517"/>
      <c r="D23" s="517"/>
      <c r="E23" s="517"/>
    </row>
    <row r="25" spans="1:5" ht="15.75">
      <c r="A25" s="1042" t="s">
        <v>491</v>
      </c>
      <c r="B25" s="1042"/>
      <c r="C25" s="1042"/>
      <c r="D25" s="1042"/>
      <c r="E25" s="1042"/>
    </row>
    <row r="26" spans="1:5" ht="15.75">
      <c r="A26" s="1042" t="s">
        <v>492</v>
      </c>
      <c r="B26" s="1042"/>
      <c r="C26" s="1042"/>
      <c r="D26" s="1042"/>
      <c r="E26" s="1042"/>
    </row>
    <row r="27" spans="1:5" ht="15.75">
      <c r="A27" s="45"/>
      <c r="B27" s="45"/>
      <c r="C27" s="45"/>
      <c r="D27" s="45"/>
      <c r="E27" s="45"/>
    </row>
    <row r="29" spans="4:5" ht="12.75">
      <c r="D29" s="1060" t="s">
        <v>33</v>
      </c>
      <c r="E29" s="1060"/>
    </row>
    <row r="30" spans="1:5" s="7" customFormat="1" ht="15.75">
      <c r="A30" s="518" t="s">
        <v>315</v>
      </c>
      <c r="B30" s="519"/>
      <c r="C30" s="520"/>
      <c r="D30" s="1073" t="s">
        <v>180</v>
      </c>
      <c r="E30" s="1073"/>
    </row>
    <row r="31" spans="1:5" ht="15.75">
      <c r="A31" s="521" t="s">
        <v>493</v>
      </c>
      <c r="B31" s="522"/>
      <c r="C31" s="523"/>
      <c r="D31" s="524"/>
      <c r="E31" s="525">
        <v>190729</v>
      </c>
    </row>
    <row r="32" spans="1:5" ht="15">
      <c r="A32" s="109" t="s">
        <v>494</v>
      </c>
      <c r="B32" s="446"/>
      <c r="C32" s="459"/>
      <c r="D32" s="526"/>
      <c r="E32" s="527">
        <v>4829</v>
      </c>
    </row>
    <row r="33" spans="1:5" ht="15">
      <c r="A33" s="252" t="s">
        <v>495</v>
      </c>
      <c r="B33" s="55"/>
      <c r="C33" s="528"/>
      <c r="D33" s="529"/>
      <c r="E33" s="530">
        <v>360</v>
      </c>
    </row>
    <row r="34" spans="1:5" ht="32.25" customHeight="1">
      <c r="A34" s="1061" t="s">
        <v>496</v>
      </c>
      <c r="B34" s="1061"/>
      <c r="C34" s="1061"/>
      <c r="D34" s="531"/>
      <c r="E34" s="532">
        <f>SUM(E31:E33)</f>
        <v>195918</v>
      </c>
    </row>
    <row r="37" spans="3:5" ht="12.75">
      <c r="C37" s="1065" t="s">
        <v>497</v>
      </c>
      <c r="D37" s="1065"/>
      <c r="E37" s="1065"/>
    </row>
    <row r="39" spans="1:5" ht="15.75">
      <c r="A39" s="1042" t="s">
        <v>498</v>
      </c>
      <c r="B39" s="1042"/>
      <c r="C39" s="1042"/>
      <c r="D39" s="1042"/>
      <c r="E39" s="1042"/>
    </row>
    <row r="40" spans="1:5" ht="15.75">
      <c r="A40" s="1042"/>
      <c r="B40" s="1042"/>
      <c r="C40" s="1042"/>
      <c r="D40" s="1042"/>
      <c r="E40" s="1042"/>
    </row>
    <row r="42" spans="4:5" ht="12.75">
      <c r="D42" s="1060" t="s">
        <v>33</v>
      </c>
      <c r="E42" s="1060"/>
    </row>
    <row r="43" spans="1:5" ht="12.75">
      <c r="A43" s="533" t="s">
        <v>315</v>
      </c>
      <c r="B43" s="534"/>
      <c r="C43" s="535"/>
      <c r="D43" s="533" t="s">
        <v>180</v>
      </c>
      <c r="E43" s="535"/>
    </row>
    <row r="44" spans="1:5" ht="15">
      <c r="A44" s="536" t="s">
        <v>499</v>
      </c>
      <c r="B44" s="537"/>
      <c r="C44" s="538"/>
      <c r="D44" s="539"/>
      <c r="E44" s="540"/>
    </row>
    <row r="45" spans="1:5" ht="15">
      <c r="A45" s="541" t="s">
        <v>500</v>
      </c>
      <c r="B45" s="542"/>
      <c r="C45" s="543"/>
      <c r="D45" s="544"/>
      <c r="E45" s="545">
        <f>180707+14860+2500</f>
        <v>198067</v>
      </c>
    </row>
    <row r="46" spans="1:5" ht="28.5" customHeight="1">
      <c r="A46" s="1061" t="s">
        <v>501</v>
      </c>
      <c r="B46" s="1061"/>
      <c r="C46" s="1061"/>
      <c r="D46" s="546"/>
      <c r="E46" s="547">
        <f>SUM(E44:E45)</f>
        <v>198067</v>
      </c>
    </row>
    <row r="50" spans="3:5" ht="12.75">
      <c r="C50" s="1065" t="s">
        <v>502</v>
      </c>
      <c r="D50" s="1065"/>
      <c r="E50" s="1065"/>
    </row>
    <row r="52" spans="1:5" ht="15.75">
      <c r="A52" s="1042" t="s">
        <v>503</v>
      </c>
      <c r="B52" s="1042"/>
      <c r="C52" s="1042"/>
      <c r="D52" s="1042"/>
      <c r="E52" s="1042"/>
    </row>
    <row r="53" spans="1:5" ht="15.75">
      <c r="A53" s="45"/>
      <c r="B53" s="45"/>
      <c r="C53" s="45"/>
      <c r="D53" s="45"/>
      <c r="E53" s="45"/>
    </row>
    <row r="54" ht="12.75">
      <c r="E54" t="s">
        <v>504</v>
      </c>
    </row>
    <row r="55" spans="1:5" ht="26.25">
      <c r="A55" s="1070" t="s">
        <v>315</v>
      </c>
      <c r="B55" s="1070"/>
      <c r="C55" s="107" t="s">
        <v>505</v>
      </c>
      <c r="D55" s="107" t="s">
        <v>506</v>
      </c>
      <c r="E55" s="548" t="s">
        <v>180</v>
      </c>
    </row>
    <row r="56" spans="1:5" ht="12.75">
      <c r="A56" s="1071" t="s">
        <v>507</v>
      </c>
      <c r="B56" s="1071"/>
      <c r="C56" s="68">
        <v>7000</v>
      </c>
      <c r="D56" s="68"/>
      <c r="E56" s="115">
        <f>SUM(C56:D56)</f>
        <v>7000</v>
      </c>
    </row>
    <row r="57" spans="1:5" ht="12.75">
      <c r="A57" s="1072" t="s">
        <v>508</v>
      </c>
      <c r="B57" s="1072"/>
      <c r="C57" s="57">
        <v>7000</v>
      </c>
      <c r="D57" s="57"/>
      <c r="E57" s="115">
        <f>SUM(C57:D57)</f>
        <v>7000</v>
      </c>
    </row>
    <row r="58" spans="1:5" ht="12.75">
      <c r="A58" s="1067" t="s">
        <v>509</v>
      </c>
      <c r="B58" s="1067"/>
      <c r="C58" s="78"/>
      <c r="D58" s="78"/>
      <c r="E58" s="73">
        <f>SUM(C58:D58)</f>
        <v>0</v>
      </c>
    </row>
    <row r="59" spans="1:19" s="294" customFormat="1" ht="12.75">
      <c r="A59" s="1069" t="s">
        <v>84</v>
      </c>
      <c r="B59" s="1069"/>
      <c r="C59" s="63">
        <f>SUM(C56:C58)</f>
        <v>14000</v>
      </c>
      <c r="D59" s="63">
        <f>SUM(D56:D58)</f>
        <v>0</v>
      </c>
      <c r="E59" s="63">
        <f>SUM(E56:E58)</f>
        <v>14000</v>
      </c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</row>
    <row r="60" spans="1:19" s="112" customFormat="1" ht="12.75">
      <c r="A60" s="1062"/>
      <c r="B60" s="1062"/>
      <c r="C60" s="415"/>
      <c r="D60" s="102"/>
      <c r="E60" s="467">
        <f>D60+C60</f>
        <v>0</v>
      </c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</row>
    <row r="61" spans="1:19" s="112" customFormat="1" ht="12.75">
      <c r="A61" s="1067"/>
      <c r="B61" s="1067"/>
      <c r="C61" s="549"/>
      <c r="D61" s="477"/>
      <c r="E61" s="467">
        <f>D61+C61</f>
        <v>0</v>
      </c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</row>
    <row r="62" spans="1:19" s="112" customFormat="1" ht="12.75">
      <c r="A62" s="1067"/>
      <c r="B62" s="1067"/>
      <c r="C62" s="549"/>
      <c r="D62" s="477"/>
      <c r="E62" s="471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</row>
    <row r="63" spans="1:19" s="112" customFormat="1" ht="12.75">
      <c r="A63" s="1067"/>
      <c r="B63" s="1067"/>
      <c r="C63" s="549"/>
      <c r="D63" s="477"/>
      <c r="E63" s="471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</row>
    <row r="64" spans="1:19" s="112" customFormat="1" ht="12.75">
      <c r="A64" s="1068"/>
      <c r="B64" s="1068"/>
      <c r="C64" s="549"/>
      <c r="D64" s="477"/>
      <c r="E64" s="471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</row>
    <row r="65" spans="1:19" s="294" customFormat="1" ht="12.75">
      <c r="A65" s="1069" t="s">
        <v>510</v>
      </c>
      <c r="B65" s="1069"/>
      <c r="C65" s="63"/>
      <c r="D65" s="63">
        <f>SUM(D60:D64)</f>
        <v>0</v>
      </c>
      <c r="E65" s="81">
        <f>D65+C65</f>
        <v>0</v>
      </c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</row>
    <row r="66" spans="1:5" ht="12.75">
      <c r="A66" s="1062"/>
      <c r="B66" s="1062"/>
      <c r="C66" s="84"/>
      <c r="D66" s="84"/>
      <c r="E66" s="73"/>
    </row>
    <row r="67" spans="1:6" ht="27" customHeight="1">
      <c r="A67" s="1063" t="s">
        <v>511</v>
      </c>
      <c r="B67" s="1063"/>
      <c r="C67" s="63">
        <f>C59</f>
        <v>14000</v>
      </c>
      <c r="D67" s="63">
        <f>D65</f>
        <v>0</v>
      </c>
      <c r="E67" s="63">
        <f>E65+E59</f>
        <v>14000</v>
      </c>
      <c r="F67" s="112"/>
    </row>
    <row r="68" spans="1:5" ht="27" customHeight="1">
      <c r="A68" s="551"/>
      <c r="B68" s="551"/>
      <c r="C68" s="55"/>
      <c r="D68" s="55"/>
      <c r="E68" s="55"/>
    </row>
    <row r="69" spans="1:5" ht="27" customHeight="1">
      <c r="A69" s="551"/>
      <c r="B69" s="551"/>
      <c r="C69" s="55"/>
      <c r="D69" s="55"/>
      <c r="E69" s="55"/>
    </row>
    <row r="70" spans="1:2" ht="12.75">
      <c r="A70" s="1064"/>
      <c r="B70" s="1064"/>
    </row>
    <row r="71" spans="3:5" ht="12.75">
      <c r="C71" s="1065" t="s">
        <v>512</v>
      </c>
      <c r="D71" s="1065"/>
      <c r="E71" s="1065"/>
    </row>
    <row r="72" spans="3:5" ht="12.75">
      <c r="C72" s="517"/>
      <c r="D72" s="517"/>
      <c r="E72" s="517"/>
    </row>
    <row r="74" spans="1:5" ht="18">
      <c r="A74" s="1066" t="s">
        <v>513</v>
      </c>
      <c r="B74" s="1066"/>
      <c r="C74" s="1066"/>
      <c r="D74" s="1066"/>
      <c r="E74" s="1066"/>
    </row>
    <row r="75" spans="1:5" ht="15.75">
      <c r="A75" s="1042"/>
      <c r="B75" s="1042"/>
      <c r="C75" s="1042"/>
      <c r="D75" s="1042"/>
      <c r="E75" s="1042"/>
    </row>
    <row r="77" spans="4:5" ht="12.75">
      <c r="D77" s="1060" t="s">
        <v>33</v>
      </c>
      <c r="E77" s="1060"/>
    </row>
    <row r="78" spans="1:5" ht="12.75">
      <c r="A78" s="533" t="s">
        <v>315</v>
      </c>
      <c r="B78" s="534"/>
      <c r="C78" s="535"/>
      <c r="D78" s="533" t="s">
        <v>180</v>
      </c>
      <c r="E78" s="535"/>
    </row>
    <row r="79" spans="1:5" ht="15">
      <c r="A79" s="536" t="s">
        <v>514</v>
      </c>
      <c r="B79" s="537"/>
      <c r="C79" s="538"/>
      <c r="D79" s="539"/>
      <c r="E79" s="552">
        <f>'2_m_n_sz_ melléklet'!B21</f>
        <v>108</v>
      </c>
    </row>
    <row r="80" spans="1:5" ht="15">
      <c r="A80" s="541" t="s">
        <v>515</v>
      </c>
      <c r="B80" s="542"/>
      <c r="C80" s="543"/>
      <c r="D80" s="544"/>
      <c r="E80" s="553">
        <f>'2_m_n_sz_ melléklet'!B37</f>
        <v>4090</v>
      </c>
    </row>
    <row r="81" spans="1:5" ht="15.75">
      <c r="A81" s="1061" t="s">
        <v>516</v>
      </c>
      <c r="B81" s="1061"/>
      <c r="C81" s="1061"/>
      <c r="D81" s="546"/>
      <c r="E81" s="532">
        <f>SUM(E79:E80)</f>
        <v>4198</v>
      </c>
    </row>
  </sheetData>
  <sheetProtection/>
  <mergeCells count="38">
    <mergeCell ref="D1:E1"/>
    <mergeCell ref="A3:E3"/>
    <mergeCell ref="D6:E6"/>
    <mergeCell ref="A7:A8"/>
    <mergeCell ref="B7:B8"/>
    <mergeCell ref="C7:E7"/>
    <mergeCell ref="C22:E22"/>
    <mergeCell ref="A25:E25"/>
    <mergeCell ref="A26:E26"/>
    <mergeCell ref="D29:E29"/>
    <mergeCell ref="D30:E30"/>
    <mergeCell ref="A34:C34"/>
    <mergeCell ref="C37:E37"/>
    <mergeCell ref="A39:E39"/>
    <mergeCell ref="A40:E40"/>
    <mergeCell ref="D42:E42"/>
    <mergeCell ref="A46:C46"/>
    <mergeCell ref="C50:E50"/>
    <mergeCell ref="A52:E52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D77:E77"/>
    <mergeCell ref="A81:C81"/>
    <mergeCell ref="A66:B66"/>
    <mergeCell ref="A67:B67"/>
    <mergeCell ref="A70:B70"/>
    <mergeCell ref="C71:E71"/>
    <mergeCell ref="A74:E74"/>
    <mergeCell ref="A75:E75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1">
      <selection activeCell="A91" sqref="A91"/>
    </sheetView>
  </sheetViews>
  <sheetFormatPr defaultColWidth="9.140625" defaultRowHeight="12.75"/>
  <cols>
    <col min="1" max="1" width="39.8515625" style="0" customWidth="1"/>
    <col min="2" max="2" width="13.7109375" style="0" customWidth="1"/>
    <col min="3" max="3" width="12.8515625" style="0" customWidth="1"/>
    <col min="4" max="4" width="12.421875" style="0" customWidth="1"/>
  </cols>
  <sheetData>
    <row r="1" spans="3:4" ht="12.75">
      <c r="C1" s="1065" t="s">
        <v>517</v>
      </c>
      <c r="D1" s="1065"/>
    </row>
    <row r="2" spans="3:4" ht="12.75">
      <c r="C2" s="517"/>
      <c r="D2" s="517"/>
    </row>
    <row r="4" spans="1:4" ht="15.75">
      <c r="A4" s="1042" t="s">
        <v>518</v>
      </c>
      <c r="B4" s="1042"/>
      <c r="C4" s="1042"/>
      <c r="D4" s="1042"/>
    </row>
    <row r="5" spans="1:4" ht="15.75">
      <c r="A5" s="1042" t="s">
        <v>519</v>
      </c>
      <c r="B5" s="1042"/>
      <c r="C5" s="1042"/>
      <c r="D5" s="1042"/>
    </row>
    <row r="6" spans="1:4" ht="15.75">
      <c r="A6" s="45"/>
      <c r="B6" s="45"/>
      <c r="C6" s="45"/>
      <c r="D6" s="45"/>
    </row>
    <row r="8" ht="12.75">
      <c r="C8" s="517" t="s">
        <v>33</v>
      </c>
    </row>
    <row r="9" spans="1:4" ht="24">
      <c r="A9" s="533" t="s">
        <v>315</v>
      </c>
      <c r="B9" s="106" t="s">
        <v>82</v>
      </c>
      <c r="C9" s="106" t="s">
        <v>83</v>
      </c>
      <c r="D9" s="106" t="s">
        <v>520</v>
      </c>
    </row>
    <row r="10" spans="1:4" ht="15" customHeight="1">
      <c r="A10" s="395" t="s">
        <v>521</v>
      </c>
      <c r="B10" s="238">
        <v>0</v>
      </c>
      <c r="C10" s="554">
        <v>0</v>
      </c>
      <c r="D10" s="89">
        <f>SUM(B10:C10)</f>
        <v>0</v>
      </c>
    </row>
    <row r="11" spans="1:4" ht="15" customHeight="1">
      <c r="A11" s="91" t="s">
        <v>282</v>
      </c>
      <c r="B11" s="410">
        <v>23860</v>
      </c>
      <c r="C11" s="555">
        <v>990</v>
      </c>
      <c r="D11" s="57">
        <f>SUM(B11:C11)</f>
        <v>24850</v>
      </c>
    </row>
    <row r="12" spans="1:4" ht="15" customHeight="1">
      <c r="A12" s="109" t="s">
        <v>522</v>
      </c>
      <c r="B12" s="57"/>
      <c r="C12" s="76"/>
      <c r="D12" s="57">
        <f>SUM(B12:C12)</f>
        <v>0</v>
      </c>
    </row>
    <row r="13" spans="1:4" ht="15" customHeight="1">
      <c r="A13" s="556" t="s">
        <v>284</v>
      </c>
      <c r="B13" s="84">
        <v>300</v>
      </c>
      <c r="C13" s="73">
        <v>10</v>
      </c>
      <c r="D13" s="57">
        <f>SUM(B13:C13)</f>
        <v>310</v>
      </c>
    </row>
    <row r="14" spans="1:4" ht="15" customHeight="1">
      <c r="A14" s="371" t="s">
        <v>523</v>
      </c>
      <c r="B14" s="57"/>
      <c r="C14" s="76">
        <f>'2_a_d_sz_ melléklet'!B18</f>
        <v>0</v>
      </c>
      <c r="D14" s="115">
        <f>SUM(B14:C14)</f>
        <v>0</v>
      </c>
    </row>
    <row r="15" spans="1:4" s="112" customFormat="1" ht="15" customHeight="1">
      <c r="A15" s="111" t="s">
        <v>524</v>
      </c>
      <c r="B15" s="512">
        <f>SUM(B10:B14)</f>
        <v>24160</v>
      </c>
      <c r="C15" s="557">
        <f>SUM(C10:C14)</f>
        <v>1000</v>
      </c>
      <c r="D15" s="557">
        <f>SUM(D10:D14)</f>
        <v>25160</v>
      </c>
    </row>
    <row r="16" spans="1:4" ht="15" customHeight="1">
      <c r="A16" s="558"/>
      <c r="B16" s="410"/>
      <c r="C16" s="559"/>
      <c r="D16" s="560"/>
    </row>
    <row r="17" spans="1:4" ht="15" customHeight="1">
      <c r="A17" s="367" t="s">
        <v>254</v>
      </c>
      <c r="B17" s="561">
        <f>'2_f_h_sz_ melléklet'!B65+'2_f_h_sz_ melléklet'!B66</f>
        <v>269073</v>
      </c>
      <c r="C17" s="561">
        <v>0</v>
      </c>
      <c r="D17" s="562">
        <f>SUM(B17:C17)</f>
        <v>269073</v>
      </c>
    </row>
    <row r="18" spans="1:4" ht="15" customHeight="1">
      <c r="A18" s="116" t="s">
        <v>255</v>
      </c>
      <c r="B18" s="563">
        <f>'2_f_h_sz_ melléklet'!B65</f>
        <v>266650</v>
      </c>
      <c r="C18" s="563">
        <v>0</v>
      </c>
      <c r="D18" s="562">
        <f>SUM(B18:C18)</f>
        <v>266650</v>
      </c>
    </row>
    <row r="19" spans="1:4" ht="15" customHeight="1">
      <c r="A19" s="116" t="s">
        <v>256</v>
      </c>
      <c r="B19" s="563">
        <v>0</v>
      </c>
      <c r="C19" s="563">
        <v>0</v>
      </c>
      <c r="D19" s="562">
        <f>SUM(B19:C19)</f>
        <v>0</v>
      </c>
    </row>
    <row r="20" spans="1:4" ht="15" customHeight="1">
      <c r="A20" s="368" t="s">
        <v>255</v>
      </c>
      <c r="B20" s="564">
        <v>0</v>
      </c>
      <c r="C20" s="564">
        <v>0</v>
      </c>
      <c r="D20" s="562">
        <f>SUM(B20:C20)</f>
        <v>0</v>
      </c>
    </row>
    <row r="21" spans="1:4" s="112" customFormat="1" ht="15" customHeight="1">
      <c r="A21" s="111" t="s">
        <v>442</v>
      </c>
      <c r="B21" s="512">
        <f>B17+B19</f>
        <v>269073</v>
      </c>
      <c r="C21" s="557">
        <f>C17+C19</f>
        <v>0</v>
      </c>
      <c r="D21" s="557">
        <f>C21+B21</f>
        <v>269073</v>
      </c>
    </row>
    <row r="22" spans="1:4" ht="15" customHeight="1">
      <c r="A22" s="558"/>
      <c r="B22" s="562"/>
      <c r="C22" s="565"/>
      <c r="D22" s="565"/>
    </row>
    <row r="23" spans="1:4" ht="15" customHeight="1">
      <c r="A23" s="109" t="s">
        <v>525</v>
      </c>
      <c r="B23" s="410">
        <v>0</v>
      </c>
      <c r="C23" s="555">
        <v>0</v>
      </c>
      <c r="D23" s="555">
        <f>SUM(B23:C23)</f>
        <v>0</v>
      </c>
    </row>
    <row r="24" spans="1:4" ht="15" customHeight="1">
      <c r="A24" s="110" t="s">
        <v>526</v>
      </c>
      <c r="B24" s="68">
        <f>'2_i_j_sz_ mell_'!C58</f>
        <v>0</v>
      </c>
      <c r="C24" s="565"/>
      <c r="D24" s="555">
        <f>SUM(B24:C24)</f>
        <v>0</v>
      </c>
    </row>
    <row r="25" spans="1:4" ht="15" customHeight="1">
      <c r="A25" s="111" t="s">
        <v>527</v>
      </c>
      <c r="B25" s="512">
        <f>SUM(B23:B24)</f>
        <v>0</v>
      </c>
      <c r="C25" s="512">
        <f>SUM(C23:C24)</f>
        <v>0</v>
      </c>
      <c r="D25" s="512">
        <f>SUM(D23:D24)</f>
        <v>0</v>
      </c>
    </row>
    <row r="26" spans="1:4" ht="15" customHeight="1">
      <c r="A26" s="558"/>
      <c r="B26" s="566"/>
      <c r="C26" s="565"/>
      <c r="D26" s="565"/>
    </row>
    <row r="27" spans="1:4" ht="15" customHeight="1">
      <c r="A27" s="109" t="s">
        <v>266</v>
      </c>
      <c r="B27" s="57">
        <v>0</v>
      </c>
      <c r="C27" s="76">
        <v>0</v>
      </c>
      <c r="D27" s="76">
        <f>SUM(B27:C27)</f>
        <v>0</v>
      </c>
    </row>
    <row r="28" spans="1:4" ht="15" customHeight="1">
      <c r="A28" s="109" t="s">
        <v>528</v>
      </c>
      <c r="B28" s="57">
        <v>0</v>
      </c>
      <c r="C28" s="76">
        <v>0</v>
      </c>
      <c r="D28" s="76">
        <f>SUM(B28:C28)</f>
        <v>0</v>
      </c>
    </row>
    <row r="29" spans="1:4" s="112" customFormat="1" ht="30" customHeight="1">
      <c r="A29" s="380" t="s">
        <v>529</v>
      </c>
      <c r="B29" s="512">
        <f>SUM(B27:B28)</f>
        <v>0</v>
      </c>
      <c r="C29" s="512">
        <f>SUM(C27:C28)</f>
        <v>0</v>
      </c>
      <c r="D29" s="512">
        <f>SUM(D27:D28)</f>
        <v>0</v>
      </c>
    </row>
    <row r="30" spans="1:4" ht="15" customHeight="1">
      <c r="A30" s="567"/>
      <c r="B30" s="568"/>
      <c r="C30" s="568"/>
      <c r="D30" s="568"/>
    </row>
    <row r="31" spans="1:4" ht="15" customHeight="1">
      <c r="A31" s="111" t="s">
        <v>530</v>
      </c>
      <c r="B31" s="512">
        <f>B29+B25+B21+B15</f>
        <v>293233</v>
      </c>
      <c r="C31" s="512">
        <f>C29+C25+C21+C15</f>
        <v>1000</v>
      </c>
      <c r="D31" s="512">
        <f>D29+D25+D21+D15</f>
        <v>294233</v>
      </c>
    </row>
    <row r="32" spans="1:4" ht="15" customHeight="1">
      <c r="A32" s="122"/>
      <c r="B32" s="512"/>
      <c r="C32" s="569"/>
      <c r="D32" s="569"/>
    </row>
    <row r="33" spans="1:4" ht="15" customHeight="1">
      <c r="A33" s="122" t="s">
        <v>531</v>
      </c>
      <c r="B33" s="512">
        <f>B34</f>
        <v>0</v>
      </c>
      <c r="C33" s="512">
        <f>SUM(C34)</f>
        <v>0</v>
      </c>
      <c r="D33" s="512">
        <f>SUM(D34)</f>
        <v>0</v>
      </c>
    </row>
    <row r="34" spans="1:4" ht="15" customHeight="1">
      <c r="A34" s="109" t="s">
        <v>532</v>
      </c>
      <c r="B34" s="57">
        <f>B35+B36</f>
        <v>0</v>
      </c>
      <c r="C34" s="75">
        <f>C35+C36</f>
        <v>0</v>
      </c>
      <c r="D34" s="57">
        <f>D35+D36</f>
        <v>0</v>
      </c>
    </row>
    <row r="35" spans="1:4" ht="15" customHeight="1">
      <c r="A35" s="109" t="s">
        <v>533</v>
      </c>
      <c r="B35" s="68">
        <v>0</v>
      </c>
      <c r="C35" s="230">
        <v>0</v>
      </c>
      <c r="D35" s="68">
        <f>SUM(B35:C35)</f>
        <v>0</v>
      </c>
    </row>
    <row r="36" spans="1:4" ht="15" customHeight="1">
      <c r="A36" s="109" t="s">
        <v>534</v>
      </c>
      <c r="B36" s="57">
        <v>0</v>
      </c>
      <c r="C36" s="75">
        <v>0</v>
      </c>
      <c r="D36" s="57">
        <f>SUM(B36:C36)</f>
        <v>0</v>
      </c>
    </row>
    <row r="37" spans="1:4" ht="15" customHeight="1">
      <c r="A37" s="122"/>
      <c r="B37" s="512"/>
      <c r="C37" s="569"/>
      <c r="D37" s="569"/>
    </row>
    <row r="38" spans="1:4" ht="15" customHeight="1">
      <c r="A38" s="240" t="s">
        <v>273</v>
      </c>
      <c r="B38" s="94">
        <f>B39+B40</f>
        <v>0</v>
      </c>
      <c r="C38" s="94">
        <f>C39+C40</f>
        <v>0</v>
      </c>
      <c r="D38" s="94">
        <f>D39+D40</f>
        <v>0</v>
      </c>
    </row>
    <row r="39" spans="1:4" ht="15" customHeight="1">
      <c r="A39" s="388" t="s">
        <v>274</v>
      </c>
      <c r="B39" s="84">
        <v>0</v>
      </c>
      <c r="C39" s="92">
        <v>0</v>
      </c>
      <c r="D39" s="559">
        <f>SUM(B39:C39)</f>
        <v>0</v>
      </c>
    </row>
    <row r="40" spans="1:4" ht="15" customHeight="1">
      <c r="A40" s="109" t="s">
        <v>275</v>
      </c>
      <c r="B40" s="57">
        <v>0</v>
      </c>
      <c r="C40" s="58">
        <v>0</v>
      </c>
      <c r="D40" s="562">
        <f>SUM(B40:C40)</f>
        <v>0</v>
      </c>
    </row>
    <row r="41" spans="1:4" ht="15" customHeight="1">
      <c r="A41" s="567"/>
      <c r="B41" s="570"/>
      <c r="C41" s="571"/>
      <c r="D41" s="572"/>
    </row>
    <row r="42" spans="1:4" s="112" customFormat="1" ht="15" customHeight="1">
      <c r="A42" s="111" t="s">
        <v>535</v>
      </c>
      <c r="B42" s="512">
        <v>12514</v>
      </c>
      <c r="C42" s="557">
        <v>266370</v>
      </c>
      <c r="D42" s="573">
        <f>B42+C42</f>
        <v>278884</v>
      </c>
    </row>
    <row r="43" spans="1:4" ht="15" customHeight="1">
      <c r="A43" s="567"/>
      <c r="B43" s="568"/>
      <c r="C43" s="568"/>
      <c r="D43" s="568"/>
    </row>
    <row r="44" spans="1:4" ht="15" customHeight="1">
      <c r="A44" s="111" t="s">
        <v>536</v>
      </c>
      <c r="B44" s="512">
        <f>B42+B38+B31+B33</f>
        <v>305747</v>
      </c>
      <c r="C44" s="512">
        <f>C42+C38+C31+C33</f>
        <v>267370</v>
      </c>
      <c r="D44" s="512">
        <f>D42+D38+D31+D33</f>
        <v>573117</v>
      </c>
    </row>
    <row r="45" spans="1:4" ht="12.75">
      <c r="A45" s="574"/>
      <c r="B45" s="571"/>
      <c r="C45" s="571"/>
      <c r="D45" s="571"/>
    </row>
    <row r="46" spans="1:4" ht="12.75">
      <c r="A46" s="574"/>
      <c r="B46" s="571"/>
      <c r="C46" s="571"/>
      <c r="D46" s="571"/>
    </row>
    <row r="48" spans="1:5" ht="12.75">
      <c r="A48" s="1051">
        <v>2</v>
      </c>
      <c r="B48" s="1051"/>
      <c r="C48" s="1051"/>
      <c r="D48" s="1051"/>
      <c r="E48" s="1051"/>
    </row>
    <row r="49" spans="3:4" ht="12.75">
      <c r="C49" s="1065" t="s">
        <v>517</v>
      </c>
      <c r="D49" s="1065"/>
    </row>
    <row r="51" spans="1:4" ht="15.75">
      <c r="A51" s="1042" t="s">
        <v>518</v>
      </c>
      <c r="B51" s="1042"/>
      <c r="C51" s="1042"/>
      <c r="D51" s="1042"/>
    </row>
    <row r="52" spans="1:4" ht="15.75">
      <c r="A52" s="1042" t="s">
        <v>519</v>
      </c>
      <c r="B52" s="1042"/>
      <c r="C52" s="1042"/>
      <c r="D52" s="1042"/>
    </row>
    <row r="54" ht="12.75">
      <c r="C54" s="517" t="s">
        <v>33</v>
      </c>
    </row>
    <row r="55" spans="1:4" ht="48">
      <c r="A55" s="533" t="s">
        <v>315</v>
      </c>
      <c r="B55" s="106" t="s">
        <v>537</v>
      </c>
      <c r="C55" s="575" t="s">
        <v>538</v>
      </c>
      <c r="D55" s="576" t="s">
        <v>539</v>
      </c>
    </row>
    <row r="56" spans="1:4" ht="15" customHeight="1">
      <c r="A56" s="395" t="s">
        <v>521</v>
      </c>
      <c r="B56" s="238">
        <v>5500</v>
      </c>
      <c r="C56" s="554">
        <v>0</v>
      </c>
      <c r="D56" s="89">
        <f>SUM(B56:C56)</f>
        <v>5500</v>
      </c>
    </row>
    <row r="57" spans="1:4" ht="15" customHeight="1">
      <c r="A57" s="91" t="s">
        <v>282</v>
      </c>
      <c r="B57" s="410">
        <v>9600</v>
      </c>
      <c r="C57" s="555">
        <f>'2_l_sz_ melléklet'!C64</f>
        <v>147956</v>
      </c>
      <c r="D57" s="57">
        <f>SUM(B57:C57)</f>
        <v>157556</v>
      </c>
    </row>
    <row r="58" spans="1:4" ht="15" customHeight="1">
      <c r="A58" s="109" t="s">
        <v>522</v>
      </c>
      <c r="B58" s="57">
        <v>5824</v>
      </c>
      <c r="C58" s="555">
        <f>'2_l_sz_ melléklet'!C65</f>
        <v>31747</v>
      </c>
      <c r="D58" s="57">
        <f>SUM(B58:C58)</f>
        <v>37571</v>
      </c>
    </row>
    <row r="59" spans="1:4" ht="15" customHeight="1">
      <c r="A59" s="556" t="s">
        <v>284</v>
      </c>
      <c r="B59" s="84">
        <v>1600</v>
      </c>
      <c r="C59" s="555">
        <f>'2_l_sz_ melléklet'!C66</f>
        <v>560</v>
      </c>
      <c r="D59" s="57">
        <f>SUM(B59:C59)</f>
        <v>2160</v>
      </c>
    </row>
    <row r="60" spans="1:4" ht="15" customHeight="1">
      <c r="A60" s="371" t="s">
        <v>523</v>
      </c>
      <c r="B60" s="57">
        <f>'2_a_d_sz_ melléklet'!B65</f>
        <v>0</v>
      </c>
      <c r="C60" s="555">
        <f>'2_l_sz_ melléklet'!C67</f>
        <v>400</v>
      </c>
      <c r="D60" s="115">
        <f>SUM(B60:C60)</f>
        <v>400</v>
      </c>
    </row>
    <row r="61" spans="1:4" ht="15" customHeight="1">
      <c r="A61" s="111" t="s">
        <v>524</v>
      </c>
      <c r="B61" s="512">
        <f>SUM(B56:B60)</f>
        <v>22524</v>
      </c>
      <c r="C61" s="557">
        <f>SUM(C56:C60)</f>
        <v>180663</v>
      </c>
      <c r="D61" s="557">
        <f>SUM(D56:D60)</f>
        <v>203187</v>
      </c>
    </row>
    <row r="62" spans="1:4" ht="15" customHeight="1">
      <c r="A62" s="558"/>
      <c r="B62" s="410"/>
      <c r="C62" s="559"/>
      <c r="D62" s="560"/>
    </row>
    <row r="63" spans="1:4" ht="15" customHeight="1">
      <c r="A63" s="367" t="s">
        <v>254</v>
      </c>
      <c r="B63" s="561">
        <f>'2_f_h_sz_ melléklet'!C71+'2_f_h_sz_ melléklet'!C72+'2_f_h_sz_ melléklet'!C73+'2_f_h_sz_ melléklet'!C74+'2_f_h_sz_ melléklet'!C75+'2_f_h_sz_ melléklet'!C76+'2_f_h_sz_ melléklet'!C77+'2_f_h_sz_ melléklet'!C78+'2_f_h_sz_ melléklet'!C79+'2_f_h_sz_ melléklet'!C80+'2_f_h_sz_ melléklet'!C81+'2_f_h_sz_ melléklet'!C85</f>
        <v>102107</v>
      </c>
      <c r="C63" s="561">
        <f>'2_l_sz_ melléklet'!C70</f>
        <v>24231</v>
      </c>
      <c r="D63" s="562">
        <f>SUM(B63:C63)</f>
        <v>126338</v>
      </c>
    </row>
    <row r="64" spans="1:4" ht="15" customHeight="1">
      <c r="A64" s="116" t="s">
        <v>255</v>
      </c>
      <c r="B64" s="563">
        <f>'2_f_h_sz_ melléklet'!C74</f>
        <v>1501</v>
      </c>
      <c r="C64" s="577">
        <f>'2_l_sz_ melléklet'!C71</f>
        <v>0</v>
      </c>
      <c r="D64" s="562">
        <f>SUM(B64:C64)</f>
        <v>1501</v>
      </c>
    </row>
    <row r="65" spans="1:4" ht="15" customHeight="1">
      <c r="A65" s="116" t="s">
        <v>256</v>
      </c>
      <c r="B65" s="563">
        <f>'2_f_h_sz_ melléklet'!C88</f>
        <v>362499</v>
      </c>
      <c r="C65" s="577">
        <f>'2_l_sz_ melléklet'!C72</f>
        <v>0</v>
      </c>
      <c r="D65" s="562">
        <f>SUM(B65:C65)</f>
        <v>362499</v>
      </c>
    </row>
    <row r="66" spans="1:4" ht="15" customHeight="1">
      <c r="A66" s="368" t="s">
        <v>255</v>
      </c>
      <c r="B66" s="564">
        <v>0</v>
      </c>
      <c r="C66" s="578">
        <f>'2_l_sz_ melléklet'!C73</f>
        <v>0</v>
      </c>
      <c r="D66" s="562">
        <f>SUM(B66:C66)</f>
        <v>0</v>
      </c>
    </row>
    <row r="67" spans="1:4" ht="15" customHeight="1">
      <c r="A67" s="111" t="s">
        <v>442</v>
      </c>
      <c r="B67" s="512">
        <f>B63+B65</f>
        <v>464606</v>
      </c>
      <c r="C67" s="557">
        <f>C63+C65</f>
        <v>24231</v>
      </c>
      <c r="D67" s="557">
        <f>C67+B67</f>
        <v>488837</v>
      </c>
    </row>
    <row r="68" spans="1:4" ht="15" customHeight="1">
      <c r="A68" s="558"/>
      <c r="B68" s="562"/>
      <c r="C68" s="565"/>
      <c r="D68" s="565"/>
    </row>
    <row r="69" spans="1:4" ht="15" customHeight="1">
      <c r="A69" s="109" t="s">
        <v>525</v>
      </c>
      <c r="B69" s="410">
        <v>0</v>
      </c>
      <c r="C69" s="555">
        <f>'2_l_sz_ melléklet'!C76</f>
        <v>0</v>
      </c>
      <c r="D69" s="555">
        <f>SUM(B69:C69)</f>
        <v>0</v>
      </c>
    </row>
    <row r="70" spans="1:4" ht="15" customHeight="1">
      <c r="A70" s="110" t="s">
        <v>526</v>
      </c>
      <c r="B70" s="68">
        <f>'2_i_j_sz_ mell_'!C106</f>
        <v>0</v>
      </c>
      <c r="C70" s="565">
        <f>'2_l_sz_ melléklet'!C77</f>
        <v>14000</v>
      </c>
      <c r="D70" s="555">
        <f>SUM(B70:C70)</f>
        <v>14000</v>
      </c>
    </row>
    <row r="71" spans="1:4" ht="15" customHeight="1">
      <c r="A71" s="111" t="s">
        <v>527</v>
      </c>
      <c r="B71" s="512">
        <f>SUM(B69:B70)</f>
        <v>0</v>
      </c>
      <c r="C71" s="512">
        <f>SUM(C69:C70)</f>
        <v>14000</v>
      </c>
      <c r="D71" s="512">
        <f>SUM(D69:D70)</f>
        <v>14000</v>
      </c>
    </row>
    <row r="72" spans="1:4" ht="15" customHeight="1">
      <c r="A72" s="558"/>
      <c r="B72" s="566"/>
      <c r="C72" s="565"/>
      <c r="D72" s="565"/>
    </row>
    <row r="73" spans="1:4" ht="15" customHeight="1">
      <c r="A73" s="109" t="s">
        <v>266</v>
      </c>
      <c r="B73" s="57">
        <f>'2_m_n_sz_ melléklet'!B21</f>
        <v>108</v>
      </c>
      <c r="C73" s="76">
        <f>'2_l_sz_ melléklet'!C80</f>
        <v>0</v>
      </c>
      <c r="D73" s="76">
        <f>SUM(B73:C73)</f>
        <v>108</v>
      </c>
    </row>
    <row r="74" spans="1:4" ht="15" customHeight="1">
      <c r="A74" s="109" t="s">
        <v>267</v>
      </c>
      <c r="B74" s="57"/>
      <c r="C74" s="76"/>
      <c r="D74" s="76"/>
    </row>
    <row r="75" spans="1:4" ht="15" customHeight="1">
      <c r="A75" s="109" t="s">
        <v>540</v>
      </c>
      <c r="B75" s="57"/>
      <c r="C75" s="76">
        <f>'2_l_sz_ melléklet'!C81</f>
        <v>0</v>
      </c>
      <c r="D75" s="76">
        <f>SUM(B75:C75)</f>
        <v>0</v>
      </c>
    </row>
    <row r="76" spans="1:4" ht="30" customHeight="1">
      <c r="A76" s="380" t="s">
        <v>529</v>
      </c>
      <c r="B76" s="512">
        <f>SUM(B73:B75)</f>
        <v>108</v>
      </c>
      <c r="C76" s="512">
        <f>SUM(C73:C75)</f>
        <v>0</v>
      </c>
      <c r="D76" s="512">
        <f>SUM(D73:D75)</f>
        <v>108</v>
      </c>
    </row>
    <row r="77" spans="1:4" ht="15" customHeight="1">
      <c r="A77" s="567"/>
      <c r="B77" s="568"/>
      <c r="C77" s="568"/>
      <c r="D77" s="568"/>
    </row>
    <row r="78" spans="1:4" ht="15" customHeight="1">
      <c r="A78" s="111" t="s">
        <v>530</v>
      </c>
      <c r="B78" s="512">
        <f>B76+B71+B67+B61</f>
        <v>487238</v>
      </c>
      <c r="C78" s="512">
        <f>C76+C71+C67+C61</f>
        <v>218894</v>
      </c>
      <c r="D78" s="512">
        <f>D76+D71+D67+D61</f>
        <v>706132</v>
      </c>
    </row>
    <row r="79" spans="1:4" ht="15" customHeight="1">
      <c r="A79" s="122"/>
      <c r="B79" s="512"/>
      <c r="C79" s="569"/>
      <c r="D79" s="569"/>
    </row>
    <row r="80" spans="1:4" ht="15" customHeight="1">
      <c r="A80" s="122" t="s">
        <v>531</v>
      </c>
      <c r="B80" s="512">
        <f>B81</f>
        <v>0</v>
      </c>
      <c r="C80" s="512">
        <f>SUM(C81)</f>
        <v>0</v>
      </c>
      <c r="D80" s="512">
        <f>SUM(D81)</f>
        <v>0</v>
      </c>
    </row>
    <row r="81" spans="1:4" ht="15" customHeight="1">
      <c r="A81" s="109" t="s">
        <v>532</v>
      </c>
      <c r="B81" s="57">
        <f>B82+B83</f>
        <v>0</v>
      </c>
      <c r="C81" s="75">
        <f>'2_l_sz_ melléklet'!C87</f>
        <v>0</v>
      </c>
      <c r="D81" s="57">
        <f>D82+D83</f>
        <v>0</v>
      </c>
    </row>
    <row r="82" spans="1:4" ht="15" customHeight="1">
      <c r="A82" s="109" t="s">
        <v>533</v>
      </c>
      <c r="B82" s="68">
        <v>0</v>
      </c>
      <c r="C82" s="75">
        <f>'2_l_sz_ melléklet'!C88</f>
        <v>0</v>
      </c>
      <c r="D82" s="68">
        <f>SUM(B82:C82)</f>
        <v>0</v>
      </c>
    </row>
    <row r="83" spans="1:4" ht="15" customHeight="1">
      <c r="A83" s="109" t="s">
        <v>534</v>
      </c>
      <c r="B83" s="57">
        <v>0</v>
      </c>
      <c r="C83" s="75">
        <f>'2_l_sz_ melléklet'!C89</f>
        <v>0</v>
      </c>
      <c r="D83" s="57">
        <f>SUM(B83:C83)</f>
        <v>0</v>
      </c>
    </row>
    <row r="84" spans="1:4" ht="15" customHeight="1">
      <c r="A84" s="122"/>
      <c r="B84" s="516"/>
      <c r="C84" s="569"/>
      <c r="D84" s="569"/>
    </row>
    <row r="85" spans="1:4" ht="15" customHeight="1">
      <c r="A85" s="240" t="s">
        <v>273</v>
      </c>
      <c r="B85" s="94">
        <f>B86+B87</f>
        <v>0</v>
      </c>
      <c r="C85" s="94">
        <f>C86+C87</f>
        <v>0</v>
      </c>
      <c r="D85" s="94">
        <f>D86+D87</f>
        <v>0</v>
      </c>
    </row>
    <row r="86" spans="1:4" ht="15" customHeight="1">
      <c r="A86" s="388" t="s">
        <v>274</v>
      </c>
      <c r="B86" s="84">
        <v>0</v>
      </c>
      <c r="C86" s="92">
        <v>0</v>
      </c>
      <c r="D86" s="559">
        <f>SUM(B86:C86)</f>
        <v>0</v>
      </c>
    </row>
    <row r="87" spans="1:4" ht="15" customHeight="1">
      <c r="A87" s="109" t="s">
        <v>275</v>
      </c>
      <c r="B87" s="57">
        <v>0</v>
      </c>
      <c r="C87" s="58">
        <v>0</v>
      </c>
      <c r="D87" s="562">
        <f>SUM(B87:C87)</f>
        <v>0</v>
      </c>
    </row>
    <row r="88" spans="1:4" ht="15" customHeight="1">
      <c r="A88" s="567"/>
      <c r="B88" s="570"/>
      <c r="C88" s="571"/>
      <c r="D88" s="572"/>
    </row>
    <row r="89" spans="1:4" ht="15" customHeight="1">
      <c r="A89" s="111" t="s">
        <v>535</v>
      </c>
      <c r="B89" s="512"/>
      <c r="C89" s="557">
        <f>'2_l_sz_ melléklet'!C95</f>
        <v>1412569</v>
      </c>
      <c r="D89" s="573">
        <f>B89+C89</f>
        <v>1412569</v>
      </c>
    </row>
    <row r="90" spans="1:4" ht="15" customHeight="1">
      <c r="A90" s="567"/>
      <c r="B90" s="568"/>
      <c r="C90" s="568"/>
      <c r="D90" s="568"/>
    </row>
    <row r="91" spans="1:4" ht="15" customHeight="1">
      <c r="A91" s="111" t="s">
        <v>536</v>
      </c>
      <c r="B91" s="512">
        <f>B89+B85+B78+B80</f>
        <v>487238</v>
      </c>
      <c r="C91" s="512">
        <f>C89+C85+C78+C80</f>
        <v>1631463</v>
      </c>
      <c r="D91" s="512">
        <f>D89+D85+D78+D80</f>
        <v>2118701</v>
      </c>
    </row>
    <row r="92" ht="15" customHeight="1"/>
  </sheetData>
  <sheetProtection/>
  <mergeCells count="7">
    <mergeCell ref="A52:D52"/>
    <mergeCell ref="C1:D1"/>
    <mergeCell ref="A4:D4"/>
    <mergeCell ref="A5:D5"/>
    <mergeCell ref="A48:E48"/>
    <mergeCell ref="C49:D49"/>
    <mergeCell ref="A51:D5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79">
      <selection activeCell="A97" sqref="A97"/>
    </sheetView>
  </sheetViews>
  <sheetFormatPr defaultColWidth="9.140625" defaultRowHeight="12.75"/>
  <cols>
    <col min="1" max="1" width="37.57421875" style="0" customWidth="1"/>
    <col min="2" max="2" width="9.421875" style="0" customWidth="1"/>
    <col min="3" max="4" width="9.8515625" style="0" customWidth="1"/>
    <col min="5" max="5" width="11.00390625" style="0" customWidth="1"/>
  </cols>
  <sheetData>
    <row r="1" spans="4:5" ht="12.75">
      <c r="D1" s="1065" t="s">
        <v>541</v>
      </c>
      <c r="E1" s="1065"/>
    </row>
    <row r="2" spans="4:5" ht="12.75">
      <c r="D2" s="517"/>
      <c r="E2" s="517"/>
    </row>
    <row r="4" spans="1:6" ht="15.75">
      <c r="A4" s="1042" t="s">
        <v>542</v>
      </c>
      <c r="B4" s="1042"/>
      <c r="C4" s="1042"/>
      <c r="D4" s="1042"/>
      <c r="E4" s="1042"/>
      <c r="F4" s="1042"/>
    </row>
    <row r="5" spans="1:6" ht="15.75">
      <c r="A5" s="1042" t="s">
        <v>543</v>
      </c>
      <c r="B5" s="1042"/>
      <c r="C5" s="1042"/>
      <c r="D5" s="1042"/>
      <c r="E5" s="1042"/>
      <c r="F5" s="1042"/>
    </row>
    <row r="6" spans="1:5" ht="15.75">
      <c r="A6" s="45"/>
      <c r="B6" s="45"/>
      <c r="C6" s="45"/>
      <c r="D6" s="45"/>
      <c r="E6" s="45"/>
    </row>
    <row r="8" spans="4:5" ht="12.75">
      <c r="D8" s="517"/>
      <c r="E8" s="517" t="s">
        <v>33</v>
      </c>
    </row>
    <row r="9" spans="1:6" ht="46.5" customHeight="1">
      <c r="A9" s="533" t="s">
        <v>315</v>
      </c>
      <c r="B9" s="576" t="s">
        <v>544</v>
      </c>
      <c r="C9" s="576" t="s">
        <v>545</v>
      </c>
      <c r="D9" s="576" t="s">
        <v>108</v>
      </c>
      <c r="E9" s="576" t="s">
        <v>109</v>
      </c>
      <c r="F9" s="106" t="s">
        <v>546</v>
      </c>
    </row>
    <row r="10" spans="1:6" ht="12.75">
      <c r="A10" s="395" t="s">
        <v>521</v>
      </c>
      <c r="B10" s="579">
        <v>0</v>
      </c>
      <c r="C10" s="579">
        <v>0</v>
      </c>
      <c r="D10" s="238">
        <v>0</v>
      </c>
      <c r="E10" s="131">
        <v>0</v>
      </c>
      <c r="F10" s="131">
        <v>0</v>
      </c>
    </row>
    <row r="11" spans="1:6" ht="12.75">
      <c r="A11" s="91" t="s">
        <v>282</v>
      </c>
      <c r="B11" s="580"/>
      <c r="C11" s="580"/>
      <c r="D11" s="410">
        <v>6450</v>
      </c>
      <c r="E11" s="255">
        <v>3495</v>
      </c>
      <c r="F11" s="76">
        <v>25020</v>
      </c>
    </row>
    <row r="12" spans="1:6" ht="12.75">
      <c r="A12" s="109" t="s">
        <v>522</v>
      </c>
      <c r="B12" s="75"/>
      <c r="C12" s="75"/>
      <c r="D12" s="57"/>
      <c r="E12" s="255"/>
      <c r="F12" s="76">
        <v>3500</v>
      </c>
    </row>
    <row r="13" spans="1:6" ht="12.75">
      <c r="A13" s="556" t="s">
        <v>284</v>
      </c>
      <c r="B13" s="71"/>
      <c r="C13" s="71"/>
      <c r="D13" s="84"/>
      <c r="E13" s="255">
        <v>300</v>
      </c>
      <c r="F13" s="76">
        <v>200</v>
      </c>
    </row>
    <row r="14" spans="1:6" ht="12.75">
      <c r="A14" s="371" t="s">
        <v>523</v>
      </c>
      <c r="B14" s="75">
        <v>0</v>
      </c>
      <c r="C14" s="75">
        <v>0</v>
      </c>
      <c r="D14" s="57">
        <v>0</v>
      </c>
      <c r="E14" s="76">
        <v>0</v>
      </c>
      <c r="F14" s="76">
        <f>'2_a_d_sz_ melléklet'!B19</f>
        <v>400</v>
      </c>
    </row>
    <row r="15" spans="1:6" s="112" customFormat="1" ht="12.75">
      <c r="A15" s="111" t="s">
        <v>524</v>
      </c>
      <c r="B15" s="80">
        <f>SUM(B10:B14)</f>
        <v>0</v>
      </c>
      <c r="C15" s="80">
        <f>SUM(C10:C14)</f>
        <v>0</v>
      </c>
      <c r="D15" s="63">
        <f>SUM(D10:D14)</f>
        <v>6450</v>
      </c>
      <c r="E15" s="81">
        <f>SUM(E10:E14)</f>
        <v>3795</v>
      </c>
      <c r="F15" s="81">
        <f>SUM(F10:F14)</f>
        <v>29120</v>
      </c>
    </row>
    <row r="16" spans="1:6" ht="12.75">
      <c r="A16" s="558"/>
      <c r="B16" s="130"/>
      <c r="C16" s="580"/>
      <c r="D16" s="559"/>
      <c r="E16" s="581"/>
      <c r="F16" s="581"/>
    </row>
    <row r="17" spans="1:6" ht="12.75">
      <c r="A17" s="367" t="s">
        <v>254</v>
      </c>
      <c r="B17" s="582">
        <v>0</v>
      </c>
      <c r="C17" s="582">
        <v>0</v>
      </c>
      <c r="D17" s="583">
        <f>'2_f_h_sz_ melléklet'!C86</f>
        <v>24231</v>
      </c>
      <c r="E17" s="584"/>
      <c r="F17" s="584">
        <v>0</v>
      </c>
    </row>
    <row r="18" spans="1:6" ht="12.75">
      <c r="A18" s="116" t="s">
        <v>255</v>
      </c>
      <c r="B18" s="585">
        <v>0</v>
      </c>
      <c r="C18" s="585">
        <v>0</v>
      </c>
      <c r="D18" s="586">
        <v>0</v>
      </c>
      <c r="E18" s="587">
        <v>0</v>
      </c>
      <c r="F18" s="587">
        <v>0</v>
      </c>
    </row>
    <row r="19" spans="1:6" ht="12.75">
      <c r="A19" s="116" t="s">
        <v>256</v>
      </c>
      <c r="B19" s="585">
        <v>0</v>
      </c>
      <c r="C19" s="585">
        <v>0</v>
      </c>
      <c r="D19" s="586">
        <v>0</v>
      </c>
      <c r="E19" s="587">
        <v>0</v>
      </c>
      <c r="F19" s="587">
        <v>0</v>
      </c>
    </row>
    <row r="20" spans="1:6" ht="12.75">
      <c r="A20" s="368" t="s">
        <v>255</v>
      </c>
      <c r="B20" s="588">
        <v>0</v>
      </c>
      <c r="C20" s="588">
        <v>0</v>
      </c>
      <c r="D20" s="589">
        <v>0</v>
      </c>
      <c r="E20" s="590">
        <v>0</v>
      </c>
      <c r="F20" s="590">
        <v>0</v>
      </c>
    </row>
    <row r="21" spans="1:6" ht="12.75">
      <c r="A21" s="111" t="s">
        <v>442</v>
      </c>
      <c r="B21" s="80">
        <f>B17+B19</f>
        <v>0</v>
      </c>
      <c r="C21" s="80">
        <f>C17+C19</f>
        <v>0</v>
      </c>
      <c r="D21" s="63">
        <f>D17+D19</f>
        <v>24231</v>
      </c>
      <c r="E21" s="81">
        <f>E17+E19</f>
        <v>0</v>
      </c>
      <c r="F21" s="81">
        <f>F17+F19</f>
        <v>0</v>
      </c>
    </row>
    <row r="22" spans="1:6" ht="12.75">
      <c r="A22" s="558"/>
      <c r="B22" s="230"/>
      <c r="C22" s="591"/>
      <c r="D22" s="562"/>
      <c r="E22" s="565"/>
      <c r="F22" s="565"/>
    </row>
    <row r="23" spans="1:6" ht="12.75">
      <c r="A23" s="109" t="s">
        <v>525</v>
      </c>
      <c r="B23" s="75">
        <v>0</v>
      </c>
      <c r="C23" s="580">
        <v>0</v>
      </c>
      <c r="D23" s="410">
        <v>0</v>
      </c>
      <c r="E23" s="555">
        <v>0</v>
      </c>
      <c r="F23" s="555">
        <v>0</v>
      </c>
    </row>
    <row r="24" spans="1:6" ht="12.75">
      <c r="A24" s="116" t="s">
        <v>526</v>
      </c>
      <c r="B24" s="592">
        <v>0</v>
      </c>
      <c r="C24" s="71">
        <v>0</v>
      </c>
      <c r="D24" s="412">
        <v>0</v>
      </c>
      <c r="E24" s="593">
        <f>'2_i_j_sz_ mell_'!C56</f>
        <v>7000</v>
      </c>
      <c r="F24" s="593">
        <f>'2_i_j_sz_ mell_'!C57</f>
        <v>7000</v>
      </c>
    </row>
    <row r="25" spans="1:6" ht="12.75">
      <c r="A25" s="111" t="s">
        <v>527</v>
      </c>
      <c r="B25" s="594">
        <f>B24+B23</f>
        <v>0</v>
      </c>
      <c r="C25" s="511">
        <f>C24+C23</f>
        <v>0</v>
      </c>
      <c r="D25" s="512">
        <f>D24+D23</f>
        <v>0</v>
      </c>
      <c r="E25" s="557">
        <f>E24+E23</f>
        <v>7000</v>
      </c>
      <c r="F25" s="557">
        <f>F24+F23</f>
        <v>7000</v>
      </c>
    </row>
    <row r="26" spans="1:6" ht="12.75">
      <c r="A26" s="558"/>
      <c r="B26" s="130"/>
      <c r="C26" s="595"/>
      <c r="D26" s="562"/>
      <c r="E26" s="565"/>
      <c r="F26" s="565"/>
    </row>
    <row r="27" spans="1:6" ht="12.75">
      <c r="A27" s="109" t="s">
        <v>266</v>
      </c>
      <c r="B27" s="75">
        <v>0</v>
      </c>
      <c r="C27" s="75">
        <v>0</v>
      </c>
      <c r="D27" s="57">
        <v>0</v>
      </c>
      <c r="E27" s="76">
        <v>0</v>
      </c>
      <c r="F27" s="76">
        <v>0</v>
      </c>
    </row>
    <row r="28" spans="1:6" ht="12.75">
      <c r="A28" s="109" t="s">
        <v>528</v>
      </c>
      <c r="B28" s="286">
        <v>0</v>
      </c>
      <c r="C28" s="75">
        <v>0</v>
      </c>
      <c r="D28" s="57">
        <v>0</v>
      </c>
      <c r="E28" s="76">
        <v>0</v>
      </c>
      <c r="F28" s="76">
        <v>0</v>
      </c>
    </row>
    <row r="29" spans="1:6" ht="30" customHeight="1">
      <c r="A29" s="380" t="s">
        <v>529</v>
      </c>
      <c r="B29" s="511">
        <f>B27+B28</f>
        <v>0</v>
      </c>
      <c r="C29" s="511">
        <f>C27+C28</f>
        <v>0</v>
      </c>
      <c r="D29" s="512">
        <f>D27+D28</f>
        <v>0</v>
      </c>
      <c r="E29" s="557">
        <f>E27+E28</f>
        <v>0</v>
      </c>
      <c r="F29" s="557">
        <f>F27+F28</f>
        <v>0</v>
      </c>
    </row>
    <row r="30" spans="1:6" ht="12.75">
      <c r="A30" s="567"/>
      <c r="B30" s="236"/>
      <c r="C30" s="596"/>
      <c r="D30" s="568"/>
      <c r="E30" s="597"/>
      <c r="F30" s="597"/>
    </row>
    <row r="31" spans="1:6" ht="12.75">
      <c r="A31" s="111" t="s">
        <v>530</v>
      </c>
      <c r="B31" s="511">
        <f>B29+B25+B21+B15</f>
        <v>0</v>
      </c>
      <c r="C31" s="511">
        <f>C29+C25+C21+C15</f>
        <v>0</v>
      </c>
      <c r="D31" s="511">
        <f>D29+D25+D21+D15</f>
        <v>30681</v>
      </c>
      <c r="E31" s="511">
        <f>E29+E25+E21+E15</f>
        <v>10795</v>
      </c>
      <c r="F31" s="512">
        <f>F29+F25+F21+F15</f>
        <v>36120</v>
      </c>
    </row>
    <row r="32" spans="1:6" ht="12.75">
      <c r="A32" s="117"/>
      <c r="B32" s="594"/>
      <c r="C32" s="594"/>
      <c r="D32" s="598"/>
      <c r="E32" s="569"/>
      <c r="F32" s="569"/>
    </row>
    <row r="33" spans="1:6" ht="12.75">
      <c r="A33" s="111" t="s">
        <v>531</v>
      </c>
      <c r="B33" s="511">
        <f>B34</f>
        <v>0</v>
      </c>
      <c r="C33" s="511">
        <f>C34</f>
        <v>0</v>
      </c>
      <c r="D33" s="512">
        <f>D34</f>
        <v>0</v>
      </c>
      <c r="E33" s="557">
        <f>E34</f>
        <v>0</v>
      </c>
      <c r="F33" s="557">
        <f>F34</f>
        <v>0</v>
      </c>
    </row>
    <row r="34" spans="1:6" ht="12.75">
      <c r="A34" s="108" t="s">
        <v>532</v>
      </c>
      <c r="B34" s="230">
        <f>B35+B36</f>
        <v>0</v>
      </c>
      <c r="C34" s="230">
        <f>C35+C36</f>
        <v>0</v>
      </c>
      <c r="D34" s="68">
        <f>D35+D36</f>
        <v>0</v>
      </c>
      <c r="E34" s="115">
        <f>E35+E36</f>
        <v>0</v>
      </c>
      <c r="F34" s="115">
        <f>F35+F36</f>
        <v>0</v>
      </c>
    </row>
    <row r="35" spans="1:6" ht="12.75">
      <c r="A35" s="109" t="s">
        <v>533</v>
      </c>
      <c r="B35" s="75">
        <v>0</v>
      </c>
      <c r="C35" s="75">
        <v>0</v>
      </c>
      <c r="D35" s="57">
        <v>0</v>
      </c>
      <c r="E35" s="76">
        <v>0</v>
      </c>
      <c r="F35" s="76">
        <v>0</v>
      </c>
    </row>
    <row r="36" spans="1:6" ht="12.75">
      <c r="A36" s="109" t="s">
        <v>534</v>
      </c>
      <c r="B36" s="75">
        <v>0</v>
      </c>
      <c r="C36" s="75">
        <v>0</v>
      </c>
      <c r="D36" s="57">
        <v>0</v>
      </c>
      <c r="E36" s="76">
        <v>0</v>
      </c>
      <c r="F36" s="76">
        <v>0</v>
      </c>
    </row>
    <row r="37" spans="1:6" ht="12.75">
      <c r="A37" s="122"/>
      <c r="B37" s="599"/>
      <c r="C37" s="599"/>
      <c r="D37" s="598"/>
      <c r="E37" s="569"/>
      <c r="F37" s="569"/>
    </row>
    <row r="38" spans="1:6" ht="12.75">
      <c r="A38" s="240" t="s">
        <v>273</v>
      </c>
      <c r="B38" s="127">
        <f>B39+B40</f>
        <v>0</v>
      </c>
      <c r="C38" s="127">
        <f>C39+C40</f>
        <v>0</v>
      </c>
      <c r="D38" s="94">
        <f>D39+D40</f>
        <v>0</v>
      </c>
      <c r="E38" s="600">
        <f>E39+E40</f>
        <v>0</v>
      </c>
      <c r="F38" s="600">
        <f>F39+F40</f>
        <v>0</v>
      </c>
    </row>
    <row r="39" spans="1:6" ht="12.75">
      <c r="A39" s="388" t="s">
        <v>274</v>
      </c>
      <c r="B39" s="236">
        <v>0</v>
      </c>
      <c r="C39" s="71">
        <v>0</v>
      </c>
      <c r="D39" s="84">
        <v>0</v>
      </c>
      <c r="E39" s="601">
        <v>0</v>
      </c>
      <c r="F39" s="601">
        <v>0</v>
      </c>
    </row>
    <row r="40" spans="1:6" ht="12.75">
      <c r="A40" s="109" t="s">
        <v>275</v>
      </c>
      <c r="B40" s="75">
        <v>0</v>
      </c>
      <c r="C40" s="75">
        <v>0</v>
      </c>
      <c r="D40" s="57">
        <v>0</v>
      </c>
      <c r="E40" s="555">
        <v>0</v>
      </c>
      <c r="F40" s="555">
        <v>0</v>
      </c>
    </row>
    <row r="41" spans="1:6" ht="12.75">
      <c r="A41" s="567"/>
      <c r="B41" s="71"/>
      <c r="C41" s="602"/>
      <c r="D41" s="568"/>
      <c r="E41" s="603"/>
      <c r="F41" s="603"/>
    </row>
    <row r="42" spans="1:6" ht="12.75">
      <c r="A42" s="111" t="s">
        <v>535</v>
      </c>
      <c r="B42" s="511">
        <v>206426</v>
      </c>
      <c r="C42" s="511">
        <v>212240</v>
      </c>
      <c r="D42" s="512">
        <v>414702</v>
      </c>
      <c r="E42" s="557">
        <v>186457</v>
      </c>
      <c r="F42" s="573">
        <v>247252</v>
      </c>
    </row>
    <row r="43" spans="1:6" ht="12.75">
      <c r="A43" s="567"/>
      <c r="B43" s="236"/>
      <c r="C43" s="596"/>
      <c r="D43" s="568"/>
      <c r="E43" s="597"/>
      <c r="F43" s="597"/>
    </row>
    <row r="44" spans="1:6" ht="12.75">
      <c r="A44" s="111" t="s">
        <v>536</v>
      </c>
      <c r="B44" s="511">
        <f>B31+B38+B42+B33</f>
        <v>206426</v>
      </c>
      <c r="C44" s="511">
        <f>C31+C38+C42+C33</f>
        <v>212240</v>
      </c>
      <c r="D44" s="511">
        <f>D31+D38+D42+D33</f>
        <v>445383</v>
      </c>
      <c r="E44" s="511">
        <f>E31+E38+E42+E33</f>
        <v>197252</v>
      </c>
      <c r="F44" s="512">
        <f>F31+F38+F42+F33</f>
        <v>283372</v>
      </c>
    </row>
    <row r="53" spans="1:6" ht="12.75">
      <c r="A53" s="1051">
        <v>2</v>
      </c>
      <c r="B53" s="1051"/>
      <c r="C53" s="1051"/>
      <c r="D53" s="1051"/>
      <c r="E53" s="1051"/>
      <c r="F53" s="1051"/>
    </row>
    <row r="55" spans="4:5" ht="12.75">
      <c r="D55" s="1065" t="s">
        <v>541</v>
      </c>
      <c r="E55" s="1065"/>
    </row>
    <row r="56" spans="4:5" ht="12.75">
      <c r="D56" s="517"/>
      <c r="E56" s="517"/>
    </row>
    <row r="58" spans="1:6" ht="15.75">
      <c r="A58" s="1042" t="s">
        <v>542</v>
      </c>
      <c r="B58" s="1042"/>
      <c r="C58" s="1042"/>
      <c r="D58" s="1042"/>
      <c r="E58" s="1042"/>
      <c r="F58" s="1042"/>
    </row>
    <row r="59" spans="1:6" ht="15.75">
      <c r="A59" s="1042" t="s">
        <v>543</v>
      </c>
      <c r="B59" s="1042"/>
      <c r="C59" s="1042"/>
      <c r="D59" s="1042"/>
      <c r="E59" s="1042"/>
      <c r="F59" s="1042"/>
    </row>
    <row r="61" spans="4:5" ht="12.75">
      <c r="D61" s="517"/>
      <c r="E61" s="517" t="s">
        <v>33</v>
      </c>
    </row>
    <row r="62" spans="1:5" ht="59.25" customHeight="1">
      <c r="A62" s="533" t="s">
        <v>315</v>
      </c>
      <c r="B62" s="604" t="s">
        <v>547</v>
      </c>
      <c r="C62" s="605" t="s">
        <v>548</v>
      </c>
      <c r="D62" s="106" t="s">
        <v>549</v>
      </c>
      <c r="E62" s="576" t="s">
        <v>550</v>
      </c>
    </row>
    <row r="63" spans="1:5" ht="12.75">
      <c r="A63" s="395" t="s">
        <v>521</v>
      </c>
      <c r="B63" s="606">
        <v>0</v>
      </c>
      <c r="C63" s="607">
        <f>B63+B10+C10+D10+E10+F10</f>
        <v>0</v>
      </c>
      <c r="D63" s="238">
        <v>0</v>
      </c>
      <c r="E63" s="254">
        <f>D63+C63</f>
        <v>0</v>
      </c>
    </row>
    <row r="64" spans="1:5" ht="12.75">
      <c r="A64" s="91" t="s">
        <v>282</v>
      </c>
      <c r="B64" s="457">
        <v>112991</v>
      </c>
      <c r="C64" s="460">
        <f>B64+B11+C11+D11+E11+F11</f>
        <v>147956</v>
      </c>
      <c r="D64" s="410"/>
      <c r="E64" s="255">
        <f>D64+C64</f>
        <v>147956</v>
      </c>
    </row>
    <row r="65" spans="1:5" ht="12.75">
      <c r="A65" s="109" t="s">
        <v>522</v>
      </c>
      <c r="B65" s="457">
        <v>28247</v>
      </c>
      <c r="C65" s="460">
        <f>B65+B12+C12+D12+E12+F12</f>
        <v>31747</v>
      </c>
      <c r="D65" s="57"/>
      <c r="E65" s="255">
        <f>D65+C65</f>
        <v>31747</v>
      </c>
    </row>
    <row r="66" spans="1:5" ht="12.75">
      <c r="A66" s="556" t="s">
        <v>284</v>
      </c>
      <c r="B66" s="457">
        <v>60</v>
      </c>
      <c r="C66" s="460">
        <f>B66+B13+C13+D13+E13+F13</f>
        <v>560</v>
      </c>
      <c r="D66" s="84">
        <v>0</v>
      </c>
      <c r="E66" s="255">
        <f>D66+C66</f>
        <v>560</v>
      </c>
    </row>
    <row r="67" spans="1:5" ht="12.75">
      <c r="A67" s="371" t="s">
        <v>523</v>
      </c>
      <c r="B67" s="608"/>
      <c r="C67" s="460">
        <f>B67+B14+C14+D14+E14+F14</f>
        <v>400</v>
      </c>
      <c r="D67" s="57"/>
      <c r="E67" s="96">
        <f>D67+C67</f>
        <v>400</v>
      </c>
    </row>
    <row r="68" spans="1:5" ht="12.75">
      <c r="A68" s="111" t="s">
        <v>524</v>
      </c>
      <c r="B68" s="512">
        <f>SUM(B63:B67)</f>
        <v>141298</v>
      </c>
      <c r="C68" s="609">
        <f>SUM(C63:C67)</f>
        <v>180663</v>
      </c>
      <c r="D68" s="63">
        <f>SUM(D63:D67)</f>
        <v>0</v>
      </c>
      <c r="E68" s="63">
        <f>SUM(E63:E67)</f>
        <v>180663</v>
      </c>
    </row>
    <row r="69" spans="1:5" ht="12.75">
      <c r="A69" s="558"/>
      <c r="B69" s="336"/>
      <c r="C69" s="610"/>
      <c r="D69" s="410"/>
      <c r="E69" s="611"/>
    </row>
    <row r="70" spans="1:5" ht="12.75">
      <c r="A70" s="367" t="s">
        <v>254</v>
      </c>
      <c r="B70" s="606">
        <v>0</v>
      </c>
      <c r="C70" s="612">
        <f>B70+B17+C17+D17+E17+F17</f>
        <v>24231</v>
      </c>
      <c r="D70" s="583">
        <v>0</v>
      </c>
      <c r="E70" s="254">
        <f>D70+C70</f>
        <v>24231</v>
      </c>
    </row>
    <row r="71" spans="1:5" ht="12.75">
      <c r="A71" s="116" t="s">
        <v>255</v>
      </c>
      <c r="B71" s="110">
        <v>0</v>
      </c>
      <c r="C71" s="612">
        <f>B71+B18+C18+D18+E18+F18</f>
        <v>0</v>
      </c>
      <c r="D71" s="586">
        <v>0</v>
      </c>
      <c r="E71" s="255">
        <f>D71+C71</f>
        <v>0</v>
      </c>
    </row>
    <row r="72" spans="1:5" ht="12.75">
      <c r="A72" s="116" t="s">
        <v>256</v>
      </c>
      <c r="B72" s="229">
        <v>0</v>
      </c>
      <c r="C72" s="612">
        <f>B72+B19+C19+D19+E19+F19</f>
        <v>0</v>
      </c>
      <c r="D72" s="586">
        <v>0</v>
      </c>
      <c r="E72" s="255">
        <f>D72+C72</f>
        <v>0</v>
      </c>
    </row>
    <row r="73" spans="1:5" ht="12.75">
      <c r="A73" s="368" t="s">
        <v>255</v>
      </c>
      <c r="B73" s="374">
        <v>0</v>
      </c>
      <c r="C73" s="612">
        <f>B73+B20+C20+D20+E20+F20</f>
        <v>0</v>
      </c>
      <c r="D73" s="589">
        <v>0</v>
      </c>
      <c r="E73" s="255">
        <f>D73+C73</f>
        <v>0</v>
      </c>
    </row>
    <row r="74" spans="1:5" ht="12.75">
      <c r="A74" s="111" t="s">
        <v>442</v>
      </c>
      <c r="B74" s="63">
        <f>B70+B72</f>
        <v>0</v>
      </c>
      <c r="C74" s="63">
        <f>C70+C72</f>
        <v>24231</v>
      </c>
      <c r="D74" s="63">
        <f>D70+D72</f>
        <v>0</v>
      </c>
      <c r="E74" s="63">
        <f>E70+E72</f>
        <v>24231</v>
      </c>
    </row>
    <row r="75" spans="1:5" ht="12.75">
      <c r="A75" s="558"/>
      <c r="B75" s="613"/>
      <c r="C75" s="614"/>
      <c r="D75" s="562"/>
      <c r="E75" s="559"/>
    </row>
    <row r="76" spans="1:5" ht="12.75">
      <c r="A76" s="109" t="s">
        <v>525</v>
      </c>
      <c r="B76" s="110">
        <v>0</v>
      </c>
      <c r="C76" s="460">
        <f>B76+B23+C23+D23+E23+F23</f>
        <v>0</v>
      </c>
      <c r="D76" s="410">
        <v>0</v>
      </c>
      <c r="E76" s="96">
        <f>C76+D76</f>
        <v>0</v>
      </c>
    </row>
    <row r="77" spans="1:5" ht="12.75">
      <c r="A77" s="110" t="s">
        <v>526</v>
      </c>
      <c r="B77" s="374">
        <v>0</v>
      </c>
      <c r="C77" s="460">
        <f>B77+B24+C24+D24+E24+F24</f>
        <v>14000</v>
      </c>
      <c r="D77" s="68">
        <v>0</v>
      </c>
      <c r="E77" s="96">
        <f>C77+D77</f>
        <v>14000</v>
      </c>
    </row>
    <row r="78" spans="1:5" ht="12.75">
      <c r="A78" s="111" t="s">
        <v>527</v>
      </c>
      <c r="B78" s="512">
        <f>SUM(B76:B77)</f>
        <v>0</v>
      </c>
      <c r="C78" s="615">
        <f>SUM(C76:C77)</f>
        <v>14000</v>
      </c>
      <c r="D78" s="512">
        <f>SUM(D76:D77)</f>
        <v>0</v>
      </c>
      <c r="E78" s="512">
        <f>SUM(E76:E77)</f>
        <v>14000</v>
      </c>
    </row>
    <row r="79" spans="1:5" ht="12.75">
      <c r="A79" s="558"/>
      <c r="B79" s="613"/>
      <c r="C79" s="614"/>
      <c r="D79" s="566"/>
      <c r="E79" s="559"/>
    </row>
    <row r="80" spans="1:5" ht="12.75">
      <c r="A80" s="109" t="s">
        <v>266</v>
      </c>
      <c r="B80" s="110">
        <v>0</v>
      </c>
      <c r="C80" s="460">
        <f>B80+B27+C27+D27+E27+F27</f>
        <v>0</v>
      </c>
      <c r="D80" s="57">
        <v>0</v>
      </c>
      <c r="E80" s="96">
        <f>D80+C80</f>
        <v>0</v>
      </c>
    </row>
    <row r="81" spans="1:5" ht="12.75">
      <c r="A81" s="109" t="s">
        <v>528</v>
      </c>
      <c r="B81" s="374">
        <v>0</v>
      </c>
      <c r="C81" s="460">
        <f>B81+B28+C28+D28+E28+F28</f>
        <v>0</v>
      </c>
      <c r="D81" s="57">
        <v>0</v>
      </c>
      <c r="E81" s="96">
        <f>D81+C81</f>
        <v>0</v>
      </c>
    </row>
    <row r="82" spans="1:5" ht="30" customHeight="1">
      <c r="A82" s="380" t="s">
        <v>529</v>
      </c>
      <c r="B82" s="616">
        <f>SUM(C80:C81)</f>
        <v>0</v>
      </c>
      <c r="C82" s="617">
        <f>SUM(D80:D81)</f>
        <v>0</v>
      </c>
      <c r="D82" s="512">
        <f>SUM(D80:D81)</f>
        <v>0</v>
      </c>
      <c r="E82" s="512">
        <f>SUM(E80:E81)</f>
        <v>0</v>
      </c>
    </row>
    <row r="83" spans="1:5" ht="12.75">
      <c r="A83" s="567"/>
      <c r="B83" s="618"/>
      <c r="C83" s="619"/>
      <c r="D83" s="568"/>
      <c r="E83" s="568"/>
    </row>
    <row r="84" spans="1:5" ht="12.75">
      <c r="A84" s="111" t="s">
        <v>530</v>
      </c>
      <c r="B84" s="512">
        <f>B82+B78+B74+B68</f>
        <v>141298</v>
      </c>
      <c r="C84" s="512">
        <f>C82+C78+C74+C68</f>
        <v>218894</v>
      </c>
      <c r="D84" s="512">
        <f>D82+D78+D74+D68</f>
        <v>0</v>
      </c>
      <c r="E84" s="512">
        <f>C84+D84</f>
        <v>218894</v>
      </c>
    </row>
    <row r="85" spans="1:5" ht="12.75">
      <c r="A85" s="122"/>
      <c r="B85" s="620"/>
      <c r="C85" s="621"/>
      <c r="D85" s="512"/>
      <c r="E85" s="569"/>
    </row>
    <row r="86" spans="1:5" ht="12.75">
      <c r="A86" s="122" t="s">
        <v>531</v>
      </c>
      <c r="B86" s="616">
        <f>B87</f>
        <v>0</v>
      </c>
      <c r="C86" s="617">
        <f>D87</f>
        <v>0</v>
      </c>
      <c r="D86" s="512">
        <f>D87</f>
        <v>0</v>
      </c>
      <c r="E86" s="512">
        <f>D86+C86</f>
        <v>0</v>
      </c>
    </row>
    <row r="87" spans="1:5" ht="12.75">
      <c r="A87" s="109" t="s">
        <v>532</v>
      </c>
      <c r="B87" s="68">
        <v>0</v>
      </c>
      <c r="C87" s="68">
        <f>C88+C89</f>
        <v>0</v>
      </c>
      <c r="D87" s="57">
        <f>D88+D89</f>
        <v>0</v>
      </c>
      <c r="E87" s="57">
        <f>E88+E89</f>
        <v>0</v>
      </c>
    </row>
    <row r="88" spans="1:5" ht="12.75">
      <c r="A88" s="109" t="s">
        <v>533</v>
      </c>
      <c r="B88" s="110">
        <v>0</v>
      </c>
      <c r="C88" s="460">
        <f>B88+B35+C35+D35+E35+F35</f>
        <v>0</v>
      </c>
      <c r="D88" s="57">
        <v>0</v>
      </c>
      <c r="E88" s="96">
        <f>D88+C88</f>
        <v>0</v>
      </c>
    </row>
    <row r="89" spans="1:5" ht="12.75">
      <c r="A89" s="109" t="s">
        <v>534</v>
      </c>
      <c r="B89" s="110">
        <v>0</v>
      </c>
      <c r="C89" s="460">
        <f>B89+B36+C36+D36+E36+F36</f>
        <v>0</v>
      </c>
      <c r="D89" s="57">
        <v>0</v>
      </c>
      <c r="E89" s="96">
        <f>D89+C89</f>
        <v>0</v>
      </c>
    </row>
    <row r="90" spans="1:5" ht="12.75">
      <c r="A90" s="122"/>
      <c r="B90" s="374"/>
      <c r="C90" s="621"/>
      <c r="D90" s="598"/>
      <c r="E90" s="569"/>
    </row>
    <row r="91" spans="1:5" ht="12.75">
      <c r="A91" s="240" t="s">
        <v>273</v>
      </c>
      <c r="B91" s="622">
        <f>B92+B93</f>
        <v>0</v>
      </c>
      <c r="C91" s="623">
        <f>D92+D93</f>
        <v>0</v>
      </c>
      <c r="D91" s="94">
        <f>D92+D93</f>
        <v>0</v>
      </c>
      <c r="E91" s="94">
        <f>E92+E93</f>
        <v>0</v>
      </c>
    </row>
    <row r="92" spans="1:5" ht="12.75">
      <c r="A92" s="388" t="s">
        <v>274</v>
      </c>
      <c r="B92" s="613">
        <v>0</v>
      </c>
      <c r="C92" s="612">
        <f>B92+B39+C39+D39+E39+F39</f>
        <v>0</v>
      </c>
      <c r="D92" s="84">
        <v>0</v>
      </c>
      <c r="E92" s="96">
        <f>D92+C92</f>
        <v>0</v>
      </c>
    </row>
    <row r="93" spans="1:5" ht="12.75">
      <c r="A93" s="109" t="s">
        <v>275</v>
      </c>
      <c r="B93" s="110">
        <v>0</v>
      </c>
      <c r="C93" s="612">
        <f>B93+B40+C40+D40+E40+F40</f>
        <v>0</v>
      </c>
      <c r="D93" s="57">
        <v>0</v>
      </c>
      <c r="E93" s="96">
        <f>D93+C93</f>
        <v>0</v>
      </c>
    </row>
    <row r="94" spans="1:5" ht="12.75">
      <c r="A94" s="567"/>
      <c r="B94" s="336"/>
      <c r="C94" s="550"/>
      <c r="D94" s="570"/>
      <c r="E94" s="597"/>
    </row>
    <row r="95" spans="1:5" ht="12.75">
      <c r="A95" s="111" t="s">
        <v>535</v>
      </c>
      <c r="B95" s="616">
        <v>145492</v>
      </c>
      <c r="C95" s="405">
        <f>B95+F42+E42+D42+C42+B42</f>
        <v>1412569</v>
      </c>
      <c r="D95" s="512">
        <v>1371</v>
      </c>
      <c r="E95" s="557">
        <f>D95+C95</f>
        <v>1413940</v>
      </c>
    </row>
    <row r="96" spans="1:5" ht="12.75">
      <c r="A96" s="567"/>
      <c r="B96" s="624"/>
      <c r="C96" s="619"/>
      <c r="D96" s="568"/>
      <c r="E96" s="568"/>
    </row>
    <row r="97" spans="1:5" ht="12.75">
      <c r="A97" s="111" t="s">
        <v>536</v>
      </c>
      <c r="B97" s="512">
        <f>B84+B91+B95+B86</f>
        <v>286790</v>
      </c>
      <c r="C97" s="512">
        <f>C84+C91+C95+C86</f>
        <v>1631463</v>
      </c>
      <c r="D97" s="512">
        <f>D84+D91+D95+D86</f>
        <v>1371</v>
      </c>
      <c r="E97" s="512">
        <f>E84+E91+E95+E86</f>
        <v>1632834</v>
      </c>
    </row>
    <row r="113" ht="60" customHeight="1"/>
  </sheetData>
  <sheetProtection/>
  <mergeCells count="7">
    <mergeCell ref="A59:F59"/>
    <mergeCell ref="D1:E1"/>
    <mergeCell ref="A4:F4"/>
    <mergeCell ref="A5:F5"/>
    <mergeCell ref="A53:F53"/>
    <mergeCell ref="D55:E55"/>
    <mergeCell ref="A58:F58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44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52.7109375" style="0" customWidth="1"/>
    <col min="2" max="2" width="25.8515625" style="0" customWidth="1"/>
  </cols>
  <sheetData>
    <row r="2" ht="14.25">
      <c r="B2" s="407" t="s">
        <v>551</v>
      </c>
    </row>
    <row r="3" ht="15.75">
      <c r="A3" s="47"/>
    </row>
    <row r="4" spans="1:2" ht="15.75">
      <c r="A4" s="1042" t="s">
        <v>552</v>
      </c>
      <c r="B4" s="1042"/>
    </row>
    <row r="5" ht="15.75">
      <c r="A5" s="47"/>
    </row>
    <row r="6" ht="12.75">
      <c r="B6" t="s">
        <v>218</v>
      </c>
    </row>
    <row r="7" spans="1:2" ht="15.75">
      <c r="A7" s="50" t="s">
        <v>428</v>
      </c>
      <c r="B7" s="315" t="s">
        <v>220</v>
      </c>
    </row>
    <row r="8" spans="1:2" ht="12.75">
      <c r="A8" s="316"/>
      <c r="B8" s="317" t="s">
        <v>39</v>
      </c>
    </row>
    <row r="9" spans="1:2" ht="12.75">
      <c r="A9" s="625" t="s">
        <v>553</v>
      </c>
      <c r="B9" s="626">
        <f>SUM(B10:B13)</f>
        <v>0</v>
      </c>
    </row>
    <row r="10" spans="1:2" ht="12.75">
      <c r="A10" s="228"/>
      <c r="B10" s="228"/>
    </row>
    <row r="11" spans="1:2" ht="12.75">
      <c r="A11" s="85"/>
      <c r="B11" s="228"/>
    </row>
    <row r="12" spans="1:2" ht="12.75">
      <c r="A12" s="228"/>
      <c r="B12" s="228"/>
    </row>
    <row r="13" spans="1:2" ht="12.75">
      <c r="A13" s="59"/>
      <c r="B13" s="59"/>
    </row>
    <row r="14" spans="1:2" ht="12.75">
      <c r="A14" s="625" t="s">
        <v>554</v>
      </c>
      <c r="B14" s="627">
        <f>SUM(B15:B20)</f>
        <v>108</v>
      </c>
    </row>
    <row r="15" spans="1:2" ht="12.75">
      <c r="A15" s="85" t="s">
        <v>555</v>
      </c>
      <c r="B15" s="85">
        <v>108</v>
      </c>
    </row>
    <row r="16" spans="1:2" ht="12.75">
      <c r="A16" s="228"/>
      <c r="B16" s="228"/>
    </row>
    <row r="17" spans="1:2" ht="12.75">
      <c r="A17" s="228"/>
      <c r="B17" s="228"/>
    </row>
    <row r="18" spans="1:2" ht="12.75">
      <c r="A18" s="228"/>
      <c r="B18" s="228"/>
    </row>
    <row r="19" spans="1:2" ht="12.75">
      <c r="A19" s="228"/>
      <c r="B19" s="228"/>
    </row>
    <row r="20" spans="1:2" ht="12.75">
      <c r="A20" s="316"/>
      <c r="B20" s="316"/>
    </row>
    <row r="21" spans="1:2" ht="12.75">
      <c r="A21" s="62" t="s">
        <v>556</v>
      </c>
      <c r="B21" s="291">
        <f>B14+B9</f>
        <v>108</v>
      </c>
    </row>
    <row r="24" ht="14.25">
      <c r="B24" s="44" t="s">
        <v>557</v>
      </c>
    </row>
    <row r="25" ht="15.75">
      <c r="A25" s="47"/>
    </row>
    <row r="26" spans="1:2" ht="15.75">
      <c r="A26" s="1042" t="s">
        <v>558</v>
      </c>
      <c r="B26" s="1042"/>
    </row>
    <row r="27" ht="15.75">
      <c r="A27" s="47"/>
    </row>
    <row r="28" ht="12.75">
      <c r="B28" t="s">
        <v>218</v>
      </c>
    </row>
    <row r="29" spans="1:2" ht="15.75">
      <c r="A29" s="50" t="s">
        <v>428</v>
      </c>
      <c r="B29" s="315" t="s">
        <v>220</v>
      </c>
    </row>
    <row r="30" spans="1:2" ht="12.75">
      <c r="A30" s="316"/>
      <c r="B30" s="317" t="s">
        <v>39</v>
      </c>
    </row>
    <row r="31" spans="1:2" ht="12.75">
      <c r="A31" s="318" t="s">
        <v>559</v>
      </c>
      <c r="B31" s="626">
        <v>0</v>
      </c>
    </row>
    <row r="32" spans="1:2" ht="12.75">
      <c r="A32" s="109"/>
      <c r="B32" s="228"/>
    </row>
    <row r="33" spans="1:2" ht="12.75">
      <c r="A33" s="109"/>
      <c r="B33" s="228"/>
    </row>
    <row r="34" spans="1:2" ht="12.75">
      <c r="A34" s="252"/>
      <c r="B34" s="228"/>
    </row>
    <row r="35" spans="1:2" ht="12.75">
      <c r="A35" s="109"/>
      <c r="B35" s="228"/>
    </row>
    <row r="36" spans="1:2" ht="12.75">
      <c r="A36" s="108"/>
      <c r="B36" s="228"/>
    </row>
    <row r="37" spans="1:2" ht="12.75">
      <c r="A37" s="318" t="s">
        <v>560</v>
      </c>
      <c r="B37" s="319">
        <f>B38+B39+B40+B41</f>
        <v>4090</v>
      </c>
    </row>
    <row r="38" spans="1:2" ht="12.75">
      <c r="A38" s="109" t="s">
        <v>561</v>
      </c>
      <c r="B38" s="57">
        <v>620</v>
      </c>
    </row>
    <row r="39" spans="1:2" ht="12.75">
      <c r="A39" s="109" t="s">
        <v>562</v>
      </c>
      <c r="B39" s="57">
        <v>160</v>
      </c>
    </row>
    <row r="40" spans="1:2" ht="12.75">
      <c r="A40" s="252" t="s">
        <v>563</v>
      </c>
      <c r="B40" s="57">
        <v>100</v>
      </c>
    </row>
    <row r="41" spans="1:2" ht="12.75">
      <c r="A41" s="109" t="s">
        <v>564</v>
      </c>
      <c r="B41" s="57">
        <v>3210</v>
      </c>
    </row>
    <row r="42" spans="1:2" ht="12.75">
      <c r="A42" s="109"/>
      <c r="B42" s="57"/>
    </row>
    <row r="43" spans="1:2" ht="12.75">
      <c r="A43" s="320"/>
      <c r="B43" s="98"/>
    </row>
    <row r="44" spans="1:2" ht="12.75">
      <c r="A44" s="62" t="s">
        <v>565</v>
      </c>
      <c r="B44" s="63">
        <f>B37+B31</f>
        <v>4090</v>
      </c>
    </row>
  </sheetData>
  <sheetProtection/>
  <mergeCells count="2">
    <mergeCell ref="A4:B4"/>
    <mergeCell ref="A26:B26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6">
      <selection activeCell="A37" sqref="A37"/>
    </sheetView>
  </sheetViews>
  <sheetFormatPr defaultColWidth="9.140625" defaultRowHeight="12.75"/>
  <cols>
    <col min="1" max="1" width="56.57421875" style="0" customWidth="1"/>
    <col min="2" max="2" width="23.28125" style="0" customWidth="1"/>
  </cols>
  <sheetData>
    <row r="1" ht="12.75">
      <c r="B1" s="628" t="s">
        <v>566</v>
      </c>
    </row>
    <row r="2" ht="12.75">
      <c r="B2" s="628"/>
    </row>
    <row r="3" ht="12.75">
      <c r="B3" s="628"/>
    </row>
    <row r="4" spans="1:2" ht="15.75">
      <c r="A4" s="1077" t="s">
        <v>567</v>
      </c>
      <c r="B4" s="1077"/>
    </row>
    <row r="5" spans="1:2" ht="15.75">
      <c r="A5" s="1077" t="s">
        <v>568</v>
      </c>
      <c r="B5" s="1077"/>
    </row>
    <row r="6" spans="1:2" ht="15.75">
      <c r="A6" s="1077" t="s">
        <v>2</v>
      </c>
      <c r="B6" s="1077"/>
    </row>
    <row r="7" spans="1:2" ht="15.75">
      <c r="A7" s="629"/>
      <c r="B7" s="629"/>
    </row>
    <row r="8" ht="12.75">
      <c r="B8" s="517" t="s">
        <v>33</v>
      </c>
    </row>
    <row r="9" ht="12.75">
      <c r="B9" s="517"/>
    </row>
    <row r="10" spans="1:2" ht="15.75">
      <c r="A10" s="630" t="s">
        <v>569</v>
      </c>
      <c r="B10" s="631" t="s">
        <v>570</v>
      </c>
    </row>
    <row r="11" spans="1:2" ht="15.75">
      <c r="A11" s="632" t="s">
        <v>178</v>
      </c>
      <c r="B11" s="633"/>
    </row>
    <row r="12" spans="1:2" ht="15.75">
      <c r="A12" s="634"/>
      <c r="B12" s="635"/>
    </row>
    <row r="13" spans="1:2" ht="15.75">
      <c r="A13" s="634"/>
      <c r="B13" s="635"/>
    </row>
    <row r="14" spans="1:2" ht="15.75">
      <c r="A14" s="636" t="s">
        <v>571</v>
      </c>
      <c r="B14" s="637"/>
    </row>
    <row r="15" spans="1:2" ht="15.75">
      <c r="A15" s="638" t="s">
        <v>572</v>
      </c>
      <c r="B15" s="639">
        <v>0</v>
      </c>
    </row>
    <row r="16" spans="1:2" s="22" customFormat="1" ht="15.75">
      <c r="A16" s="640" t="s">
        <v>573</v>
      </c>
      <c r="B16" s="633">
        <v>2500</v>
      </c>
    </row>
    <row r="17" spans="1:2" s="22" customFormat="1" ht="15.75">
      <c r="A17" s="641"/>
      <c r="B17" s="642"/>
    </row>
    <row r="18" spans="1:2" s="112" customFormat="1" ht="15.75">
      <c r="A18" s="643" t="s">
        <v>230</v>
      </c>
      <c r="B18" s="644">
        <f>B16</f>
        <v>2500</v>
      </c>
    </row>
    <row r="19" spans="1:2" s="112" customFormat="1" ht="15.75">
      <c r="A19" s="645"/>
      <c r="B19" s="642"/>
    </row>
    <row r="20" spans="1:2" ht="15.75">
      <c r="A20" s="646" t="s">
        <v>179</v>
      </c>
      <c r="B20" s="647"/>
    </row>
    <row r="21" spans="1:2" ht="15.75">
      <c r="A21" s="648" t="s">
        <v>574</v>
      </c>
      <c r="B21" s="647">
        <v>7748</v>
      </c>
    </row>
    <row r="22" spans="1:2" ht="15.75">
      <c r="A22" s="478" t="s">
        <v>575</v>
      </c>
      <c r="B22" s="649">
        <v>5376</v>
      </c>
    </row>
    <row r="23" spans="1:2" ht="15.75">
      <c r="A23" s="478" t="s">
        <v>576</v>
      </c>
      <c r="B23" s="649">
        <v>12536</v>
      </c>
    </row>
    <row r="24" spans="1:2" ht="15.75">
      <c r="A24" s="478" t="s">
        <v>577</v>
      </c>
      <c r="B24" s="649">
        <v>4605</v>
      </c>
    </row>
    <row r="25" spans="1:2" ht="15.75">
      <c r="A25" s="478" t="s">
        <v>578</v>
      </c>
      <c r="B25" s="649">
        <v>14600</v>
      </c>
    </row>
    <row r="26" spans="1:2" ht="15.75">
      <c r="A26" s="650" t="s">
        <v>579</v>
      </c>
      <c r="B26" s="651">
        <f>SUM(B21:B25)</f>
        <v>44865</v>
      </c>
    </row>
    <row r="27" spans="1:2" ht="15.75">
      <c r="A27" s="650"/>
      <c r="B27" s="651"/>
    </row>
    <row r="28" spans="1:2" ht="15.75">
      <c r="A28" s="640"/>
      <c r="B28" s="649"/>
    </row>
    <row r="29" spans="1:2" ht="15.75">
      <c r="A29" s="640" t="s">
        <v>580</v>
      </c>
      <c r="B29" s="649">
        <v>9860</v>
      </c>
    </row>
    <row r="30" spans="1:2" s="112" customFormat="1" ht="15.75">
      <c r="A30" s="652" t="s">
        <v>581</v>
      </c>
      <c r="B30" s="653">
        <f>SUM(B28:B29)</f>
        <v>9860</v>
      </c>
    </row>
    <row r="31" spans="1:2" s="112" customFormat="1" ht="15.75">
      <c r="A31" s="654"/>
      <c r="B31" s="653"/>
    </row>
    <row r="32" spans="1:2" ht="15.75">
      <c r="A32" s="640" t="s">
        <v>582</v>
      </c>
      <c r="B32" s="649">
        <v>15000</v>
      </c>
    </row>
    <row r="33" spans="1:2" s="112" customFormat="1" ht="15.75">
      <c r="A33" s="650" t="s">
        <v>583</v>
      </c>
      <c r="B33" s="651">
        <f>SUM(B32)</f>
        <v>15000</v>
      </c>
    </row>
    <row r="34" spans="1:2" s="112" customFormat="1" ht="15.75">
      <c r="A34" s="645"/>
      <c r="B34" s="655"/>
    </row>
    <row r="35" spans="1:2" ht="15.75">
      <c r="A35" s="643" t="s">
        <v>584</v>
      </c>
      <c r="B35" s="656">
        <f>B26+B30+B33</f>
        <v>69725</v>
      </c>
    </row>
    <row r="36" spans="1:2" ht="15.75">
      <c r="A36" s="657"/>
      <c r="B36" s="658"/>
    </row>
    <row r="37" spans="1:2" ht="15.75">
      <c r="A37" s="643" t="s">
        <v>585</v>
      </c>
      <c r="B37" s="656">
        <f>SUM(B18+B35)</f>
        <v>72225</v>
      </c>
    </row>
    <row r="38" spans="1:2" ht="15.75">
      <c r="A38" s="659"/>
      <c r="B38" s="660"/>
    </row>
    <row r="39" spans="1:2" ht="15.75">
      <c r="A39" s="659"/>
      <c r="B39" s="660"/>
    </row>
  </sheetData>
  <sheetProtection/>
  <mergeCells count="3">
    <mergeCell ref="A4:B4"/>
    <mergeCell ref="A5:B5"/>
    <mergeCell ref="A6:B6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25">
      <selection activeCell="A54" sqref="A54"/>
    </sheetView>
  </sheetViews>
  <sheetFormatPr defaultColWidth="9.140625" defaultRowHeight="12.75"/>
  <cols>
    <col min="1" max="1" width="61.00390625" style="0" customWidth="1"/>
    <col min="2" max="2" width="18.28125" style="0" customWidth="1"/>
  </cols>
  <sheetData>
    <row r="1" ht="12.75">
      <c r="B1" s="661" t="s">
        <v>586</v>
      </c>
    </row>
    <row r="2" spans="1:2" ht="15.75">
      <c r="A2" s="1077" t="s">
        <v>587</v>
      </c>
      <c r="B2" s="1077"/>
    </row>
    <row r="3" spans="1:2" ht="15.75">
      <c r="A3" s="1077" t="s">
        <v>588</v>
      </c>
      <c r="B3" s="1077"/>
    </row>
    <row r="4" spans="1:2" ht="15.75">
      <c r="A4" s="1077" t="s">
        <v>2</v>
      </c>
      <c r="B4" s="1077"/>
    </row>
    <row r="5" spans="1:2" ht="12.75">
      <c r="A5" s="628"/>
      <c r="B5" s="517" t="s">
        <v>33</v>
      </c>
    </row>
    <row r="6" spans="1:2" ht="25.5">
      <c r="A6" s="662" t="s">
        <v>589</v>
      </c>
      <c r="B6" s="483" t="s">
        <v>570</v>
      </c>
    </row>
    <row r="7" spans="1:2" ht="12.75" customHeight="1">
      <c r="A7" s="663" t="s">
        <v>590</v>
      </c>
      <c r="B7" s="664"/>
    </row>
    <row r="8" spans="1:2" ht="12.75" customHeight="1">
      <c r="A8" s="665" t="s">
        <v>591</v>
      </c>
      <c r="B8" s="666"/>
    </row>
    <row r="9" spans="1:2" ht="12.75" customHeight="1">
      <c r="A9" s="111" t="s">
        <v>416</v>
      </c>
      <c r="B9" s="667">
        <f>SUM(B8)</f>
        <v>0</v>
      </c>
    </row>
    <row r="10" spans="1:2" ht="12.75" customHeight="1">
      <c r="A10" s="668"/>
      <c r="B10" s="669"/>
    </row>
    <row r="11" spans="1:2" ht="12.75">
      <c r="A11" s="670" t="s">
        <v>592</v>
      </c>
      <c r="B11" s="671"/>
    </row>
    <row r="12" spans="1:2" ht="12.75">
      <c r="A12" s="109" t="s">
        <v>593</v>
      </c>
      <c r="B12" s="672">
        <v>3500</v>
      </c>
    </row>
    <row r="13" spans="1:2" ht="12.75" customHeight="1">
      <c r="A13" s="109" t="s">
        <v>594</v>
      </c>
      <c r="B13" s="672">
        <v>1000</v>
      </c>
    </row>
    <row r="14" spans="1:2" ht="12.75">
      <c r="A14" s="371"/>
      <c r="B14" s="673"/>
    </row>
    <row r="15" spans="1:2" ht="12.75">
      <c r="A15" s="111" t="s">
        <v>416</v>
      </c>
      <c r="B15" s="674">
        <f>SUM(B12:B14)</f>
        <v>4500</v>
      </c>
    </row>
    <row r="16" spans="1:2" ht="12.75">
      <c r="A16" s="114"/>
      <c r="B16" s="675"/>
    </row>
    <row r="17" spans="1:2" ht="12.75">
      <c r="A17" s="676" t="s">
        <v>595</v>
      </c>
      <c r="B17" s="672"/>
    </row>
    <row r="18" spans="1:2" ht="12.75">
      <c r="A18" s="677" t="s">
        <v>596</v>
      </c>
      <c r="B18" s="673">
        <v>7000</v>
      </c>
    </row>
    <row r="19" spans="1:2" ht="12.75">
      <c r="A19" s="111" t="s">
        <v>597</v>
      </c>
      <c r="B19" s="674">
        <f>SUM(B18)</f>
        <v>7000</v>
      </c>
    </row>
    <row r="20" spans="1:2" ht="12.75">
      <c r="A20" s="114"/>
      <c r="B20" s="678"/>
    </row>
    <row r="21" spans="1:2" ht="12.75">
      <c r="A21" s="135"/>
      <c r="B21" s="679"/>
    </row>
    <row r="22" spans="1:2" ht="12.75">
      <c r="A22" s="111" t="s">
        <v>230</v>
      </c>
      <c r="B22" s="680">
        <f>B15+B19+B9</f>
        <v>11500</v>
      </c>
    </row>
    <row r="23" spans="1:2" ht="12.75">
      <c r="A23" s="114"/>
      <c r="B23" s="681"/>
    </row>
    <row r="24" spans="1:2" ht="12.75">
      <c r="A24" s="670" t="s">
        <v>598</v>
      </c>
      <c r="B24" s="228"/>
    </row>
    <row r="25" spans="1:2" ht="12.75">
      <c r="A25" s="90" t="s">
        <v>599</v>
      </c>
      <c r="B25" s="682">
        <v>3589</v>
      </c>
    </row>
    <row r="26" spans="1:2" ht="12.75">
      <c r="A26" s="91" t="s">
        <v>600</v>
      </c>
      <c r="B26" s="682">
        <v>331289</v>
      </c>
    </row>
    <row r="27" spans="1:2" ht="12.75">
      <c r="A27" s="91" t="s">
        <v>601</v>
      </c>
      <c r="B27" s="682">
        <v>210</v>
      </c>
    </row>
    <row r="28" spans="1:2" ht="12.75">
      <c r="A28" s="91"/>
      <c r="B28" s="682"/>
    </row>
    <row r="29" spans="1:2" ht="12.75">
      <c r="A29" s="91"/>
      <c r="B29" s="682"/>
    </row>
    <row r="30" spans="1:2" ht="12.75">
      <c r="A30" s="91"/>
      <c r="B30" s="682"/>
    </row>
    <row r="31" spans="1:2" ht="12.75">
      <c r="A31" s="91"/>
      <c r="B31" s="682"/>
    </row>
    <row r="32" spans="1:2" ht="12.75">
      <c r="A32" s="91"/>
      <c r="B32" s="682"/>
    </row>
    <row r="33" spans="1:2" ht="12.75">
      <c r="A33" s="683"/>
      <c r="B33" s="684"/>
    </row>
    <row r="34" spans="1:2" s="112" customFormat="1" ht="12.75">
      <c r="A34" s="124" t="s">
        <v>602</v>
      </c>
      <c r="B34" s="685">
        <f>SUM(B25:B33)</f>
        <v>335088</v>
      </c>
    </row>
    <row r="35" spans="1:2" ht="12.75">
      <c r="A35" s="91"/>
      <c r="B35" s="682"/>
    </row>
    <row r="36" spans="1:2" ht="12.75">
      <c r="A36" s="91" t="s">
        <v>603</v>
      </c>
      <c r="B36" s="682">
        <v>438</v>
      </c>
    </row>
    <row r="37" spans="1:2" s="112" customFormat="1" ht="12.75">
      <c r="A37" s="124" t="s">
        <v>604</v>
      </c>
      <c r="B37" s="685">
        <f>SUM(B36)</f>
        <v>438</v>
      </c>
    </row>
    <row r="38" spans="1:2" ht="12.75">
      <c r="A38" s="686"/>
      <c r="B38" s="682"/>
    </row>
    <row r="39" spans="1:2" ht="12.75">
      <c r="A39" s="686"/>
      <c r="B39" s="682"/>
    </row>
    <row r="40" spans="1:2" ht="12.75">
      <c r="A40" s="686"/>
      <c r="B40" s="682"/>
    </row>
    <row r="41" spans="1:2" s="112" customFormat="1" ht="12.75">
      <c r="A41" s="687" t="s">
        <v>605</v>
      </c>
      <c r="B41" s="685">
        <f>SUM(B39:B40)</f>
        <v>0</v>
      </c>
    </row>
    <row r="42" spans="1:2" ht="12.75">
      <c r="A42" s="688"/>
      <c r="B42" s="684"/>
    </row>
    <row r="43" spans="1:2" ht="12.75">
      <c r="A43" s="688"/>
      <c r="B43" s="684"/>
    </row>
    <row r="44" spans="1:2" s="112" customFormat="1" ht="12.75">
      <c r="A44" s="689" t="s">
        <v>606</v>
      </c>
      <c r="B44" s="681">
        <f>SUM(B43)</f>
        <v>0</v>
      </c>
    </row>
    <row r="45" spans="1:2" ht="12.75">
      <c r="A45" s="688"/>
      <c r="B45" s="684"/>
    </row>
    <row r="46" spans="1:2" ht="12.75">
      <c r="A46" s="688" t="s">
        <v>607</v>
      </c>
      <c r="B46" s="684">
        <v>97430</v>
      </c>
    </row>
    <row r="47" spans="1:2" s="112" customFormat="1" ht="12.75">
      <c r="A47" s="689" t="s">
        <v>608</v>
      </c>
      <c r="B47" s="681">
        <f>SUM(B46)</f>
        <v>97430</v>
      </c>
    </row>
    <row r="48" spans="1:2" ht="12.75">
      <c r="A48" s="688"/>
      <c r="B48" s="684"/>
    </row>
    <row r="49" spans="1:2" ht="12.75">
      <c r="A49" s="688" t="s">
        <v>609</v>
      </c>
      <c r="B49" s="684">
        <v>55206</v>
      </c>
    </row>
    <row r="50" spans="1:2" ht="12.75">
      <c r="A50" s="689" t="s">
        <v>610</v>
      </c>
      <c r="B50" s="681">
        <f>B49</f>
        <v>55206</v>
      </c>
    </row>
    <row r="51" spans="1:2" ht="12.75">
      <c r="A51" s="677"/>
      <c r="B51" s="690"/>
    </row>
    <row r="52" spans="1:2" ht="12.75">
      <c r="A52" s="533" t="s">
        <v>510</v>
      </c>
      <c r="B52" s="691">
        <f>B34+B37+B41+B44+B47</f>
        <v>432956</v>
      </c>
    </row>
    <row r="53" spans="1:2" ht="12.75">
      <c r="A53" s="692"/>
      <c r="B53" s="693"/>
    </row>
    <row r="54" spans="1:2" ht="12.75">
      <c r="A54" s="533" t="s">
        <v>611</v>
      </c>
      <c r="B54" s="694">
        <f>B22+B52</f>
        <v>444456</v>
      </c>
    </row>
  </sheetData>
  <sheetProtection/>
  <mergeCells count="3">
    <mergeCell ref="A2:B2"/>
    <mergeCell ref="A3:B3"/>
    <mergeCell ref="A4:B4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64.00390625" style="0" customWidth="1"/>
    <col min="2" max="2" width="18.421875" style="0" customWidth="1"/>
  </cols>
  <sheetData>
    <row r="1" spans="1:2" ht="12.75">
      <c r="A1" s="1078" t="s">
        <v>612</v>
      </c>
      <c r="B1" s="1078"/>
    </row>
    <row r="2" spans="1:2" ht="15.75">
      <c r="A2" s="1077" t="s">
        <v>613</v>
      </c>
      <c r="B2" s="1077"/>
    </row>
    <row r="3" spans="1:2" ht="15.75">
      <c r="A3" s="1077" t="s">
        <v>2</v>
      </c>
      <c r="B3" s="1077"/>
    </row>
    <row r="4" spans="1:2" ht="15.75">
      <c r="A4" s="629"/>
      <c r="B4" s="629"/>
    </row>
    <row r="5" ht="12.75">
      <c r="B5" s="517" t="s">
        <v>33</v>
      </c>
    </row>
    <row r="6" spans="1:2" ht="31.5">
      <c r="A6" s="695" t="s">
        <v>614</v>
      </c>
      <c r="B6" s="696" t="s">
        <v>615</v>
      </c>
    </row>
    <row r="7" spans="1:2" ht="15.75">
      <c r="A7" s="697" t="s">
        <v>616</v>
      </c>
      <c r="B7" s="698"/>
    </row>
    <row r="8" spans="1:2" ht="15">
      <c r="A8" s="699" t="s">
        <v>617</v>
      </c>
      <c r="B8" s="700">
        <v>15000</v>
      </c>
    </row>
    <row r="9" spans="1:2" ht="15">
      <c r="A9" s="701" t="s">
        <v>618</v>
      </c>
      <c r="B9" s="702">
        <v>600</v>
      </c>
    </row>
    <row r="10" spans="1:2" ht="15" customHeight="1">
      <c r="A10" s="701" t="s">
        <v>619</v>
      </c>
      <c r="B10" s="703">
        <v>20000</v>
      </c>
    </row>
    <row r="11" spans="1:2" ht="15">
      <c r="A11" s="704" t="s">
        <v>620</v>
      </c>
      <c r="B11" s="703">
        <v>9000</v>
      </c>
    </row>
    <row r="12" spans="1:2" ht="15">
      <c r="A12" s="701" t="s">
        <v>621</v>
      </c>
      <c r="B12" s="702">
        <v>3000</v>
      </c>
    </row>
    <row r="13" spans="1:2" ht="15">
      <c r="A13" s="705" t="s">
        <v>622</v>
      </c>
      <c r="B13" s="703">
        <v>15032</v>
      </c>
    </row>
    <row r="14" spans="1:2" ht="30">
      <c r="A14" s="701" t="s">
        <v>623</v>
      </c>
      <c r="B14" s="702">
        <v>8177</v>
      </c>
    </row>
    <row r="15" spans="1:2" ht="30">
      <c r="A15" s="706" t="s">
        <v>624</v>
      </c>
      <c r="B15" s="707">
        <v>1353</v>
      </c>
    </row>
    <row r="16" spans="1:2" ht="26.25" customHeight="1">
      <c r="A16" s="708" t="s">
        <v>625</v>
      </c>
      <c r="B16" s="709">
        <f>SUM(B8:B15)</f>
        <v>72162</v>
      </c>
    </row>
    <row r="17" spans="1:2" ht="15">
      <c r="A17" s="706"/>
      <c r="B17" s="710"/>
    </row>
    <row r="18" spans="1:2" ht="15.75">
      <c r="A18" s="711" t="s">
        <v>626</v>
      </c>
      <c r="B18" s="712"/>
    </row>
    <row r="19" spans="1:2" ht="15">
      <c r="A19" s="701" t="s">
        <v>627</v>
      </c>
      <c r="B19" s="702"/>
    </row>
    <row r="20" spans="1:2" ht="15">
      <c r="A20" s="701" t="s">
        <v>628</v>
      </c>
      <c r="B20" s="702">
        <v>25000</v>
      </c>
    </row>
    <row r="21" spans="1:2" ht="15">
      <c r="A21" s="701" t="s">
        <v>629</v>
      </c>
      <c r="B21" s="702">
        <v>2000</v>
      </c>
    </row>
    <row r="22" spans="1:2" ht="15">
      <c r="A22" s="701" t="s">
        <v>630</v>
      </c>
      <c r="B22" s="702">
        <v>2500</v>
      </c>
    </row>
    <row r="23" spans="1:2" ht="21" customHeight="1">
      <c r="A23" s="701" t="s">
        <v>631</v>
      </c>
      <c r="B23" s="702"/>
    </row>
    <row r="24" spans="1:2" ht="15">
      <c r="A24" s="704"/>
      <c r="B24" s="707"/>
    </row>
    <row r="25" spans="1:2" ht="15.75">
      <c r="A25" s="105" t="s">
        <v>632</v>
      </c>
      <c r="B25" s="713">
        <f>SUM(B19:B24)</f>
        <v>29500</v>
      </c>
    </row>
    <row r="26" spans="1:2" ht="15.75">
      <c r="A26" s="105"/>
      <c r="B26" s="713"/>
    </row>
    <row r="27" spans="1:2" ht="15.75">
      <c r="A27" s="105" t="s">
        <v>633</v>
      </c>
      <c r="B27" s="713">
        <f>B16+B25</f>
        <v>101662</v>
      </c>
    </row>
    <row r="34" ht="47.25">
      <c r="A34" s="714" t="s">
        <v>634</v>
      </c>
    </row>
  </sheetData>
  <sheetProtection/>
  <mergeCells count="3">
    <mergeCell ref="A1:B1"/>
    <mergeCell ref="A2:B2"/>
    <mergeCell ref="A3:B3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55.421875" style="0" customWidth="1"/>
    <col min="2" max="2" width="22.8515625" style="0" customWidth="1"/>
  </cols>
  <sheetData>
    <row r="1" ht="12.75">
      <c r="B1" s="517" t="s">
        <v>635</v>
      </c>
    </row>
    <row r="3" spans="1:2" ht="15.75">
      <c r="A3" s="1077" t="s">
        <v>636</v>
      </c>
      <c r="B3" s="1077"/>
    </row>
    <row r="4" spans="1:2" ht="15.75">
      <c r="A4" s="629"/>
      <c r="B4" s="629"/>
    </row>
    <row r="5" spans="1:2" ht="15.75">
      <c r="A5" s="629"/>
      <c r="B5" s="629"/>
    </row>
    <row r="7" spans="1:2" ht="15.75">
      <c r="A7" s="662" t="s">
        <v>637</v>
      </c>
      <c r="B7" s="715" t="s">
        <v>638</v>
      </c>
    </row>
    <row r="8" spans="1:2" ht="15">
      <c r="A8" s="716" t="s">
        <v>639</v>
      </c>
      <c r="B8" s="717">
        <v>68</v>
      </c>
    </row>
    <row r="9" spans="1:2" ht="15">
      <c r="A9" s="716" t="s">
        <v>640</v>
      </c>
      <c r="B9" s="717">
        <v>51</v>
      </c>
    </row>
    <row r="10" spans="1:2" ht="15">
      <c r="A10" s="716" t="s">
        <v>595</v>
      </c>
      <c r="B10" s="717">
        <v>77</v>
      </c>
    </row>
    <row r="11" spans="1:2" ht="15">
      <c r="A11" s="716" t="s">
        <v>592</v>
      </c>
      <c r="B11" s="717">
        <v>51</v>
      </c>
    </row>
    <row r="12" spans="1:2" ht="15">
      <c r="A12" s="716" t="s">
        <v>179</v>
      </c>
      <c r="B12" s="717">
        <v>79</v>
      </c>
    </row>
    <row r="13" spans="1:2" ht="15">
      <c r="A13" s="716" t="s">
        <v>641</v>
      </c>
      <c r="B13" s="717">
        <v>11</v>
      </c>
    </row>
    <row r="14" spans="1:2" ht="15">
      <c r="A14" s="716" t="s">
        <v>642</v>
      </c>
      <c r="B14" s="717">
        <v>76.05</v>
      </c>
    </row>
    <row r="15" spans="1:2" ht="15">
      <c r="A15" s="716" t="s">
        <v>643</v>
      </c>
      <c r="B15" s="717">
        <v>1</v>
      </c>
    </row>
    <row r="16" spans="1:2" ht="15">
      <c r="A16" s="716" t="s">
        <v>644</v>
      </c>
      <c r="B16" s="717">
        <v>61.5</v>
      </c>
    </row>
    <row r="17" spans="1:2" ht="15">
      <c r="A17" s="716" t="s">
        <v>107</v>
      </c>
      <c r="B17" s="717">
        <v>83</v>
      </c>
    </row>
    <row r="18" spans="1:2" ht="15">
      <c r="A18" s="716" t="s">
        <v>108</v>
      </c>
      <c r="B18" s="717">
        <v>134</v>
      </c>
    </row>
    <row r="19" spans="1:2" ht="15">
      <c r="A19" s="718"/>
      <c r="B19" s="719"/>
    </row>
    <row r="20" spans="1:2" ht="15.75">
      <c r="A20" s="400" t="s">
        <v>645</v>
      </c>
      <c r="B20" s="720">
        <f>SUM(B8:B19)</f>
        <v>692.55</v>
      </c>
    </row>
    <row r="21" spans="1:2" ht="15.75">
      <c r="A21" s="721"/>
      <c r="B21" s="722"/>
    </row>
    <row r="22" spans="1:2" ht="15.75">
      <c r="A22" s="721"/>
      <c r="B22" s="722"/>
    </row>
    <row r="25" ht="12.75">
      <c r="B25" s="517" t="s">
        <v>646</v>
      </c>
    </row>
    <row r="27" spans="1:2" ht="15.75">
      <c r="A27" s="1077" t="s">
        <v>647</v>
      </c>
      <c r="B27" s="1077"/>
    </row>
    <row r="28" spans="1:2" ht="15.75">
      <c r="A28" s="629"/>
      <c r="B28" s="629"/>
    </row>
    <row r="29" spans="1:2" ht="15.75">
      <c r="A29" s="629"/>
      <c r="B29" s="629"/>
    </row>
    <row r="31" spans="1:2" ht="15.75">
      <c r="A31" s="662" t="s">
        <v>637</v>
      </c>
      <c r="B31" s="715" t="s">
        <v>638</v>
      </c>
    </row>
    <row r="32" spans="1:2" ht="15">
      <c r="A32" s="716" t="s">
        <v>648</v>
      </c>
      <c r="B32" s="717">
        <v>227</v>
      </c>
    </row>
    <row r="33" spans="1:2" ht="15">
      <c r="A33" s="718"/>
      <c r="B33" s="719"/>
    </row>
    <row r="34" spans="1:2" ht="15.75">
      <c r="A34" s="400" t="s">
        <v>645</v>
      </c>
      <c r="B34" s="720">
        <f>SUM(B32:B33)</f>
        <v>227</v>
      </c>
    </row>
  </sheetData>
  <sheetProtection/>
  <mergeCells count="2">
    <mergeCell ref="A3:B3"/>
    <mergeCell ref="A27:B27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37">
      <selection activeCell="A51" sqref="A51"/>
    </sheetView>
  </sheetViews>
  <sheetFormatPr defaultColWidth="9.140625" defaultRowHeight="12.75"/>
  <cols>
    <col min="1" max="1" width="35.8515625" style="0" customWidth="1"/>
    <col min="2" max="2" width="15.00390625" style="0" customWidth="1"/>
    <col min="3" max="3" width="15.57421875" style="0" customWidth="1"/>
    <col min="4" max="4" width="17.140625" style="0" customWidth="1"/>
  </cols>
  <sheetData>
    <row r="1" ht="14.25">
      <c r="D1" s="44" t="s">
        <v>31</v>
      </c>
    </row>
    <row r="2" spans="1:4" ht="15.75">
      <c r="A2" s="1042" t="s">
        <v>32</v>
      </c>
      <c r="B2" s="1042"/>
      <c r="C2" s="1042"/>
      <c r="D2" s="1042"/>
    </row>
    <row r="3" spans="1:4" ht="6.75" customHeight="1">
      <c r="A3" s="45"/>
      <c r="B3" s="46"/>
      <c r="C3" s="46"/>
      <c r="D3" s="46"/>
    </row>
    <row r="4" spans="1:4" ht="15.75">
      <c r="A4" s="47"/>
      <c r="B4" s="48"/>
      <c r="D4" s="49" t="s">
        <v>33</v>
      </c>
    </row>
    <row r="5" spans="1:4" ht="15.75">
      <c r="A5" s="50" t="s">
        <v>34</v>
      </c>
      <c r="B5" s="51" t="s">
        <v>35</v>
      </c>
      <c r="C5" s="51" t="s">
        <v>36</v>
      </c>
      <c r="D5" s="51" t="s">
        <v>37</v>
      </c>
    </row>
    <row r="6" spans="1:4" ht="15.75">
      <c r="A6" s="52" t="s">
        <v>38</v>
      </c>
      <c r="B6" s="53" t="s">
        <v>39</v>
      </c>
      <c r="C6" s="53" t="s">
        <v>40</v>
      </c>
      <c r="D6" s="53" t="s">
        <v>41</v>
      </c>
    </row>
    <row r="7" spans="1:4" ht="12.75">
      <c r="A7" s="51" t="s">
        <v>42</v>
      </c>
      <c r="B7" s="54"/>
      <c r="C7" s="55"/>
      <c r="D7" s="54"/>
    </row>
    <row r="8" spans="1:4" ht="12.75">
      <c r="A8" s="56" t="s">
        <v>43</v>
      </c>
      <c r="B8" s="57">
        <f>1_b_sz_melléklet!D8</f>
        <v>336246</v>
      </c>
      <c r="C8" s="58">
        <f>1_d_sz_melléklet!F269</f>
        <v>1401562</v>
      </c>
      <c r="D8" s="57">
        <f>B8+C8</f>
        <v>1737808</v>
      </c>
    </row>
    <row r="9" spans="1:4" ht="12.75">
      <c r="A9" s="59" t="s">
        <v>44</v>
      </c>
      <c r="B9" s="57">
        <f>1_b_sz_melléklet!D9</f>
        <v>88264</v>
      </c>
      <c r="C9" s="58">
        <f>1_d_sz_melléklet!F270</f>
        <v>380581</v>
      </c>
      <c r="D9" s="57">
        <f aca="true" t="shared" si="0" ref="D9:D14">B9+C9</f>
        <v>468845</v>
      </c>
    </row>
    <row r="10" spans="1:4" ht="12.75">
      <c r="A10" s="59" t="s">
        <v>45</v>
      </c>
      <c r="B10" s="57">
        <f>1_b_sz_melléklet!D10</f>
        <v>148607</v>
      </c>
      <c r="C10" s="58">
        <f>1_d_sz_melléklet!F271</f>
        <v>804421</v>
      </c>
      <c r="D10" s="57">
        <f t="shared" si="0"/>
        <v>953028</v>
      </c>
    </row>
    <row r="11" spans="1:4" ht="12.75">
      <c r="A11" s="59" t="s">
        <v>46</v>
      </c>
      <c r="B11" s="57">
        <f>1_b_sz_melléklet!D11</f>
        <v>0</v>
      </c>
      <c r="C11" s="58">
        <f>1_d_sz_melléklet!D272</f>
        <v>-98603</v>
      </c>
      <c r="D11" s="57">
        <f t="shared" si="0"/>
        <v>-98603</v>
      </c>
    </row>
    <row r="12" spans="1:4" ht="12.75">
      <c r="A12" s="59" t="s">
        <v>47</v>
      </c>
      <c r="B12" s="57">
        <f>1_b_sz_melléklet!D12</f>
        <v>0</v>
      </c>
      <c r="C12" s="58">
        <f>1_d_sz_melléklet!F273</f>
        <v>358</v>
      </c>
      <c r="D12" s="57">
        <f t="shared" si="0"/>
        <v>358</v>
      </c>
    </row>
    <row r="13" spans="1:4" ht="12.75">
      <c r="A13" s="59" t="s">
        <v>48</v>
      </c>
      <c r="B13" s="57">
        <f>1_b_sz_melléklet!D13</f>
        <v>0</v>
      </c>
      <c r="C13" s="58">
        <f>1_d_sz_melléklet!F274</f>
        <v>244481</v>
      </c>
      <c r="D13" s="57">
        <f t="shared" si="0"/>
        <v>244481</v>
      </c>
    </row>
    <row r="14" spans="1:4" ht="12.75">
      <c r="A14" s="60" t="s">
        <v>49</v>
      </c>
      <c r="B14" s="57">
        <f>1_b_sz_melléklet!D14</f>
        <v>0</v>
      </c>
      <c r="C14" s="61">
        <f>1_d_sz_melléklet!F275</f>
        <v>244481</v>
      </c>
      <c r="D14" s="57">
        <f t="shared" si="0"/>
        <v>244481</v>
      </c>
    </row>
    <row r="15" spans="1:4" ht="12.75">
      <c r="A15" s="62" t="s">
        <v>50</v>
      </c>
      <c r="B15" s="63">
        <f>SUM(B8:B13)</f>
        <v>573117</v>
      </c>
      <c r="C15" s="63">
        <f>1_d_sz_melléklet!F276</f>
        <v>2732800</v>
      </c>
      <c r="D15" s="63">
        <f>C15+B15</f>
        <v>3305917</v>
      </c>
    </row>
    <row r="16" spans="1:4" ht="12.75">
      <c r="A16" s="64"/>
      <c r="B16" s="65"/>
      <c r="C16" s="66"/>
      <c r="D16" s="65"/>
    </row>
    <row r="17" spans="1:4" ht="12.75">
      <c r="A17" s="67" t="s">
        <v>51</v>
      </c>
      <c r="B17" s="68"/>
      <c r="C17" s="69"/>
      <c r="D17" s="59"/>
    </row>
    <row r="18" spans="1:4" ht="12.75">
      <c r="A18" s="59" t="s">
        <v>52</v>
      </c>
      <c r="B18" s="68">
        <f>1_b_sz_melléklet!D19</f>
        <v>0</v>
      </c>
      <c r="C18" s="58">
        <f>1_d_sz_melléklet!F279</f>
        <v>499662</v>
      </c>
      <c r="D18" s="57">
        <f>B18+C18</f>
        <v>499662</v>
      </c>
    </row>
    <row r="19" spans="1:4" ht="12.75">
      <c r="A19" s="59" t="s">
        <v>53</v>
      </c>
      <c r="B19" s="68">
        <f>1_b_sz_melléklet!D20</f>
        <v>0</v>
      </c>
      <c r="C19" s="58">
        <f>1_d_sz_melléklet!F280</f>
        <v>72225</v>
      </c>
      <c r="D19" s="57">
        <f>B19+C19</f>
        <v>72225</v>
      </c>
    </row>
    <row r="20" spans="1:4" ht="12.75">
      <c r="A20" s="59" t="s">
        <v>54</v>
      </c>
      <c r="B20" s="68">
        <f>1_b_sz_melléklet!D21</f>
        <v>0</v>
      </c>
      <c r="C20" s="58">
        <f>1_d_sz_melléklet!F281</f>
        <v>1500</v>
      </c>
      <c r="D20" s="57">
        <f>B20+C20</f>
        <v>1500</v>
      </c>
    </row>
    <row r="21" spans="1:4" ht="12.75">
      <c r="A21" s="59" t="s">
        <v>55</v>
      </c>
      <c r="B21" s="68">
        <f>1_b_sz_melléklet!D22</f>
        <v>0</v>
      </c>
      <c r="C21" s="58">
        <f>1_d_sz_melléklet!F282</f>
        <v>98603</v>
      </c>
      <c r="D21" s="57">
        <f>B21+C21</f>
        <v>98603</v>
      </c>
    </row>
    <row r="22" spans="1:4" ht="12.75">
      <c r="A22" s="62" t="s">
        <v>56</v>
      </c>
      <c r="B22" s="63">
        <f>SUM(B18:B21)</f>
        <v>0</v>
      </c>
      <c r="C22" s="63">
        <f>1_d_sz_melléklet!F284</f>
        <v>671990</v>
      </c>
      <c r="D22" s="63">
        <f>B22+C22</f>
        <v>671990</v>
      </c>
    </row>
    <row r="23" spans="1:4" ht="12.75">
      <c r="A23" s="70"/>
      <c r="B23" s="71"/>
      <c r="C23" s="72"/>
      <c r="D23" s="73"/>
    </row>
    <row r="24" spans="1:4" ht="12.75">
      <c r="A24" s="70" t="s">
        <v>57</v>
      </c>
      <c r="B24" s="71"/>
      <c r="C24" s="68"/>
      <c r="D24" s="73"/>
    </row>
    <row r="25" spans="1:4" ht="12.75">
      <c r="A25" s="74" t="s">
        <v>58</v>
      </c>
      <c r="B25" s="75">
        <f>1_b_sz_melléklet!D26</f>
        <v>0</v>
      </c>
      <c r="C25" s="57">
        <f>1_d_sz_melléklet!F287</f>
        <v>34912</v>
      </c>
      <c r="D25" s="76">
        <f>B25+C25</f>
        <v>34912</v>
      </c>
    </row>
    <row r="26" spans="1:4" ht="12.75">
      <c r="A26" s="77" t="s">
        <v>59</v>
      </c>
      <c r="B26" s="75">
        <f>1_b_sz_melléklet!D27</f>
        <v>0</v>
      </c>
      <c r="C26" s="78">
        <f>1_d_sz_melléklet!F288</f>
        <v>0</v>
      </c>
      <c r="D26" s="79">
        <f>B26+C26</f>
        <v>0</v>
      </c>
    </row>
    <row r="27" spans="1:4" ht="12.75">
      <c r="A27" s="62" t="s">
        <v>60</v>
      </c>
      <c r="B27" s="80">
        <f>SUM(B25:B26)</f>
        <v>0</v>
      </c>
      <c r="C27" s="63">
        <f>SUM(C25:C26)</f>
        <v>34912</v>
      </c>
      <c r="D27" s="81">
        <f>B27+C27</f>
        <v>34912</v>
      </c>
    </row>
    <row r="28" spans="1:4" ht="12.75">
      <c r="A28" s="70"/>
      <c r="B28" s="71"/>
      <c r="C28" s="72"/>
      <c r="D28" s="73"/>
    </row>
    <row r="29" spans="1:4" ht="12.75">
      <c r="A29" s="82" t="s">
        <v>61</v>
      </c>
      <c r="B29" s="71"/>
      <c r="C29" s="68"/>
      <c r="D29" s="73"/>
    </row>
    <row r="30" spans="1:4" ht="12.75">
      <c r="A30" s="74" t="s">
        <v>58</v>
      </c>
      <c r="B30" s="75">
        <f>1_b_sz_melléklet!D31</f>
        <v>0</v>
      </c>
      <c r="C30" s="57">
        <f>1_d_sz_melléklet!F292</f>
        <v>210875</v>
      </c>
      <c r="D30" s="76">
        <f>B30+C30</f>
        <v>210875</v>
      </c>
    </row>
    <row r="31" spans="1:4" ht="12.75">
      <c r="A31" s="77" t="s">
        <v>59</v>
      </c>
      <c r="B31" s="75">
        <f>1_b_sz_melléklet!D32</f>
        <v>0</v>
      </c>
      <c r="C31" s="83">
        <f>1_d_sz_melléklet!F293</f>
        <v>87393</v>
      </c>
      <c r="D31" s="76">
        <f>B31+C31</f>
        <v>87393</v>
      </c>
    </row>
    <row r="32" spans="1:4" ht="12.75">
      <c r="A32" s="62" t="s">
        <v>62</v>
      </c>
      <c r="B32" s="63">
        <f>SUM(B30:B31)</f>
        <v>0</v>
      </c>
      <c r="C32" s="63">
        <f>1_d_sz_melléklet!F294</f>
        <v>298268</v>
      </c>
      <c r="D32" s="63">
        <f>B32+C32</f>
        <v>298268</v>
      </c>
    </row>
    <row r="33" spans="1:4" ht="12.75">
      <c r="A33" s="70"/>
      <c r="B33" s="84"/>
      <c r="C33" s="69"/>
      <c r="D33" s="84"/>
    </row>
    <row r="34" spans="1:4" ht="12.75">
      <c r="A34" s="67" t="s">
        <v>63</v>
      </c>
      <c r="B34" s="68"/>
      <c r="C34" s="58"/>
      <c r="D34" s="68"/>
    </row>
    <row r="35" spans="1:4" ht="12.75">
      <c r="A35" s="59" t="s">
        <v>64</v>
      </c>
      <c r="B35" s="68">
        <f>1_b_sz_melléklet!D36</f>
        <v>0</v>
      </c>
      <c r="C35" s="58">
        <f>1_d_sz_melléklet!F296</f>
        <v>1000</v>
      </c>
      <c r="D35" s="68">
        <f>B35+C35</f>
        <v>1000</v>
      </c>
    </row>
    <row r="36" spans="1:4" ht="12.75">
      <c r="A36" s="85" t="s">
        <v>65</v>
      </c>
      <c r="B36" s="68">
        <f>1_b_sz_melléklet!D37</f>
        <v>0</v>
      </c>
      <c r="C36" s="61">
        <f>1_d_sz_melléklet!F297</f>
        <v>5000</v>
      </c>
      <c r="D36" s="68">
        <f>B36+C36</f>
        <v>5000</v>
      </c>
    </row>
    <row r="37" spans="1:4" ht="12.75">
      <c r="A37" s="62" t="s">
        <v>66</v>
      </c>
      <c r="B37" s="63">
        <f>SUM(B35:B36)</f>
        <v>0</v>
      </c>
      <c r="C37" s="63">
        <f>SUM(C35:C36)</f>
        <v>6000</v>
      </c>
      <c r="D37" s="63">
        <f>B37+C37</f>
        <v>6000</v>
      </c>
    </row>
    <row r="38" spans="1:4" ht="12.75">
      <c r="A38" s="86"/>
      <c r="B38" s="72"/>
      <c r="C38" s="87"/>
      <c r="D38" s="72"/>
    </row>
    <row r="39" spans="1:4" ht="12.75">
      <c r="A39" s="88" t="s">
        <v>67</v>
      </c>
      <c r="B39" s="89"/>
      <c r="C39" s="69"/>
      <c r="D39" s="89"/>
    </row>
    <row r="40" spans="1:4" ht="12.75">
      <c r="A40" s="90" t="s">
        <v>68</v>
      </c>
      <c r="B40" s="68">
        <f>1_b_sz_melléklet!D41</f>
        <v>0</v>
      </c>
      <c r="C40" s="58">
        <f>1_d_sz_melléklet!F300</f>
        <v>15000</v>
      </c>
      <c r="D40" s="68">
        <f>C40+B40</f>
        <v>15000</v>
      </c>
    </row>
    <row r="41" spans="1:4" ht="12.75">
      <c r="A41" s="91" t="s">
        <v>69</v>
      </c>
      <c r="B41" s="68">
        <f>1_b_sz_melléklet!D42</f>
        <v>0</v>
      </c>
      <c r="C41" s="61">
        <f>1_d_sz_melléklet!F301</f>
        <v>101662</v>
      </c>
      <c r="D41" s="68">
        <f>C41+B41</f>
        <v>101662</v>
      </c>
    </row>
    <row r="42" spans="1:4" ht="12.75">
      <c r="A42" s="62" t="s">
        <v>70</v>
      </c>
      <c r="B42" s="63">
        <f>SUM(B40:B41)</f>
        <v>0</v>
      </c>
      <c r="C42" s="63">
        <f>1_d_sz_melléklet!F302</f>
        <v>116662</v>
      </c>
      <c r="D42" s="63">
        <f>C42+B42</f>
        <v>116662</v>
      </c>
    </row>
    <row r="43" spans="1:4" ht="7.5" customHeight="1">
      <c r="A43" s="70"/>
      <c r="B43" s="84"/>
      <c r="C43" s="92"/>
      <c r="D43" s="84"/>
    </row>
    <row r="44" spans="1:4" ht="31.5" customHeight="1">
      <c r="A44" s="93" t="s">
        <v>71</v>
      </c>
      <c r="B44" s="94">
        <f>B42+B37+B32+B27+B22+B15</f>
        <v>573117</v>
      </c>
      <c r="C44" s="94">
        <f>C42+C37+C32+C27+C22+C15</f>
        <v>3860632</v>
      </c>
      <c r="D44" s="94">
        <f>D42+D37+D32+D27+D22+D15</f>
        <v>4433749</v>
      </c>
    </row>
    <row r="45" spans="1:4" ht="12.75">
      <c r="A45" s="95"/>
      <c r="B45" s="96"/>
      <c r="C45" s="69"/>
      <c r="D45" s="97"/>
    </row>
    <row r="46" spans="1:4" ht="12.75">
      <c r="A46" s="53" t="s">
        <v>72</v>
      </c>
      <c r="B46" s="98"/>
      <c r="D46" s="98"/>
    </row>
    <row r="47" spans="1:4" s="101" customFormat="1" ht="12.75">
      <c r="A47" s="99" t="s">
        <v>73</v>
      </c>
      <c r="B47" s="100">
        <f>1_b_sz_melléklet!D48</f>
        <v>0</v>
      </c>
      <c r="C47" s="89">
        <f>1_d_sz_melléklet!F307</f>
        <v>0</v>
      </c>
      <c r="D47" s="100">
        <f>SUM(B47:C47)</f>
        <v>0</v>
      </c>
    </row>
    <row r="48" spans="1:4" s="101" customFormat="1" ht="12.75">
      <c r="A48" s="77" t="s">
        <v>74</v>
      </c>
      <c r="B48" s="100">
        <f>1_b_sz_melléklet!D49</f>
        <v>0</v>
      </c>
      <c r="C48" s="84">
        <f>1_d_sz_melléklet!F308</f>
        <v>14428</v>
      </c>
      <c r="D48" s="102">
        <f>SUM(B48:C48)</f>
        <v>14428</v>
      </c>
    </row>
    <row r="49" spans="1:4" ht="12.75">
      <c r="A49" s="62" t="s">
        <v>75</v>
      </c>
      <c r="B49" s="63">
        <f>SUM(B47:B48)</f>
        <v>0</v>
      </c>
      <c r="C49" s="63">
        <f>1_d_sz_melléklet!F309</f>
        <v>14428</v>
      </c>
      <c r="D49" s="63">
        <f>SUM(D47:D48)</f>
        <v>14428</v>
      </c>
    </row>
    <row r="50" spans="1:4" ht="12.75">
      <c r="A50" s="85"/>
      <c r="B50" s="84"/>
      <c r="C50" s="92"/>
      <c r="D50" s="68"/>
    </row>
    <row r="51" spans="1:4" ht="24.75" customHeight="1">
      <c r="A51" s="103" t="s">
        <v>76</v>
      </c>
      <c r="B51" s="94">
        <f>B49+B44</f>
        <v>573117</v>
      </c>
      <c r="C51" s="63">
        <f>1_d_sz_melléklet!F311</f>
        <v>3875060</v>
      </c>
      <c r="D51" s="94">
        <f>D49+D44</f>
        <v>4448177</v>
      </c>
    </row>
  </sheetData>
  <sheetProtection/>
  <mergeCells count="1">
    <mergeCell ref="A2:D2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A55" sqref="A55"/>
    </sheetView>
  </sheetViews>
  <sheetFormatPr defaultColWidth="9.140625" defaultRowHeight="12.75"/>
  <cols>
    <col min="1" max="1" width="28.57421875" style="0" customWidth="1"/>
    <col min="2" max="2" width="11.8515625" style="0" customWidth="1"/>
    <col min="3" max="3" width="27.421875" style="0" customWidth="1"/>
    <col min="4" max="4" width="13.00390625" style="0" customWidth="1"/>
  </cols>
  <sheetData>
    <row r="1" spans="1:4" ht="12.75">
      <c r="A1" s="723"/>
      <c r="B1" s="723"/>
      <c r="C1" s="1081" t="s">
        <v>649</v>
      </c>
      <c r="D1" s="1081"/>
    </row>
    <row r="2" spans="1:4" ht="15.75">
      <c r="A2" s="1082" t="s">
        <v>650</v>
      </c>
      <c r="B2" s="1082"/>
      <c r="C2" s="1082"/>
      <c r="D2" s="1082"/>
    </row>
    <row r="3" spans="1:4" ht="9" customHeight="1">
      <c r="A3" s="723"/>
      <c r="B3" s="723"/>
      <c r="C3" s="723"/>
      <c r="D3" s="723"/>
    </row>
    <row r="4" spans="1:4" ht="12.75">
      <c r="A4" s="723"/>
      <c r="B4" s="723"/>
      <c r="C4" s="1079" t="s">
        <v>33</v>
      </c>
      <c r="D4" s="1079"/>
    </row>
    <row r="5" spans="1:4" ht="12.75">
      <c r="A5" s="1080" t="s">
        <v>481</v>
      </c>
      <c r="B5" s="1080"/>
      <c r="C5" s="1080" t="s">
        <v>651</v>
      </c>
      <c r="D5" s="1080"/>
    </row>
    <row r="6" spans="1:4" ht="22.5" customHeight="1">
      <c r="A6" s="724" t="s">
        <v>614</v>
      </c>
      <c r="B6" s="725" t="s">
        <v>652</v>
      </c>
      <c r="C6" s="724" t="s">
        <v>614</v>
      </c>
      <c r="D6" s="726" t="s">
        <v>653</v>
      </c>
    </row>
    <row r="7" spans="1:4" ht="12.75">
      <c r="A7" s="727" t="s">
        <v>654</v>
      </c>
      <c r="B7" s="728">
        <f>'2_sz_ melléklet'!D6</f>
        <v>1380042</v>
      </c>
      <c r="C7" s="727" t="s">
        <v>655</v>
      </c>
      <c r="D7" s="729">
        <f>'1_a_sz_ melléklet'!D8</f>
        <v>1737808</v>
      </c>
    </row>
    <row r="8" spans="1:4" ht="12.75">
      <c r="A8" s="727" t="s">
        <v>656</v>
      </c>
      <c r="B8" s="728"/>
      <c r="C8" s="727" t="s">
        <v>657</v>
      </c>
      <c r="D8" s="729">
        <f>'1_a_sz_ melléklet'!D9</f>
        <v>468845</v>
      </c>
    </row>
    <row r="9" spans="1:4" ht="12.75">
      <c r="A9" s="727" t="s">
        <v>658</v>
      </c>
      <c r="B9" s="730">
        <v>0</v>
      </c>
      <c r="C9" s="727" t="s">
        <v>420</v>
      </c>
      <c r="D9" s="729">
        <f>'1_a_sz_ melléklet'!D10</f>
        <v>953028</v>
      </c>
    </row>
    <row r="10" spans="1:4" ht="12.75">
      <c r="A10" s="727" t="s">
        <v>659</v>
      </c>
      <c r="B10" s="730">
        <v>-6144</v>
      </c>
      <c r="C10" s="727" t="s">
        <v>660</v>
      </c>
      <c r="D10" s="729">
        <v>15097</v>
      </c>
    </row>
    <row r="11" spans="1:4" ht="12.75">
      <c r="A11" s="727" t="s">
        <v>661</v>
      </c>
      <c r="B11" s="728">
        <f>'2_sz_ melléklet'!D13</f>
        <v>2357667.9946666667</v>
      </c>
      <c r="C11" s="727" t="s">
        <v>662</v>
      </c>
      <c r="D11" s="729">
        <f>-'1_a_sz_ melléklet'!D21</f>
        <v>-98603</v>
      </c>
    </row>
    <row r="12" spans="1:4" ht="12.75">
      <c r="A12" s="731" t="s">
        <v>663</v>
      </c>
      <c r="B12" s="730">
        <v>-27593</v>
      </c>
      <c r="C12" s="727" t="s">
        <v>664</v>
      </c>
      <c r="D12" s="729">
        <v>0</v>
      </c>
    </row>
    <row r="13" spans="1:4" ht="12.75">
      <c r="A13" s="732" t="s">
        <v>665</v>
      </c>
      <c r="B13" s="728">
        <f>-('2_sz_ melléklet'!D19+'2_sz_ melléklet'!D23)+(-'2_f_h_sz_ melléklet'!D14)</f>
        <v>-362499</v>
      </c>
      <c r="C13" s="727" t="s">
        <v>666</v>
      </c>
      <c r="D13" s="729">
        <f>'1_a_sz_ melléklet'!D13</f>
        <v>244481</v>
      </c>
    </row>
    <row r="14" spans="1:4" ht="12.75">
      <c r="A14" s="732" t="s">
        <v>667</v>
      </c>
      <c r="B14" s="728">
        <f>'2_sz_ melléklet'!D34</f>
        <v>108</v>
      </c>
      <c r="C14" s="732" t="s">
        <v>668</v>
      </c>
      <c r="D14" s="729">
        <f>'1_a_sz_ melléklet'!D14</f>
        <v>244481</v>
      </c>
    </row>
    <row r="15" spans="1:4" ht="12.75">
      <c r="A15" s="732"/>
      <c r="B15" s="728"/>
      <c r="C15" s="732" t="s">
        <v>669</v>
      </c>
      <c r="D15" s="729">
        <f>'1_a_sz_ melléklet'!D12</f>
        <v>358</v>
      </c>
    </row>
    <row r="16" spans="1:4" ht="12.75">
      <c r="A16" s="732"/>
      <c r="B16" s="728"/>
      <c r="C16" s="732" t="s">
        <v>670</v>
      </c>
      <c r="D16" s="729">
        <f>'1_a_sz_ melléklet'!D25</f>
        <v>34912</v>
      </c>
    </row>
    <row r="17" spans="1:4" ht="12.75">
      <c r="A17" s="732"/>
      <c r="B17" s="728"/>
      <c r="C17" s="732" t="s">
        <v>671</v>
      </c>
      <c r="D17" s="729">
        <f>'1_a_sz_ melléklet'!D35</f>
        <v>1000</v>
      </c>
    </row>
    <row r="18" spans="1:4" ht="12.75">
      <c r="A18" s="732"/>
      <c r="B18" s="728"/>
      <c r="C18" s="733" t="s">
        <v>672</v>
      </c>
      <c r="D18" s="729">
        <f>'1_a_sz_ melléklet'!D30</f>
        <v>210875</v>
      </c>
    </row>
    <row r="19" spans="1:4" ht="12.75">
      <c r="A19" s="732"/>
      <c r="B19" s="728"/>
      <c r="C19" s="732" t="s">
        <v>673</v>
      </c>
      <c r="D19" s="729">
        <f>D20+D21</f>
        <v>87162</v>
      </c>
    </row>
    <row r="20" spans="1:4" ht="12.75">
      <c r="A20" s="732"/>
      <c r="B20" s="728"/>
      <c r="C20" s="732" t="s">
        <v>674</v>
      </c>
      <c r="D20" s="729">
        <f>'1_a_sz_ melléklet'!D40</f>
        <v>15000</v>
      </c>
    </row>
    <row r="21" spans="1:4" ht="12.75">
      <c r="A21" s="732"/>
      <c r="B21" s="728"/>
      <c r="C21" s="732" t="s">
        <v>675</v>
      </c>
      <c r="D21" s="734">
        <f>'5_sz_ melléklet'!B16</f>
        <v>72162</v>
      </c>
    </row>
    <row r="22" spans="1:4" ht="12.75">
      <c r="A22" s="735" t="s">
        <v>676</v>
      </c>
      <c r="B22" s="736">
        <f>SUM(B7:B20)</f>
        <v>3341581.9946666667</v>
      </c>
      <c r="C22" s="735" t="s">
        <v>677</v>
      </c>
      <c r="D22" s="737">
        <f>D7+D8+D9+D12+D13+D15+D18+D11+D16+D17+D19</f>
        <v>3639866</v>
      </c>
    </row>
    <row r="23" spans="1:4" ht="6.75" customHeight="1">
      <c r="A23" s="738"/>
      <c r="B23" s="739"/>
      <c r="C23" s="740"/>
      <c r="D23" s="741"/>
    </row>
    <row r="24" spans="1:4" ht="12.75" customHeight="1">
      <c r="A24" s="742" t="s">
        <v>678</v>
      </c>
      <c r="B24" s="743">
        <f>'2_sz_ melléklet'!D41</f>
        <v>0</v>
      </c>
      <c r="C24" s="742"/>
      <c r="D24" s="742"/>
    </row>
    <row r="25" spans="1:4" ht="12.75">
      <c r="A25" s="732" t="s">
        <v>679</v>
      </c>
      <c r="B25" s="728">
        <f>D22+D25-B22</f>
        <v>298284.0053333333</v>
      </c>
      <c r="C25" s="732" t="s">
        <v>680</v>
      </c>
      <c r="D25" s="730">
        <f>'1_a_sz_ melléklet'!D47</f>
        <v>0</v>
      </c>
    </row>
    <row r="26" spans="1:4" ht="12.75">
      <c r="A26" s="732" t="s">
        <v>681</v>
      </c>
      <c r="B26" s="728"/>
      <c r="C26" s="732"/>
      <c r="D26" s="728"/>
    </row>
    <row r="27" spans="1:4" ht="12.75">
      <c r="A27" s="732" t="s">
        <v>682</v>
      </c>
      <c r="B27" s="728"/>
      <c r="C27" s="732"/>
      <c r="D27" s="728"/>
    </row>
    <row r="28" spans="1:4" ht="12.75">
      <c r="A28" s="744" t="s">
        <v>683</v>
      </c>
      <c r="B28" s="745">
        <f>B22+B25+B24</f>
        <v>3639866</v>
      </c>
      <c r="C28" s="744" t="s">
        <v>684</v>
      </c>
      <c r="D28" s="745">
        <f>D22+D24+D25</f>
        <v>3639866</v>
      </c>
    </row>
    <row r="29" spans="1:4" ht="8.25" customHeight="1">
      <c r="A29" s="723"/>
      <c r="B29" s="723"/>
      <c r="C29" s="723"/>
      <c r="D29" s="723"/>
    </row>
    <row r="30" spans="1:4" ht="15.75">
      <c r="A30" s="1082" t="s">
        <v>685</v>
      </c>
      <c r="B30" s="1082"/>
      <c r="C30" s="1082"/>
      <c r="D30" s="1082"/>
    </row>
    <row r="31" spans="1:4" ht="9.75" customHeight="1">
      <c r="A31" s="723"/>
      <c r="B31" s="723"/>
      <c r="C31" s="723"/>
      <c r="D31" s="723"/>
    </row>
    <row r="32" spans="1:4" ht="12.75">
      <c r="A32" s="723"/>
      <c r="B32" s="723"/>
      <c r="C32" s="1079" t="s">
        <v>33</v>
      </c>
      <c r="D32" s="1079"/>
    </row>
    <row r="33" spans="1:4" ht="12.75">
      <c r="A33" s="1080" t="s">
        <v>481</v>
      </c>
      <c r="B33" s="1080"/>
      <c r="C33" s="1080" t="s">
        <v>651</v>
      </c>
      <c r="D33" s="1080"/>
    </row>
    <row r="34" spans="1:4" ht="25.5">
      <c r="A34" s="746" t="s">
        <v>614</v>
      </c>
      <c r="B34" s="747" t="s">
        <v>652</v>
      </c>
      <c r="C34" s="746" t="s">
        <v>614</v>
      </c>
      <c r="D34" s="747" t="s">
        <v>653</v>
      </c>
    </row>
    <row r="35" spans="1:4" ht="12.75">
      <c r="A35" s="727" t="s">
        <v>686</v>
      </c>
      <c r="B35" s="730">
        <f>'2_sz_ melléklet'!D26</f>
        <v>407985</v>
      </c>
      <c r="C35" s="748" t="s">
        <v>687</v>
      </c>
      <c r="D35" s="729">
        <f>'1_a_sz_ melléklet'!D18</f>
        <v>499662</v>
      </c>
    </row>
    <row r="36" spans="1:4" ht="12.75">
      <c r="A36" s="727" t="s">
        <v>688</v>
      </c>
      <c r="B36" s="728">
        <f>'2_f_h_sz_ melléklet'!D14</f>
        <v>0</v>
      </c>
      <c r="C36" s="748" t="s">
        <v>689</v>
      </c>
      <c r="D36" s="734">
        <f>'1_a_sz_ melléklet'!D19</f>
        <v>72225</v>
      </c>
    </row>
    <row r="37" spans="1:4" ht="12.75">
      <c r="A37" s="749" t="s">
        <v>690</v>
      </c>
      <c r="B37" s="728">
        <f>'2_sz_ melléklet'!D23</f>
        <v>362499</v>
      </c>
      <c r="C37" s="750" t="s">
        <v>691</v>
      </c>
      <c r="D37" s="734">
        <f>'1_a_sz_ melléklet'!D20</f>
        <v>1500</v>
      </c>
    </row>
    <row r="38" spans="1:4" ht="12.75">
      <c r="A38" s="732" t="s">
        <v>692</v>
      </c>
      <c r="B38" s="728"/>
      <c r="C38" s="750" t="s">
        <v>693</v>
      </c>
      <c r="D38" s="734">
        <f>'1_a_sz_ melléklet'!D31</f>
        <v>87393</v>
      </c>
    </row>
    <row r="39" spans="1:4" ht="12.75">
      <c r="A39" s="732" t="s">
        <v>678</v>
      </c>
      <c r="B39" s="728">
        <f>'[1]2_sz_melléklet'!D41</f>
        <v>0</v>
      </c>
      <c r="C39" s="750" t="s">
        <v>671</v>
      </c>
      <c r="D39" s="734">
        <f>'1_a_sz_ melléklet'!D36</f>
        <v>5000</v>
      </c>
    </row>
    <row r="40" spans="1:4" ht="12.75">
      <c r="A40" s="732" t="s">
        <v>694</v>
      </c>
      <c r="B40" s="728">
        <f>'2_sz_ melléklet'!D35</f>
        <v>4090</v>
      </c>
      <c r="C40" s="750" t="s">
        <v>695</v>
      </c>
      <c r="D40" s="734">
        <f>-D11</f>
        <v>98603</v>
      </c>
    </row>
    <row r="41" spans="1:4" ht="12.75">
      <c r="A41" s="732" t="s">
        <v>696</v>
      </c>
      <c r="B41" s="728">
        <f>B42</f>
        <v>27593</v>
      </c>
      <c r="C41" s="750" t="s">
        <v>673</v>
      </c>
      <c r="D41" s="734">
        <f>D42+D43</f>
        <v>29500</v>
      </c>
    </row>
    <row r="42" spans="1:4" ht="25.5">
      <c r="A42" s="751" t="s">
        <v>697</v>
      </c>
      <c r="B42" s="728">
        <f>-B12</f>
        <v>27593</v>
      </c>
      <c r="C42" s="750" t="s">
        <v>698</v>
      </c>
      <c r="D42" s="734"/>
    </row>
    <row r="43" spans="1:4" ht="15.75" customHeight="1">
      <c r="A43" s="732" t="s">
        <v>699</v>
      </c>
      <c r="B43" s="27">
        <f>-B10</f>
        <v>6144</v>
      </c>
      <c r="C43" s="750" t="s">
        <v>700</v>
      </c>
      <c r="D43" s="734">
        <f>'5_sz_ melléklet'!B25</f>
        <v>29500</v>
      </c>
    </row>
    <row r="44" spans="1:4" ht="15" customHeight="1">
      <c r="A44" s="752" t="s">
        <v>701</v>
      </c>
      <c r="B44" s="728">
        <f>-B8</f>
        <v>0</v>
      </c>
      <c r="C44" s="750" t="s">
        <v>702</v>
      </c>
      <c r="D44" s="734">
        <f>-D12</f>
        <v>0</v>
      </c>
    </row>
    <row r="45" spans="1:4" ht="12.75">
      <c r="A45" s="752"/>
      <c r="B45" s="728"/>
      <c r="C45" s="750" t="s">
        <v>703</v>
      </c>
      <c r="D45" s="734">
        <f>'1_a_sz_ melléklet'!D26</f>
        <v>0</v>
      </c>
    </row>
    <row r="46" spans="1:4" ht="12.75">
      <c r="A46" s="753" t="s">
        <v>704</v>
      </c>
      <c r="B46" s="754">
        <f>B35+B36+B37+B38+B39+B40+B41+B43+B44+B45</f>
        <v>808311</v>
      </c>
      <c r="C46" s="755" t="s">
        <v>705</v>
      </c>
      <c r="D46" s="741">
        <f>SUM(D35:D41)+D44+D45</f>
        <v>793883</v>
      </c>
    </row>
    <row r="47" spans="1:4" ht="6" customHeight="1">
      <c r="A47" s="753"/>
      <c r="B47" s="754"/>
      <c r="C47" s="755"/>
      <c r="D47" s="741"/>
    </row>
    <row r="48" spans="1:4" ht="12" customHeight="1">
      <c r="A48" s="756" t="s">
        <v>678</v>
      </c>
      <c r="B48" s="754">
        <f>'2_sz_ melléklet'!D42</f>
        <v>0</v>
      </c>
      <c r="C48" s="755"/>
      <c r="D48" s="741"/>
    </row>
    <row r="49" spans="1:4" ht="12.75">
      <c r="A49" s="757" t="s">
        <v>706</v>
      </c>
      <c r="B49" s="758">
        <f>D50-B46</f>
        <v>0</v>
      </c>
      <c r="C49" s="759" t="s">
        <v>680</v>
      </c>
      <c r="D49" s="760">
        <f>'1_a_sz_ melléklet'!D48</f>
        <v>14428</v>
      </c>
    </row>
    <row r="50" spans="1:4" ht="12.75">
      <c r="A50" s="753" t="s">
        <v>707</v>
      </c>
      <c r="B50" s="754">
        <f>SUM(B46:B49)</f>
        <v>808311</v>
      </c>
      <c r="C50" s="755" t="s">
        <v>708</v>
      </c>
      <c r="D50" s="741">
        <f>SUM(D46:D49)</f>
        <v>808311</v>
      </c>
    </row>
    <row r="51" spans="1:4" ht="4.5" customHeight="1">
      <c r="A51" s="756"/>
      <c r="B51" s="761"/>
      <c r="C51" s="762"/>
      <c r="D51" s="763"/>
    </row>
    <row r="52" spans="1:4" ht="12.75">
      <c r="A52" s="764" t="s">
        <v>709</v>
      </c>
      <c r="B52" s="765">
        <f>B22+B46</f>
        <v>4149892.9946666667</v>
      </c>
      <c r="C52" s="766" t="s">
        <v>710</v>
      </c>
      <c r="D52" s="767">
        <f>D22+D46</f>
        <v>4433749</v>
      </c>
    </row>
    <row r="53" spans="1:4" ht="12.75">
      <c r="A53" s="768" t="s">
        <v>711</v>
      </c>
      <c r="B53" s="765">
        <f>B48+B24</f>
        <v>0</v>
      </c>
      <c r="C53" s="769"/>
      <c r="D53" s="767"/>
    </row>
    <row r="54" spans="1:4" ht="12.75">
      <c r="A54" s="770" t="s">
        <v>679</v>
      </c>
      <c r="B54" s="771">
        <f>B49+B25</f>
        <v>298284.0053333333</v>
      </c>
      <c r="C54" s="772" t="s">
        <v>712</v>
      </c>
      <c r="D54" s="773">
        <f>D25+D49</f>
        <v>14428</v>
      </c>
    </row>
    <row r="55" spans="1:4" ht="12.75">
      <c r="A55" s="774" t="s">
        <v>713</v>
      </c>
      <c r="B55" s="745">
        <f>SUM(B52:B54)</f>
        <v>4448177</v>
      </c>
      <c r="C55" s="744" t="s">
        <v>714</v>
      </c>
      <c r="D55" s="775">
        <f>SUM(D52:D54)</f>
        <v>4448177</v>
      </c>
    </row>
    <row r="56" spans="1:4" ht="12.75">
      <c r="A56" s="1"/>
      <c r="B56" s="1"/>
      <c r="C56" s="1"/>
      <c r="D56" s="1"/>
    </row>
  </sheetData>
  <sheetProtection/>
  <mergeCells count="9">
    <mergeCell ref="C32:D32"/>
    <mergeCell ref="A33:B33"/>
    <mergeCell ref="C33:D33"/>
    <mergeCell ref="C1:D1"/>
    <mergeCell ref="A2:D2"/>
    <mergeCell ref="C4:D4"/>
    <mergeCell ref="A5:B5"/>
    <mergeCell ref="C5:D5"/>
    <mergeCell ref="A30:D30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A57" sqref="A57"/>
    </sheetView>
  </sheetViews>
  <sheetFormatPr defaultColWidth="9.140625" defaultRowHeight="12.75"/>
  <cols>
    <col min="1" max="1" width="48.7109375" style="0" customWidth="1"/>
    <col min="2" max="2" width="13.140625" style="0" customWidth="1"/>
    <col min="3" max="3" width="12.421875" style="0" customWidth="1"/>
    <col min="4" max="4" width="11.8515625" style="0" customWidth="1"/>
  </cols>
  <sheetData>
    <row r="1" spans="1:4" ht="12.75">
      <c r="A1" s="1083" t="s">
        <v>715</v>
      </c>
      <c r="B1" s="1083"/>
      <c r="C1" s="1083"/>
      <c r="D1" s="1083"/>
    </row>
    <row r="2" spans="1:4" s="101" customFormat="1" ht="12.75">
      <c r="A2" s="1065" t="s">
        <v>716</v>
      </c>
      <c r="B2" s="1065"/>
      <c r="C2" s="1065"/>
      <c r="D2" s="1065"/>
    </row>
    <row r="3" ht="12.75">
      <c r="D3" s="776" t="s">
        <v>33</v>
      </c>
    </row>
    <row r="4" spans="1:4" s="1" customFormat="1" ht="15.75" customHeight="1">
      <c r="A4" s="777" t="s">
        <v>717</v>
      </c>
      <c r="B4" s="778" t="s">
        <v>2</v>
      </c>
      <c r="C4" s="779" t="s">
        <v>718</v>
      </c>
      <c r="D4" s="778" t="s">
        <v>719</v>
      </c>
    </row>
    <row r="5" spans="1:4" s="1" customFormat="1" ht="12.75">
      <c r="A5" s="40" t="s">
        <v>720</v>
      </c>
      <c r="B5" s="191"/>
      <c r="C5" s="780"/>
      <c r="D5" s="191"/>
    </row>
    <row r="6" spans="1:4" ht="12.75">
      <c r="A6" s="781" t="s">
        <v>721</v>
      </c>
      <c r="B6" s="149">
        <f>'2_sz_ melléklet'!D7-'2_a_d_sz_ melléklet'!D10</f>
        <v>227947</v>
      </c>
      <c r="C6" s="149">
        <v>328185</v>
      </c>
      <c r="D6" s="27">
        <v>317600</v>
      </c>
    </row>
    <row r="7" spans="1:4" ht="12.75">
      <c r="A7" s="16" t="s">
        <v>722</v>
      </c>
      <c r="B7" s="27">
        <f>'2_sz_ melléklet'!D8-'2_sz_ melléklet'!D10+'2_a_d_sz_ melléklet'!B46</f>
        <v>742517</v>
      </c>
      <c r="C7" s="27">
        <v>485000</v>
      </c>
      <c r="D7" s="27">
        <v>473200</v>
      </c>
    </row>
    <row r="8" spans="1:4" ht="12.75">
      <c r="A8" s="16" t="s">
        <v>723</v>
      </c>
      <c r="B8" s="27">
        <f>'2_sz_ melléklet'!D14+'2_a_d_sz_ melléklet'!B43+'2_a_d_sz_ melléklet'!B44</f>
        <v>2000796.9946666667</v>
      </c>
      <c r="C8" s="27">
        <v>2410062</v>
      </c>
      <c r="D8" s="27">
        <v>2415600</v>
      </c>
    </row>
    <row r="9" spans="1:4" ht="12.75">
      <c r="A9" s="16" t="s">
        <v>724</v>
      </c>
      <c r="B9" s="27">
        <f>'2_a_d_sz_ melléklet'!D10</f>
        <v>400</v>
      </c>
      <c r="C9" s="27">
        <v>2254</v>
      </c>
      <c r="D9" s="27">
        <v>2220</v>
      </c>
    </row>
    <row r="10" spans="1:4" ht="12.75">
      <c r="A10" s="182" t="s">
        <v>725</v>
      </c>
      <c r="B10" s="27">
        <f>'2_sz_ melléklet'!D21</f>
        <v>403550</v>
      </c>
      <c r="C10" s="27">
        <v>420500</v>
      </c>
      <c r="D10" s="27">
        <v>407300</v>
      </c>
    </row>
    <row r="11" spans="1:4" ht="12.75">
      <c r="A11" s="182" t="s">
        <v>726</v>
      </c>
      <c r="B11" s="27">
        <v>0</v>
      </c>
      <c r="C11" s="27">
        <v>0</v>
      </c>
      <c r="D11" s="27">
        <v>0</v>
      </c>
    </row>
    <row r="12" spans="1:4" ht="12.75">
      <c r="A12" s="182" t="s">
        <v>727</v>
      </c>
      <c r="B12" s="27">
        <f>'2_sz_ melléklet'!D34</f>
        <v>108</v>
      </c>
      <c r="C12" s="27">
        <v>500</v>
      </c>
      <c r="D12" s="27">
        <v>500</v>
      </c>
    </row>
    <row r="13" spans="1:4" ht="12.75">
      <c r="A13" s="182" t="s">
        <v>728</v>
      </c>
      <c r="B13" s="27">
        <f>'2_sz_ melléklet'!D44</f>
        <v>298284.0053333333</v>
      </c>
      <c r="C13" s="27">
        <v>418000</v>
      </c>
      <c r="D13" s="27">
        <v>427000</v>
      </c>
    </row>
    <row r="14" spans="1:4" ht="12.75">
      <c r="A14" s="182" t="s">
        <v>729</v>
      </c>
      <c r="B14" s="27">
        <v>0</v>
      </c>
      <c r="C14" s="27">
        <v>0</v>
      </c>
      <c r="D14" s="27">
        <v>0</v>
      </c>
    </row>
    <row r="15" spans="1:4" ht="12.75">
      <c r="A15" s="782" t="s">
        <v>730</v>
      </c>
      <c r="B15" s="172">
        <f>'2_sz_ melléklet'!D41</f>
        <v>0</v>
      </c>
      <c r="C15" s="172">
        <v>0</v>
      </c>
      <c r="D15" s="172">
        <v>0</v>
      </c>
    </row>
    <row r="16" spans="1:4" s="101" customFormat="1" ht="12.75">
      <c r="A16" s="189" t="s">
        <v>731</v>
      </c>
      <c r="B16" s="783">
        <f>SUM(B6:B15)</f>
        <v>3673603</v>
      </c>
      <c r="C16" s="783">
        <f>SUM(C6:C15)</f>
        <v>4064501</v>
      </c>
      <c r="D16" s="783">
        <f>SUM(D6:D15)</f>
        <v>4043420</v>
      </c>
    </row>
    <row r="17" spans="1:4" ht="12.75">
      <c r="A17" s="784" t="s">
        <v>655</v>
      </c>
      <c r="B17" s="27">
        <f>'1_a_sz_ melléklet'!D8</f>
        <v>1737808</v>
      </c>
      <c r="C17" s="27">
        <v>1820100</v>
      </c>
      <c r="D17" s="27">
        <v>1860100</v>
      </c>
    </row>
    <row r="18" spans="1:4" ht="12.75">
      <c r="A18" s="16" t="s">
        <v>657</v>
      </c>
      <c r="B18" s="27">
        <f>'1_a_sz_ melléklet'!D9</f>
        <v>468845</v>
      </c>
      <c r="C18" s="27">
        <v>582432</v>
      </c>
      <c r="D18" s="27">
        <v>595232</v>
      </c>
    </row>
    <row r="19" spans="1:4" ht="12.75">
      <c r="A19" s="16" t="s">
        <v>732</v>
      </c>
      <c r="B19" s="27">
        <f>'7_sz_ melléklet'!D9+'7_sz_ melléklet'!D11-'7_sz_ melléklet'!D10</f>
        <v>839328</v>
      </c>
      <c r="C19" s="27">
        <v>965800</v>
      </c>
      <c r="D19" s="27">
        <v>983400</v>
      </c>
    </row>
    <row r="20" spans="1:4" ht="12.75">
      <c r="A20" s="16" t="s">
        <v>733</v>
      </c>
      <c r="B20" s="27">
        <f>'7_sz_ melléklet'!D13+'7_sz_ melléklet'!D18</f>
        <v>455356</v>
      </c>
      <c r="C20" s="27">
        <v>377000</v>
      </c>
      <c r="D20" s="27">
        <v>381000</v>
      </c>
    </row>
    <row r="21" spans="1:4" ht="12.75">
      <c r="A21" s="182" t="s">
        <v>734</v>
      </c>
      <c r="B21" s="27">
        <f>'1_a_sz_ melléklet'!D25</f>
        <v>34912</v>
      </c>
      <c r="C21" s="27">
        <v>6000</v>
      </c>
      <c r="D21" s="27">
        <v>6500</v>
      </c>
    </row>
    <row r="22" spans="1:4" ht="12.75">
      <c r="A22" s="182" t="s">
        <v>735</v>
      </c>
      <c r="B22" s="27"/>
      <c r="C22" s="27">
        <v>0</v>
      </c>
      <c r="D22" s="27">
        <v>0</v>
      </c>
    </row>
    <row r="23" spans="1:4" ht="12.75">
      <c r="A23" s="16" t="s">
        <v>736</v>
      </c>
      <c r="B23" s="27">
        <f>'1_a_sz_ melléklet'!D12</f>
        <v>358</v>
      </c>
      <c r="C23" s="27">
        <v>680</v>
      </c>
      <c r="D23" s="27">
        <v>678</v>
      </c>
    </row>
    <row r="24" spans="1:4" ht="12.75">
      <c r="A24" s="182" t="s">
        <v>737</v>
      </c>
      <c r="B24" s="27">
        <f>'1_a_sz_ melléklet'!D35</f>
        <v>1000</v>
      </c>
      <c r="C24" s="27">
        <v>1000</v>
      </c>
      <c r="D24" s="27">
        <v>1000</v>
      </c>
    </row>
    <row r="25" spans="1:4" ht="12.75">
      <c r="A25" s="182" t="s">
        <v>738</v>
      </c>
      <c r="B25" s="153">
        <f>'1_a_sz_ melléklet'!D47</f>
        <v>0</v>
      </c>
      <c r="C25" s="153">
        <v>213352</v>
      </c>
      <c r="D25" s="153">
        <v>150000</v>
      </c>
    </row>
    <row r="26" spans="1:4" ht="12.75">
      <c r="A26" s="182" t="s">
        <v>739</v>
      </c>
      <c r="B26" s="153">
        <f>'7_sz_ melléklet'!D10</f>
        <v>15097</v>
      </c>
      <c r="C26" s="153">
        <v>17000</v>
      </c>
      <c r="D26" s="153">
        <v>15000</v>
      </c>
    </row>
    <row r="27" spans="1:4" ht="12.75">
      <c r="A27" s="182" t="s">
        <v>740</v>
      </c>
      <c r="B27" s="153">
        <v>0</v>
      </c>
      <c r="C27" s="153">
        <v>0</v>
      </c>
      <c r="D27" s="153">
        <v>0</v>
      </c>
    </row>
    <row r="28" spans="1:4" ht="12.75">
      <c r="A28" s="182" t="s">
        <v>673</v>
      </c>
      <c r="B28" s="159">
        <f>'7_sz_ melléklet'!D19</f>
        <v>87162</v>
      </c>
      <c r="C28" s="159">
        <v>40000</v>
      </c>
      <c r="D28" s="159">
        <v>38000</v>
      </c>
    </row>
    <row r="29" spans="1:4" s="101" customFormat="1" ht="12.75">
      <c r="A29" s="189" t="s">
        <v>741</v>
      </c>
      <c r="B29" s="783">
        <f>SUM(B17:B28)</f>
        <v>3639866</v>
      </c>
      <c r="C29" s="783">
        <f>SUM(C17:C28)</f>
        <v>4023364</v>
      </c>
      <c r="D29" s="783">
        <f>SUM(D17:D28)</f>
        <v>4030910</v>
      </c>
    </row>
    <row r="30" spans="1:4" s="101" customFormat="1" ht="12.75">
      <c r="A30" s="40" t="s">
        <v>742</v>
      </c>
      <c r="B30" s="191"/>
      <c r="C30" s="191"/>
      <c r="D30" s="785"/>
    </row>
    <row r="31" spans="1:4" ht="12.75">
      <c r="A31" s="781" t="s">
        <v>743</v>
      </c>
      <c r="B31" s="149">
        <f>'2_sz_ melléklet'!D30</f>
        <v>198067</v>
      </c>
      <c r="C31" s="27">
        <v>125000</v>
      </c>
      <c r="D31" s="27">
        <v>123700</v>
      </c>
    </row>
    <row r="32" spans="1:4" ht="12.75">
      <c r="A32" s="182" t="s">
        <v>744</v>
      </c>
      <c r="B32" s="27">
        <f>'2_sz_ melléklet'!D29</f>
        <v>195918</v>
      </c>
      <c r="C32" s="27">
        <v>145792</v>
      </c>
      <c r="D32" s="27">
        <v>139600</v>
      </c>
    </row>
    <row r="33" spans="1:4" ht="12.75">
      <c r="A33" s="16" t="s">
        <v>745</v>
      </c>
      <c r="B33" s="27">
        <f>'2_sz_ melléklet'!D19</f>
        <v>0</v>
      </c>
      <c r="C33" s="27">
        <v>81700</v>
      </c>
      <c r="D33" s="27">
        <v>79300</v>
      </c>
    </row>
    <row r="34" spans="1:4" ht="12.75">
      <c r="A34" s="16" t="s">
        <v>746</v>
      </c>
      <c r="B34" s="27">
        <f>'2_sz_ melléklet'!D32</f>
        <v>14000</v>
      </c>
      <c r="C34" s="27">
        <v>74700</v>
      </c>
      <c r="D34" s="27">
        <v>74000</v>
      </c>
    </row>
    <row r="35" spans="1:4" ht="12.75">
      <c r="A35" s="786" t="s">
        <v>747</v>
      </c>
      <c r="B35" s="27">
        <f>'2_sz_ melléklet'!D23</f>
        <v>362499</v>
      </c>
      <c r="C35" s="27">
        <v>100900</v>
      </c>
      <c r="D35" s="27">
        <v>98400</v>
      </c>
    </row>
    <row r="36" spans="1:4" ht="12.75">
      <c r="A36" s="182" t="s">
        <v>748</v>
      </c>
      <c r="B36" s="153">
        <v>0</v>
      </c>
      <c r="C36" s="153">
        <v>0</v>
      </c>
      <c r="D36" s="153">
        <v>0</v>
      </c>
    </row>
    <row r="37" spans="1:4" ht="12.75">
      <c r="A37" s="182" t="s">
        <v>749</v>
      </c>
      <c r="B37" s="153">
        <f>'7_sz_ melléklet'!B44</f>
        <v>0</v>
      </c>
      <c r="C37" s="153">
        <v>0</v>
      </c>
      <c r="D37" s="153">
        <v>0</v>
      </c>
    </row>
    <row r="38" spans="1:4" ht="12.75">
      <c r="A38" s="182" t="s">
        <v>750</v>
      </c>
      <c r="B38" s="153">
        <v>0</v>
      </c>
      <c r="C38" s="153">
        <v>0</v>
      </c>
      <c r="D38" s="153">
        <v>0</v>
      </c>
    </row>
    <row r="39" spans="1:4" ht="12.75">
      <c r="A39" s="182" t="s">
        <v>751</v>
      </c>
      <c r="B39" s="153">
        <f>'2_sz_ melléklet'!D35</f>
        <v>4090</v>
      </c>
      <c r="C39" s="153">
        <v>4500</v>
      </c>
      <c r="D39" s="153">
        <v>4000</v>
      </c>
    </row>
    <row r="40" spans="1:4" ht="12.75">
      <c r="A40" s="182" t="s">
        <v>752</v>
      </c>
      <c r="B40" s="153">
        <f>'2_sz_ melléklet'!D45</f>
        <v>0</v>
      </c>
      <c r="C40" s="153">
        <v>21000</v>
      </c>
      <c r="D40" s="153">
        <v>20000</v>
      </c>
    </row>
    <row r="41" spans="1:4" ht="12.75">
      <c r="A41" s="16" t="s">
        <v>753</v>
      </c>
      <c r="B41" s="27">
        <f>'2_sz_ melléklet'!D36</f>
        <v>0</v>
      </c>
      <c r="C41" s="27">
        <v>0</v>
      </c>
      <c r="D41" s="27">
        <v>0</v>
      </c>
    </row>
    <row r="42" spans="1:4" ht="12.75">
      <c r="A42" s="782" t="s">
        <v>754</v>
      </c>
      <c r="B42" s="172">
        <f>'2_sz_ melléklet'!D42</f>
        <v>0</v>
      </c>
      <c r="C42" s="159">
        <v>0</v>
      </c>
      <c r="D42" s="159">
        <v>0</v>
      </c>
    </row>
    <row r="43" spans="1:4" s="101" customFormat="1" ht="12.75">
      <c r="A43" s="189" t="s">
        <v>755</v>
      </c>
      <c r="B43" s="783">
        <f>SUM(B31:B42)</f>
        <v>774574</v>
      </c>
      <c r="C43" s="783">
        <f>SUM(C31:C42)</f>
        <v>553592</v>
      </c>
      <c r="D43" s="783">
        <f>SUM(D31:D42)</f>
        <v>539000</v>
      </c>
    </row>
    <row r="44" spans="1:4" ht="12.75">
      <c r="A44" s="781" t="s">
        <v>756</v>
      </c>
      <c r="B44" s="27">
        <f>'7_sz_ melléklet'!D35</f>
        <v>499662</v>
      </c>
      <c r="C44" s="27">
        <v>307800</v>
      </c>
      <c r="D44" s="27">
        <v>293973</v>
      </c>
    </row>
    <row r="45" spans="1:4" ht="12.75">
      <c r="A45" s="16" t="s">
        <v>757</v>
      </c>
      <c r="B45" s="27">
        <f>'7_sz_ melléklet'!D36</f>
        <v>72225</v>
      </c>
      <c r="C45" s="27">
        <v>81200</v>
      </c>
      <c r="D45" s="27">
        <v>80700</v>
      </c>
    </row>
    <row r="46" spans="1:4" ht="12.75">
      <c r="A46" s="16" t="s">
        <v>758</v>
      </c>
      <c r="B46" s="27">
        <f>'7_sz_ melléklet'!D44</f>
        <v>0</v>
      </c>
      <c r="C46" s="27">
        <v>0</v>
      </c>
      <c r="D46" s="27">
        <v>0</v>
      </c>
    </row>
    <row r="47" spans="1:4" ht="12.75">
      <c r="A47" s="16" t="s">
        <v>759</v>
      </c>
      <c r="B47" s="27">
        <f>'7_sz_ melléklet'!D38</f>
        <v>87393</v>
      </c>
      <c r="C47" s="27">
        <v>68500</v>
      </c>
      <c r="D47" s="27">
        <v>68500</v>
      </c>
    </row>
    <row r="48" spans="1:4" ht="12.75">
      <c r="A48" s="16" t="s">
        <v>760</v>
      </c>
      <c r="B48" s="27">
        <f>'7_sz_ melléklet'!D45</f>
        <v>0</v>
      </c>
      <c r="C48" s="27">
        <v>0</v>
      </c>
      <c r="D48" s="27">
        <v>0</v>
      </c>
    </row>
    <row r="49" spans="1:4" ht="12.75">
      <c r="A49" s="182" t="s">
        <v>761</v>
      </c>
      <c r="B49" s="27"/>
      <c r="C49" s="27">
        <v>0</v>
      </c>
      <c r="D49" s="27">
        <v>0</v>
      </c>
    </row>
    <row r="50" spans="1:4" ht="12.75">
      <c r="A50" s="16" t="s">
        <v>762</v>
      </c>
      <c r="B50" s="27">
        <f>'7_sz_ melléklet'!D39</f>
        <v>5000</v>
      </c>
      <c r="C50" s="27">
        <v>52278</v>
      </c>
      <c r="D50" s="27">
        <v>52278</v>
      </c>
    </row>
    <row r="51" spans="1:4" ht="12.75">
      <c r="A51" s="16" t="s">
        <v>763</v>
      </c>
      <c r="B51" s="27">
        <f>'7_sz_ melléklet'!D49</f>
        <v>14428</v>
      </c>
      <c r="C51" s="27">
        <v>14515</v>
      </c>
      <c r="D51" s="27">
        <v>14604</v>
      </c>
    </row>
    <row r="52" spans="1:4" ht="12.75">
      <c r="A52" s="16" t="s">
        <v>764</v>
      </c>
      <c r="B52" s="27">
        <f>'7_sz_ melléklet'!D40</f>
        <v>98603</v>
      </c>
      <c r="C52" s="27">
        <v>22847</v>
      </c>
      <c r="D52" s="27">
        <v>19300</v>
      </c>
    </row>
    <row r="53" spans="1:4" ht="12.75">
      <c r="A53" s="16" t="s">
        <v>765</v>
      </c>
      <c r="B53" s="27">
        <f>'7_sz_ melléklet'!D37</f>
        <v>1500</v>
      </c>
      <c r="C53" s="27">
        <v>0</v>
      </c>
      <c r="D53" s="27">
        <v>0</v>
      </c>
    </row>
    <row r="54" spans="1:4" ht="12.75">
      <c r="A54" s="787" t="s">
        <v>766</v>
      </c>
      <c r="B54" s="27">
        <f>'7_sz_ melléklet'!D41</f>
        <v>29500</v>
      </c>
      <c r="C54" s="27">
        <v>47589</v>
      </c>
      <c r="D54" s="27">
        <v>22155</v>
      </c>
    </row>
    <row r="55" spans="1:4" s="101" customFormat="1" ht="12.75">
      <c r="A55" s="189" t="s">
        <v>767</v>
      </c>
      <c r="B55" s="783">
        <f>SUM(B44:B54)</f>
        <v>808311</v>
      </c>
      <c r="C55" s="783">
        <f>SUM(C44:C54)</f>
        <v>594729</v>
      </c>
      <c r="D55" s="783">
        <f>SUM(D44:D54)</f>
        <v>551510</v>
      </c>
    </row>
    <row r="56" spans="1:4" s="101" customFormat="1" ht="12.75">
      <c r="A56" s="189" t="s">
        <v>768</v>
      </c>
      <c r="B56" s="783">
        <f>B43+B16</f>
        <v>4448177</v>
      </c>
      <c r="C56" s="783">
        <f>C43+C16</f>
        <v>4618093</v>
      </c>
      <c r="D56" s="783">
        <f>D43+D16</f>
        <v>4582420</v>
      </c>
    </row>
    <row r="57" spans="1:4" s="101" customFormat="1" ht="12.75">
      <c r="A57" s="788" t="s">
        <v>769</v>
      </c>
      <c r="B57" s="789">
        <f>B55+B29</f>
        <v>4448177</v>
      </c>
      <c r="C57" s="789">
        <f>C55+C29</f>
        <v>4618093</v>
      </c>
      <c r="D57" s="789">
        <f>D55+D29</f>
        <v>4582420</v>
      </c>
    </row>
  </sheetData>
  <sheetProtection/>
  <mergeCells count="2">
    <mergeCell ref="A1:D1"/>
    <mergeCell ref="A2:D2"/>
  </mergeCells>
  <printOptions/>
  <pageMargins left="0.7875" right="0.7875" top="0.5902777777777778" bottom="0.5902777777777778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44"/>
  <sheetViews>
    <sheetView zoomScalePageLayoutView="0" workbookViewId="0" topLeftCell="A1">
      <selection activeCell="A44" sqref="A44"/>
    </sheetView>
  </sheetViews>
  <sheetFormatPr defaultColWidth="9.140625" defaultRowHeight="12.75"/>
  <cols>
    <col min="4" max="4" width="22.00390625" style="0" customWidth="1"/>
    <col min="5" max="5" width="18.8515625" style="0" customWidth="1"/>
  </cols>
  <sheetData>
    <row r="2" ht="12.75">
      <c r="E2" s="628" t="s">
        <v>770</v>
      </c>
    </row>
    <row r="3" ht="12.75">
      <c r="E3" s="628"/>
    </row>
    <row r="5" ht="15.75">
      <c r="B5" s="47" t="s">
        <v>771</v>
      </c>
    </row>
    <row r="6" spans="2:5" ht="15.75">
      <c r="B6" s="47" t="s">
        <v>772</v>
      </c>
      <c r="C6" s="47"/>
      <c r="D6" s="47"/>
      <c r="E6" s="47"/>
    </row>
    <row r="7" spans="2:5" ht="15.75">
      <c r="B7" s="47"/>
      <c r="C7" s="47"/>
      <c r="D7" s="47"/>
      <c r="E7" s="47"/>
    </row>
    <row r="8" spans="2:5" ht="15.75">
      <c r="B8" s="47"/>
      <c r="C8" s="47"/>
      <c r="D8" s="47" t="s">
        <v>773</v>
      </c>
      <c r="E8" s="47"/>
    </row>
    <row r="9" spans="2:5" ht="15.75">
      <c r="B9" s="47"/>
      <c r="C9" s="47"/>
      <c r="D9" s="47"/>
      <c r="E9" s="47"/>
    </row>
    <row r="10" spans="2:5" ht="15.75">
      <c r="B10" s="47"/>
      <c r="C10" s="47"/>
      <c r="D10" s="47"/>
      <c r="E10" s="47"/>
    </row>
    <row r="12" spans="1:4" ht="15">
      <c r="A12" s="48" t="s">
        <v>774</v>
      </c>
      <c r="B12" s="48"/>
      <c r="C12" s="48"/>
      <c r="D12" s="48"/>
    </row>
    <row r="15" spans="1:5" ht="15">
      <c r="A15" s="48" t="s">
        <v>775</v>
      </c>
      <c r="B15" s="48"/>
      <c r="C15" s="48"/>
      <c r="D15" s="48"/>
      <c r="E15" s="48"/>
    </row>
    <row r="16" spans="1:5" ht="15">
      <c r="A16" s="48" t="s">
        <v>776</v>
      </c>
      <c r="B16" s="48"/>
      <c r="C16" s="48"/>
      <c r="D16" s="48"/>
      <c r="E16" s="48"/>
    </row>
    <row r="17" ht="12.75">
      <c r="A17" s="790" t="s">
        <v>777</v>
      </c>
    </row>
    <row r="18" ht="12.75">
      <c r="A18" s="790"/>
    </row>
    <row r="19" ht="12.75">
      <c r="A19" s="790"/>
    </row>
    <row r="21" spans="1:5" ht="12.75">
      <c r="A21" s="54"/>
      <c r="B21" s="388"/>
      <c r="C21" s="791"/>
      <c r="D21" s="792"/>
      <c r="E21" s="315" t="s">
        <v>778</v>
      </c>
    </row>
    <row r="22" spans="1:5" ht="12.75">
      <c r="A22" s="793" t="s">
        <v>779</v>
      </c>
      <c r="B22" s="1084" t="s">
        <v>780</v>
      </c>
      <c r="C22" s="1084"/>
      <c r="D22" s="1084"/>
      <c r="E22" s="793" t="s">
        <v>781</v>
      </c>
    </row>
    <row r="23" spans="1:5" ht="12.75">
      <c r="A23" s="316"/>
      <c r="B23" s="320"/>
      <c r="C23" s="794"/>
      <c r="D23" s="795"/>
      <c r="E23" s="317" t="s">
        <v>782</v>
      </c>
    </row>
    <row r="24" spans="1:5" ht="12.75">
      <c r="A24" s="54"/>
      <c r="B24" s="55"/>
      <c r="C24" s="55"/>
      <c r="D24" s="55"/>
      <c r="E24" s="315"/>
    </row>
    <row r="25" spans="1:5" ht="12.75">
      <c r="A25" s="796">
        <v>1</v>
      </c>
      <c r="B25" s="797" t="s">
        <v>783</v>
      </c>
      <c r="C25" s="797"/>
      <c r="D25" s="797"/>
      <c r="E25" s="59"/>
    </row>
    <row r="26" spans="1:5" ht="12.75">
      <c r="A26" s="798">
        <v>2</v>
      </c>
      <c r="B26" s="55" t="s">
        <v>784</v>
      </c>
      <c r="C26" s="55"/>
      <c r="D26" s="528"/>
      <c r="E26" s="85"/>
    </row>
    <row r="27" spans="1:5" ht="12.75">
      <c r="A27" s="796"/>
      <c r="B27" s="797" t="s">
        <v>785</v>
      </c>
      <c r="C27" s="797"/>
      <c r="D27" s="799"/>
      <c r="E27" s="59"/>
    </row>
    <row r="28" spans="1:5" ht="12.75">
      <c r="A28" s="798">
        <v>3</v>
      </c>
      <c r="B28" s="55" t="s">
        <v>786</v>
      </c>
      <c r="C28" s="55"/>
      <c r="D28" s="528"/>
      <c r="E28" s="85"/>
    </row>
    <row r="29" spans="1:5" ht="12.75">
      <c r="A29" s="796"/>
      <c r="B29" s="797" t="s">
        <v>787</v>
      </c>
      <c r="C29" s="797"/>
      <c r="D29" s="799"/>
      <c r="E29" s="59"/>
    </row>
    <row r="30" spans="1:5" ht="12.75">
      <c r="A30" s="796">
        <v>4</v>
      </c>
      <c r="B30" s="797" t="s">
        <v>788</v>
      </c>
      <c r="C30" s="797"/>
      <c r="D30" s="799"/>
      <c r="E30" s="59"/>
    </row>
    <row r="31" spans="1:5" ht="12.75">
      <c r="A31" s="798">
        <v>5</v>
      </c>
      <c r="B31" s="55" t="s">
        <v>789</v>
      </c>
      <c r="C31" s="55"/>
      <c r="D31" s="528"/>
      <c r="E31" s="85"/>
    </row>
    <row r="32" spans="1:5" ht="12.75">
      <c r="A32" s="796"/>
      <c r="B32" s="797" t="s">
        <v>790</v>
      </c>
      <c r="C32" s="797"/>
      <c r="D32" s="799"/>
      <c r="E32" s="59"/>
    </row>
    <row r="33" spans="1:5" ht="12.75">
      <c r="A33" s="800">
        <v>6</v>
      </c>
      <c r="B33" s="109" t="s">
        <v>791</v>
      </c>
      <c r="C33" s="446"/>
      <c r="D33" s="459"/>
      <c r="E33" s="228"/>
    </row>
    <row r="34" spans="1:5" ht="12.75">
      <c r="A34" s="801">
        <v>7</v>
      </c>
      <c r="B34" s="794" t="s">
        <v>792</v>
      </c>
      <c r="C34" s="794"/>
      <c r="D34" s="795"/>
      <c r="E34" s="301"/>
    </row>
    <row r="35" spans="2:5" ht="15.75">
      <c r="B35" s="105" t="s">
        <v>187</v>
      </c>
      <c r="C35" s="451"/>
      <c r="D35" s="802"/>
      <c r="E35" s="803"/>
    </row>
    <row r="37" spans="2:5" ht="12.75">
      <c r="B37" s="790" t="s">
        <v>793</v>
      </c>
      <c r="C37" s="790"/>
      <c r="D37" s="790"/>
      <c r="E37" s="790"/>
    </row>
    <row r="38" spans="2:5" ht="12.75">
      <c r="B38" s="790" t="s">
        <v>794</v>
      </c>
      <c r="C38" s="790"/>
      <c r="D38" s="790"/>
      <c r="E38" s="790"/>
    </row>
    <row r="40" ht="12.75">
      <c r="B40" t="s">
        <v>795</v>
      </c>
    </row>
    <row r="43" ht="12.75">
      <c r="E43" t="s">
        <v>796</v>
      </c>
    </row>
    <row r="44" ht="12.75">
      <c r="E44" t="s">
        <v>797</v>
      </c>
    </row>
  </sheetData>
  <sheetProtection/>
  <mergeCells count="1">
    <mergeCell ref="B22:D22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3:D74"/>
  <sheetViews>
    <sheetView zoomScalePageLayoutView="0" workbookViewId="0" topLeftCell="A1">
      <selection activeCell="A74" sqref="A74"/>
    </sheetView>
  </sheetViews>
  <sheetFormatPr defaultColWidth="9.140625" defaultRowHeight="12.75"/>
  <cols>
    <col min="1" max="1" width="31.28125" style="0" customWidth="1"/>
    <col min="2" max="2" width="15.7109375" style="0" customWidth="1"/>
    <col min="3" max="3" width="15.28125" style="0" customWidth="1"/>
    <col min="4" max="4" width="19.00390625" style="0" customWidth="1"/>
  </cols>
  <sheetData>
    <row r="3" spans="2:3" ht="12.75">
      <c r="B3" s="661"/>
      <c r="C3" s="661" t="s">
        <v>798</v>
      </c>
    </row>
    <row r="4" spans="2:3" ht="12.75">
      <c r="B4" s="661"/>
      <c r="C4" s="661"/>
    </row>
    <row r="6" spans="1:4" ht="18">
      <c r="A6" s="1086" t="s">
        <v>799</v>
      </c>
      <c r="B6" s="1086"/>
      <c r="C6" s="1086"/>
      <c r="D6" s="1086"/>
    </row>
    <row r="7" spans="1:4" ht="18">
      <c r="A7" s="1091" t="s">
        <v>800</v>
      </c>
      <c r="B7" s="1091"/>
      <c r="C7" s="1091"/>
      <c r="D7" s="1091"/>
    </row>
    <row r="10" spans="1:4" ht="18">
      <c r="A10" s="1086" t="s">
        <v>801</v>
      </c>
      <c r="B10" s="1086"/>
      <c r="C10" s="1086"/>
      <c r="D10" s="1086"/>
    </row>
    <row r="11" spans="1:4" ht="18">
      <c r="A11" s="804"/>
      <c r="B11" s="804"/>
      <c r="C11" s="804"/>
      <c r="D11" s="804"/>
    </row>
    <row r="12" spans="1:3" ht="12.75">
      <c r="A12" s="794"/>
      <c r="B12" s="1060" t="s">
        <v>504</v>
      </c>
      <c r="C12" s="1060"/>
    </row>
    <row r="13" spans="1:4" ht="12.75">
      <c r="A13" s="484" t="s">
        <v>5</v>
      </c>
      <c r="B13" s="1087" t="s">
        <v>570</v>
      </c>
      <c r="C13" s="1087"/>
      <c r="D13" s="46"/>
    </row>
    <row r="14" spans="1:4" ht="15">
      <c r="A14" s="805" t="s">
        <v>802</v>
      </c>
      <c r="B14" s="1088">
        <v>571</v>
      </c>
      <c r="C14" s="1088"/>
      <c r="D14" s="48"/>
    </row>
    <row r="15" spans="1:4" ht="15">
      <c r="A15" s="541" t="s">
        <v>803</v>
      </c>
      <c r="B15" s="1089">
        <v>571</v>
      </c>
      <c r="C15" s="1089"/>
      <c r="D15" s="48"/>
    </row>
    <row r="16" spans="1:4" ht="15">
      <c r="A16" s="806" t="s">
        <v>804</v>
      </c>
      <c r="B16" s="1090">
        <v>229</v>
      </c>
      <c r="C16" s="1090"/>
      <c r="D16" s="48"/>
    </row>
    <row r="17" spans="1:4" ht="15.75">
      <c r="A17" s="518" t="s">
        <v>805</v>
      </c>
      <c r="B17" s="1085">
        <f>SUM(B14:B16)</f>
        <v>1371</v>
      </c>
      <c r="C17" s="1085"/>
      <c r="D17" s="47"/>
    </row>
    <row r="21" spans="1:4" ht="18">
      <c r="A21" s="1086" t="s">
        <v>806</v>
      </c>
      <c r="B21" s="1086"/>
      <c r="C21" s="1086"/>
      <c r="D21" s="1086"/>
    </row>
    <row r="22" spans="1:4" ht="18">
      <c r="A22" s="804"/>
      <c r="B22" s="804"/>
      <c r="C22" s="804"/>
      <c r="D22" s="804"/>
    </row>
    <row r="23" spans="2:4" ht="12.75">
      <c r="B23" s="517"/>
      <c r="C23" s="517"/>
      <c r="D23" s="517" t="s">
        <v>504</v>
      </c>
    </row>
    <row r="24" spans="1:4" ht="31.5">
      <c r="A24" s="518" t="s">
        <v>614</v>
      </c>
      <c r="B24" s="696" t="s">
        <v>807</v>
      </c>
      <c r="C24" s="807" t="s">
        <v>808</v>
      </c>
      <c r="D24" s="662" t="s">
        <v>187</v>
      </c>
    </row>
    <row r="25" spans="1:4" ht="23.25" customHeight="1">
      <c r="A25" s="808" t="s">
        <v>809</v>
      </c>
      <c r="B25" s="809">
        <v>229</v>
      </c>
      <c r="C25" s="810"/>
      <c r="D25" s="809">
        <f>C25+B25</f>
        <v>229</v>
      </c>
    </row>
    <row r="26" spans="1:4" ht="15.75">
      <c r="A26" s="811" t="s">
        <v>810</v>
      </c>
      <c r="B26" s="812">
        <v>50</v>
      </c>
      <c r="C26" s="813"/>
      <c r="D26" s="809">
        <f aca="true" t="shared" si="0" ref="D26:D37">C26+B26</f>
        <v>50</v>
      </c>
    </row>
    <row r="27" spans="1:4" ht="15.75">
      <c r="A27" s="814" t="s">
        <v>811</v>
      </c>
      <c r="B27" s="815">
        <v>50</v>
      </c>
      <c r="C27" s="816"/>
      <c r="D27" s="809">
        <f t="shared" si="0"/>
        <v>50</v>
      </c>
    </row>
    <row r="28" spans="1:4" ht="15.75">
      <c r="A28" s="640" t="s">
        <v>812</v>
      </c>
      <c r="B28" s="815"/>
      <c r="C28" s="816">
        <v>100</v>
      </c>
      <c r="D28" s="809">
        <f t="shared" si="0"/>
        <v>100</v>
      </c>
    </row>
    <row r="29" spans="1:4" ht="15.75">
      <c r="A29" s="640" t="s">
        <v>813</v>
      </c>
      <c r="B29" s="815">
        <v>71</v>
      </c>
      <c r="C29" s="816"/>
      <c r="D29" s="809">
        <f t="shared" si="0"/>
        <v>71</v>
      </c>
    </row>
    <row r="30" spans="1:4" ht="15.75">
      <c r="A30" s="817" t="s">
        <v>814</v>
      </c>
      <c r="B30" s="815">
        <v>100</v>
      </c>
      <c r="C30" s="816"/>
      <c r="D30" s="809">
        <f t="shared" si="0"/>
        <v>100</v>
      </c>
    </row>
    <row r="31" spans="1:4" ht="15.75">
      <c r="A31" s="817" t="s">
        <v>815</v>
      </c>
      <c r="B31" s="815">
        <v>250</v>
      </c>
      <c r="C31" s="816">
        <v>100</v>
      </c>
      <c r="D31" s="809">
        <f t="shared" si="0"/>
        <v>350</v>
      </c>
    </row>
    <row r="32" spans="1:4" ht="15.75">
      <c r="A32" s="818" t="s">
        <v>816</v>
      </c>
      <c r="B32" s="815"/>
      <c r="C32" s="816">
        <v>100</v>
      </c>
      <c r="D32" s="809">
        <f t="shared" si="0"/>
        <v>100</v>
      </c>
    </row>
    <row r="33" spans="1:4" ht="25.5">
      <c r="A33" s="819" t="s">
        <v>817</v>
      </c>
      <c r="B33" s="809"/>
      <c r="C33" s="810">
        <v>200</v>
      </c>
      <c r="D33" s="809">
        <f t="shared" si="0"/>
        <v>200</v>
      </c>
    </row>
    <row r="34" spans="1:4" ht="15.75">
      <c r="A34" s="820" t="s">
        <v>818</v>
      </c>
      <c r="B34" s="809">
        <v>50</v>
      </c>
      <c r="C34" s="810"/>
      <c r="D34" s="809">
        <f t="shared" si="0"/>
        <v>50</v>
      </c>
    </row>
    <row r="35" spans="1:4" ht="15.75">
      <c r="A35" s="640" t="s">
        <v>819</v>
      </c>
      <c r="B35" s="815"/>
      <c r="C35" s="816">
        <v>50</v>
      </c>
      <c r="D35" s="815">
        <f t="shared" si="0"/>
        <v>50</v>
      </c>
    </row>
    <row r="36" spans="1:4" ht="15.75">
      <c r="A36" s="648" t="s">
        <v>820</v>
      </c>
      <c r="B36" s="821"/>
      <c r="C36" s="822">
        <v>21</v>
      </c>
      <c r="D36" s="821">
        <f t="shared" si="0"/>
        <v>21</v>
      </c>
    </row>
    <row r="37" spans="1:4" ht="15.75">
      <c r="A37" s="643" t="s">
        <v>821</v>
      </c>
      <c r="B37" s="823">
        <f>SUM(B25:B36)</f>
        <v>800</v>
      </c>
      <c r="C37" s="824">
        <f>SUM(C25:C36)</f>
        <v>571</v>
      </c>
      <c r="D37" s="823">
        <f t="shared" si="0"/>
        <v>1371</v>
      </c>
    </row>
    <row r="39" spans="1:4" ht="31.5">
      <c r="A39" s="825" t="s">
        <v>614</v>
      </c>
      <c r="B39" s="826" t="s">
        <v>807</v>
      </c>
      <c r="C39" s="827" t="s">
        <v>808</v>
      </c>
      <c r="D39" s="828" t="s">
        <v>187</v>
      </c>
    </row>
    <row r="40" spans="1:4" ht="12.75">
      <c r="A40" s="109" t="s">
        <v>822</v>
      </c>
      <c r="B40" s="109">
        <v>175</v>
      </c>
      <c r="C40" s="228"/>
      <c r="D40" s="459">
        <f>SUM(B40:C40)</f>
        <v>175</v>
      </c>
    </row>
    <row r="41" spans="1:4" ht="12.75">
      <c r="A41" s="109" t="s">
        <v>823</v>
      </c>
      <c r="B41" s="109">
        <v>54</v>
      </c>
      <c r="C41" s="228"/>
      <c r="D41" s="459">
        <f>SUM(B41:C41)</f>
        <v>54</v>
      </c>
    </row>
    <row r="42" spans="1:4" ht="12.75">
      <c r="A42" s="371" t="s">
        <v>824</v>
      </c>
      <c r="B42" s="371">
        <v>571</v>
      </c>
      <c r="C42" s="301">
        <v>571</v>
      </c>
      <c r="D42" s="79">
        <f>SUM(B42:C42)</f>
        <v>1142</v>
      </c>
    </row>
    <row r="43" spans="1:4" s="112" customFormat="1" ht="12.75">
      <c r="A43" s="829" t="s">
        <v>825</v>
      </c>
      <c r="B43" s="829">
        <f>SUM(B40:B42)</f>
        <v>800</v>
      </c>
      <c r="C43" s="291">
        <f>SUM(C40:C42)</f>
        <v>571</v>
      </c>
      <c r="D43" s="81">
        <f>SUM(B43:C43)</f>
        <v>1371</v>
      </c>
    </row>
    <row r="48" spans="2:3" ht="12.75">
      <c r="B48" s="830"/>
      <c r="C48" s="830" t="s">
        <v>826</v>
      </c>
    </row>
    <row r="49" spans="2:3" ht="12.75">
      <c r="B49" s="661"/>
      <c r="C49" s="661"/>
    </row>
    <row r="51" spans="1:4" ht="18">
      <c r="A51" s="1086" t="s">
        <v>827</v>
      </c>
      <c r="B51" s="1086"/>
      <c r="C51" s="1086"/>
      <c r="D51" s="1086"/>
    </row>
    <row r="52" spans="1:4" ht="18">
      <c r="A52" s="1091" t="s">
        <v>800</v>
      </c>
      <c r="B52" s="1091"/>
      <c r="C52" s="1091"/>
      <c r="D52" s="1091"/>
    </row>
    <row r="55" spans="1:4" ht="18">
      <c r="A55" s="1086" t="s">
        <v>801</v>
      </c>
      <c r="B55" s="1086"/>
      <c r="C55" s="1086"/>
      <c r="D55" s="1086"/>
    </row>
    <row r="56" spans="1:4" ht="18">
      <c r="A56" s="804"/>
      <c r="B56" s="804"/>
      <c r="C56" s="804"/>
      <c r="D56" s="804"/>
    </row>
    <row r="57" spans="1:3" ht="12.75">
      <c r="A57" s="794"/>
      <c r="B57" s="1060" t="s">
        <v>504</v>
      </c>
      <c r="C57" s="1060"/>
    </row>
    <row r="58" spans="1:4" ht="12.75">
      <c r="A58" s="484" t="s">
        <v>5</v>
      </c>
      <c r="B58" s="1087" t="s">
        <v>570</v>
      </c>
      <c r="C58" s="1087"/>
      <c r="D58" s="46"/>
    </row>
    <row r="59" spans="1:4" ht="15">
      <c r="A59" s="805" t="s">
        <v>802</v>
      </c>
      <c r="B59" s="1088">
        <v>571</v>
      </c>
      <c r="C59" s="1088"/>
      <c r="D59" s="48"/>
    </row>
    <row r="60" spans="1:4" ht="15">
      <c r="A60" s="541" t="s">
        <v>803</v>
      </c>
      <c r="B60" s="1089"/>
      <c r="C60" s="1089"/>
      <c r="D60" s="48"/>
    </row>
    <row r="61" spans="1:4" ht="15">
      <c r="A61" s="806" t="s">
        <v>828</v>
      </c>
      <c r="B61" s="1090">
        <v>0</v>
      </c>
      <c r="C61" s="1090"/>
      <c r="D61" s="48"/>
    </row>
    <row r="62" spans="1:4" ht="15.75">
      <c r="A62" s="518" t="s">
        <v>805</v>
      </c>
      <c r="B62" s="1085">
        <f>SUM(B59:B60)</f>
        <v>571</v>
      </c>
      <c r="C62" s="1085"/>
      <c r="D62" s="47"/>
    </row>
    <row r="66" spans="1:4" ht="18">
      <c r="A66" s="1086" t="s">
        <v>806</v>
      </c>
      <c r="B66" s="1086"/>
      <c r="C66" s="1086"/>
      <c r="D66" s="1086"/>
    </row>
    <row r="67" spans="1:4" ht="18">
      <c r="A67" s="804"/>
      <c r="B67" s="804"/>
      <c r="C67" s="804"/>
      <c r="D67" s="804"/>
    </row>
    <row r="68" spans="2:4" ht="12.75">
      <c r="B68" s="517"/>
      <c r="C68" s="517"/>
      <c r="D68" s="517" t="s">
        <v>504</v>
      </c>
    </row>
    <row r="69" spans="1:4" ht="31.5">
      <c r="A69" s="518" t="s">
        <v>614</v>
      </c>
      <c r="B69" s="696" t="s">
        <v>807</v>
      </c>
      <c r="C69" s="807" t="s">
        <v>808</v>
      </c>
      <c r="D69" s="662" t="s">
        <v>187</v>
      </c>
    </row>
    <row r="70" spans="1:4" ht="15.75">
      <c r="A70" s="831"/>
      <c r="B70" s="832"/>
      <c r="C70" s="833"/>
      <c r="D70" s="834"/>
    </row>
    <row r="71" spans="1:4" ht="15.75">
      <c r="A71" s="640" t="s">
        <v>829</v>
      </c>
      <c r="B71" s="815">
        <v>277</v>
      </c>
      <c r="C71" s="816">
        <v>0</v>
      </c>
      <c r="D71" s="815">
        <f>C71+B71</f>
        <v>277</v>
      </c>
    </row>
    <row r="72" spans="1:4" ht="15.75">
      <c r="A72" s="640" t="s">
        <v>830</v>
      </c>
      <c r="B72" s="815">
        <v>294</v>
      </c>
      <c r="C72" s="816">
        <v>0</v>
      </c>
      <c r="D72" s="815">
        <f>C72+B72</f>
        <v>294</v>
      </c>
    </row>
    <row r="73" spans="1:4" ht="15.75">
      <c r="A73" s="648"/>
      <c r="B73" s="821"/>
      <c r="C73" s="822"/>
      <c r="D73" s="821"/>
    </row>
    <row r="74" spans="1:4" ht="15.75">
      <c r="A74" s="643" t="s">
        <v>821</v>
      </c>
      <c r="B74" s="823">
        <f>SUM(B71:B72)</f>
        <v>571</v>
      </c>
      <c r="C74" s="823">
        <f>SUM(C71:C72)</f>
        <v>0</v>
      </c>
      <c r="D74" s="823">
        <f>SUM(D71:D72)</f>
        <v>571</v>
      </c>
    </row>
  </sheetData>
  <sheetProtection/>
  <mergeCells count="20">
    <mergeCell ref="A6:D6"/>
    <mergeCell ref="A7:D7"/>
    <mergeCell ref="A10:D10"/>
    <mergeCell ref="B12:C12"/>
    <mergeCell ref="B13:C13"/>
    <mergeCell ref="B14:C14"/>
    <mergeCell ref="B15:C15"/>
    <mergeCell ref="B16:C16"/>
    <mergeCell ref="B17:C17"/>
    <mergeCell ref="A21:D21"/>
    <mergeCell ref="A51:D51"/>
    <mergeCell ref="A52:D52"/>
    <mergeCell ref="B62:C62"/>
    <mergeCell ref="A66:D66"/>
    <mergeCell ref="A55:D55"/>
    <mergeCell ref="B57:C57"/>
    <mergeCell ref="B58:C58"/>
    <mergeCell ref="B59:C59"/>
    <mergeCell ref="B60:C60"/>
    <mergeCell ref="B61:C6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19.8515625" style="0" customWidth="1"/>
    <col min="2" max="2" width="15.421875" style="0" customWidth="1"/>
    <col min="3" max="3" width="13.7109375" style="0" customWidth="1"/>
    <col min="4" max="4" width="14.57421875" style="0" customWidth="1"/>
    <col min="5" max="5" width="17.57421875" style="0" customWidth="1"/>
  </cols>
  <sheetData>
    <row r="1" ht="15">
      <c r="E1" s="835" t="s">
        <v>831</v>
      </c>
    </row>
    <row r="5" spans="2:3" ht="15.75">
      <c r="B5" s="836" t="s">
        <v>832</v>
      </c>
      <c r="C5" s="47"/>
    </row>
    <row r="6" spans="2:3" ht="15.75">
      <c r="B6" s="48"/>
      <c r="C6" s="836" t="s">
        <v>833</v>
      </c>
    </row>
    <row r="7" spans="2:3" ht="15.75">
      <c r="B7" s="48"/>
      <c r="C7" s="836"/>
    </row>
    <row r="8" spans="2:3" ht="15.75">
      <c r="B8" s="48"/>
      <c r="C8" s="836"/>
    </row>
    <row r="11" ht="12.75">
      <c r="E11" s="517" t="s">
        <v>33</v>
      </c>
    </row>
    <row r="12" spans="1:5" ht="15.75">
      <c r="A12" s="662" t="s">
        <v>834</v>
      </c>
      <c r="B12" s="837" t="s">
        <v>835</v>
      </c>
      <c r="C12" s="662" t="s">
        <v>836</v>
      </c>
      <c r="D12" s="662" t="s">
        <v>837</v>
      </c>
      <c r="E12" s="838" t="s">
        <v>838</v>
      </c>
    </row>
    <row r="13" spans="1:5" ht="15">
      <c r="A13" s="839" t="s">
        <v>839</v>
      </c>
      <c r="B13" s="840">
        <v>295820</v>
      </c>
      <c r="C13" s="841">
        <v>325000</v>
      </c>
      <c r="D13" s="840">
        <f>C13+E13-B13</f>
        <v>29180</v>
      </c>
      <c r="E13" s="841">
        <v>0</v>
      </c>
    </row>
    <row r="14" spans="1:5" ht="15">
      <c r="A14" s="839" t="s">
        <v>840</v>
      </c>
      <c r="B14" s="840">
        <v>295820</v>
      </c>
      <c r="C14" s="841">
        <v>320000</v>
      </c>
      <c r="D14" s="840">
        <f>C14+E14-B14</f>
        <v>24180</v>
      </c>
      <c r="E14" s="841">
        <v>0</v>
      </c>
    </row>
    <row r="15" spans="1:5" ht="15">
      <c r="A15" s="839" t="s">
        <v>841</v>
      </c>
      <c r="B15" s="840">
        <v>570820</v>
      </c>
      <c r="C15" s="841">
        <v>345000</v>
      </c>
      <c r="D15" s="840">
        <v>0</v>
      </c>
      <c r="E15" s="841">
        <v>3607</v>
      </c>
    </row>
    <row r="16" spans="1:5" ht="15">
      <c r="A16" s="839" t="s">
        <v>842</v>
      </c>
      <c r="B16" s="840">
        <v>295820</v>
      </c>
      <c r="C16" s="841">
        <v>390000</v>
      </c>
      <c r="D16" s="840">
        <v>0</v>
      </c>
      <c r="E16" s="841">
        <v>0</v>
      </c>
    </row>
    <row r="17" spans="1:5" ht="15">
      <c r="A17" s="839" t="s">
        <v>843</v>
      </c>
      <c r="B17" s="840">
        <v>305820</v>
      </c>
      <c r="C17" s="841">
        <v>380000</v>
      </c>
      <c r="D17" s="840">
        <v>30000</v>
      </c>
      <c r="E17" s="841">
        <v>0</v>
      </c>
    </row>
    <row r="18" spans="1:5" ht="15">
      <c r="A18" s="839" t="s">
        <v>844</v>
      </c>
      <c r="B18" s="840">
        <v>295820</v>
      </c>
      <c r="C18" s="841">
        <v>490000</v>
      </c>
      <c r="D18" s="840">
        <v>50000</v>
      </c>
      <c r="E18" s="841">
        <v>3607</v>
      </c>
    </row>
    <row r="19" spans="1:5" ht="15">
      <c r="A19" s="839" t="s">
        <v>845</v>
      </c>
      <c r="B19" s="840">
        <v>295820</v>
      </c>
      <c r="C19" s="841">
        <v>420000</v>
      </c>
      <c r="D19" s="840">
        <v>50000</v>
      </c>
      <c r="E19" s="841">
        <v>0</v>
      </c>
    </row>
    <row r="20" spans="1:5" ht="15">
      <c r="A20" s="839" t="s">
        <v>846</v>
      </c>
      <c r="B20" s="840">
        <v>302000</v>
      </c>
      <c r="C20" s="841">
        <v>450000</v>
      </c>
      <c r="D20" s="840">
        <v>30000</v>
      </c>
      <c r="E20" s="841">
        <v>0</v>
      </c>
    </row>
    <row r="21" spans="1:5" ht="15">
      <c r="A21" s="839" t="s">
        <v>847</v>
      </c>
      <c r="B21" s="840">
        <v>575820</v>
      </c>
      <c r="C21" s="841">
        <v>490000</v>
      </c>
      <c r="D21" s="840">
        <v>0</v>
      </c>
      <c r="E21" s="841">
        <v>3607</v>
      </c>
    </row>
    <row r="22" spans="1:5" ht="15">
      <c r="A22" s="839" t="s">
        <v>848</v>
      </c>
      <c r="B22" s="840">
        <v>295820</v>
      </c>
      <c r="C22" s="841">
        <v>320000</v>
      </c>
      <c r="D22" s="840">
        <v>20000</v>
      </c>
      <c r="E22" s="841">
        <v>0</v>
      </c>
    </row>
    <row r="23" spans="1:5" ht="15">
      <c r="A23" s="839" t="s">
        <v>849</v>
      </c>
      <c r="B23" s="840">
        <v>290000</v>
      </c>
      <c r="C23" s="841">
        <v>310000</v>
      </c>
      <c r="D23" s="840">
        <f>C23+E23-B23</f>
        <v>20000</v>
      </c>
      <c r="E23" s="842">
        <v>0</v>
      </c>
    </row>
    <row r="24" spans="1:5" ht="15">
      <c r="A24" s="843" t="s">
        <v>850</v>
      </c>
      <c r="B24" s="844">
        <v>330513</v>
      </c>
      <c r="C24" s="845">
        <v>193749</v>
      </c>
      <c r="D24" s="840">
        <v>44924</v>
      </c>
      <c r="E24" s="846">
        <v>3607</v>
      </c>
    </row>
    <row r="25" spans="1:5" ht="15.75">
      <c r="A25" s="847" t="s">
        <v>187</v>
      </c>
      <c r="B25" s="848">
        <f>SUM(B13:B24)</f>
        <v>4149893</v>
      </c>
      <c r="C25" s="849">
        <f>SUM(C13:C24)</f>
        <v>4433749</v>
      </c>
      <c r="D25" s="848">
        <f>SUM(D13:D24)</f>
        <v>298284</v>
      </c>
      <c r="E25" s="849">
        <f>SUM(E13:E24)</f>
        <v>14428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11.7109375" style="0" customWidth="1"/>
    <col min="2" max="2" width="11.57421875" style="0" customWidth="1"/>
    <col min="3" max="3" width="11.7109375" style="0" customWidth="1"/>
    <col min="4" max="4" width="10.7109375" style="0" customWidth="1"/>
    <col min="5" max="5" width="12.00390625" style="0" customWidth="1"/>
    <col min="6" max="6" width="13.7109375" style="0" customWidth="1"/>
    <col min="7" max="8" width="12.140625" style="0" customWidth="1"/>
    <col min="9" max="9" width="11.57421875" style="0" customWidth="1"/>
    <col min="10" max="10" width="12.57421875" style="0" customWidth="1"/>
    <col min="11" max="11" width="14.140625" style="0" customWidth="1"/>
  </cols>
  <sheetData>
    <row r="1" spans="4:11" ht="12.75">
      <c r="D1" s="661"/>
      <c r="E1" s="661"/>
      <c r="F1" s="1092" t="s">
        <v>851</v>
      </c>
      <c r="G1" s="1092"/>
      <c r="H1" s="1092"/>
      <c r="I1" s="1092"/>
      <c r="J1" s="1092"/>
      <c r="K1" s="1092"/>
    </row>
    <row r="2" ht="7.5" customHeight="1"/>
    <row r="3" spans="1:11" ht="12.75">
      <c r="A3" s="1092" t="s">
        <v>852</v>
      </c>
      <c r="B3" s="1092"/>
      <c r="C3" s="1092"/>
      <c r="D3" s="1092"/>
      <c r="E3" s="1092"/>
      <c r="F3" s="1092"/>
      <c r="G3" s="1092"/>
      <c r="H3" s="1092"/>
      <c r="I3" s="1092"/>
      <c r="J3" s="1092"/>
      <c r="K3" s="1092"/>
    </row>
    <row r="4" spans="1:11" ht="12.75">
      <c r="A4" s="1092" t="s">
        <v>853</v>
      </c>
      <c r="B4" s="1092"/>
      <c r="C4" s="1092"/>
      <c r="D4" s="1092"/>
      <c r="E4" s="1092"/>
      <c r="F4" s="1092"/>
      <c r="G4" s="1092"/>
      <c r="H4" s="1092"/>
      <c r="I4" s="1092"/>
      <c r="J4" s="1092"/>
      <c r="K4" s="1092"/>
    </row>
    <row r="5" spans="1:11" ht="12.75">
      <c r="A5" s="661"/>
      <c r="B5" s="661"/>
      <c r="C5" s="661"/>
      <c r="D5" s="661"/>
      <c r="E5" s="661"/>
      <c r="F5" s="661"/>
      <c r="G5" s="661"/>
      <c r="H5" s="661"/>
      <c r="I5" s="661"/>
      <c r="J5" s="661"/>
      <c r="K5" s="661" t="s">
        <v>854</v>
      </c>
    </row>
    <row r="6" spans="1:11" ht="12.75">
      <c r="A6" s="1093" t="s">
        <v>855</v>
      </c>
      <c r="B6" s="1094" t="s">
        <v>856</v>
      </c>
      <c r="C6" s="1094"/>
      <c r="D6" s="1095" t="s">
        <v>857</v>
      </c>
      <c r="E6" s="1095"/>
      <c r="F6" s="1095"/>
      <c r="G6" s="1095"/>
      <c r="H6" s="1095"/>
      <c r="I6" s="1095"/>
      <c r="J6" s="1095"/>
      <c r="K6" s="1093" t="s">
        <v>858</v>
      </c>
    </row>
    <row r="7" spans="1:11" ht="33.75" customHeight="1">
      <c r="A7" s="1093"/>
      <c r="B7" s="850" t="s">
        <v>859</v>
      </c>
      <c r="C7" s="850" t="s">
        <v>860</v>
      </c>
      <c r="D7" s="850" t="s">
        <v>861</v>
      </c>
      <c r="E7" s="851" t="s">
        <v>862</v>
      </c>
      <c r="F7" s="851" t="s">
        <v>863</v>
      </c>
      <c r="G7" s="851" t="s">
        <v>864</v>
      </c>
      <c r="H7" s="851" t="s">
        <v>865</v>
      </c>
      <c r="I7" s="851" t="s">
        <v>866</v>
      </c>
      <c r="J7" s="851" t="s">
        <v>867</v>
      </c>
      <c r="K7" s="1093"/>
    </row>
    <row r="8" spans="1:11" ht="43.5" customHeight="1">
      <c r="A8" s="852" t="s">
        <v>868</v>
      </c>
      <c r="B8" s="853">
        <v>0</v>
      </c>
      <c r="C8" s="854">
        <v>0</v>
      </c>
      <c r="D8" s="854">
        <v>24949</v>
      </c>
      <c r="E8" s="854">
        <v>47060</v>
      </c>
      <c r="F8" s="855">
        <v>38125</v>
      </c>
      <c r="G8" s="856">
        <v>1181</v>
      </c>
      <c r="H8" s="856">
        <v>3005480</v>
      </c>
      <c r="I8" s="856"/>
      <c r="J8" s="856">
        <v>129997</v>
      </c>
      <c r="K8" s="856">
        <f>SUM(B8:J8)</f>
        <v>3246792</v>
      </c>
    </row>
    <row r="9" spans="1:11" ht="28.5" customHeight="1">
      <c r="A9" s="857" t="s">
        <v>869</v>
      </c>
      <c r="B9" s="858"/>
      <c r="C9" s="859">
        <f>'7_sz_ melléklet'!B25</f>
        <v>298284.0053333333</v>
      </c>
      <c r="D9" s="859"/>
      <c r="E9" s="859"/>
      <c r="F9" s="860">
        <v>0</v>
      </c>
      <c r="G9" s="861"/>
      <c r="H9" s="861"/>
      <c r="I9" s="861"/>
      <c r="J9" s="861"/>
      <c r="K9" s="862">
        <f>SUM(B9:J9)</f>
        <v>298284.0053333333</v>
      </c>
    </row>
    <row r="10" spans="1:11" ht="24.75" customHeight="1">
      <c r="A10" s="857" t="s">
        <v>870</v>
      </c>
      <c r="B10" s="863"/>
      <c r="C10" s="859"/>
      <c r="D10" s="859"/>
      <c r="E10" s="859"/>
      <c r="F10" s="860"/>
      <c r="G10" s="861"/>
      <c r="H10" s="861"/>
      <c r="I10" s="861"/>
      <c r="J10" s="861"/>
      <c r="K10" s="862"/>
    </row>
    <row r="11" spans="1:11" ht="12.75">
      <c r="A11" s="864">
        <v>2010</v>
      </c>
      <c r="B11" s="865"/>
      <c r="C11" s="858">
        <v>0</v>
      </c>
      <c r="D11" s="858"/>
      <c r="E11" s="859">
        <v>2940</v>
      </c>
      <c r="F11" s="866">
        <v>2500</v>
      </c>
      <c r="G11" s="867">
        <v>292</v>
      </c>
      <c r="H11" s="867">
        <v>0</v>
      </c>
      <c r="I11" s="867"/>
      <c r="J11" s="867">
        <v>8696</v>
      </c>
      <c r="K11" s="862">
        <f aca="true" t="shared" si="0" ref="K11:K26">SUM(B11:J11)</f>
        <v>14428</v>
      </c>
    </row>
    <row r="12" spans="1:11" ht="12.75">
      <c r="A12" s="864">
        <v>2011</v>
      </c>
      <c r="B12" s="865">
        <v>0</v>
      </c>
      <c r="C12" s="858">
        <f>C9</f>
        <v>298284.0053333333</v>
      </c>
      <c r="D12" s="858"/>
      <c r="E12" s="859">
        <v>2940</v>
      </c>
      <c r="F12" s="866">
        <v>2500</v>
      </c>
      <c r="G12" s="867">
        <v>379</v>
      </c>
      <c r="H12" s="867">
        <v>0</v>
      </c>
      <c r="I12" s="867"/>
      <c r="J12" s="867">
        <v>8696</v>
      </c>
      <c r="K12" s="862">
        <f t="shared" si="0"/>
        <v>312799.0053333333</v>
      </c>
    </row>
    <row r="13" spans="1:11" ht="12.75">
      <c r="A13" s="868">
        <v>2012</v>
      </c>
      <c r="B13" s="865">
        <v>0</v>
      </c>
      <c r="C13" s="869">
        <v>0</v>
      </c>
      <c r="D13" s="869"/>
      <c r="E13" s="859">
        <v>2940</v>
      </c>
      <c r="F13" s="866">
        <v>2500</v>
      </c>
      <c r="G13" s="867">
        <v>468</v>
      </c>
      <c r="H13" s="867">
        <v>0</v>
      </c>
      <c r="I13" s="867"/>
      <c r="J13" s="867">
        <v>8696</v>
      </c>
      <c r="K13" s="870">
        <f t="shared" si="0"/>
        <v>14604</v>
      </c>
    </row>
    <row r="14" spans="1:11" ht="12.75">
      <c r="A14" s="864">
        <v>2013</v>
      </c>
      <c r="B14" s="865">
        <v>0</v>
      </c>
      <c r="C14" s="869">
        <v>0</v>
      </c>
      <c r="D14" s="179">
        <v>1074</v>
      </c>
      <c r="E14" s="859">
        <v>2940</v>
      </c>
      <c r="F14" s="866">
        <v>2500</v>
      </c>
      <c r="G14" s="155">
        <v>42</v>
      </c>
      <c r="H14" s="155">
        <v>69113</v>
      </c>
      <c r="I14" s="155"/>
      <c r="J14" s="867">
        <v>8696</v>
      </c>
      <c r="K14" s="155">
        <f t="shared" si="0"/>
        <v>84365</v>
      </c>
    </row>
    <row r="15" spans="1:11" ht="12.75">
      <c r="A15" s="864">
        <v>2014</v>
      </c>
      <c r="B15" s="865">
        <v>0</v>
      </c>
      <c r="C15" s="869">
        <v>0</v>
      </c>
      <c r="D15" s="179">
        <v>1432</v>
      </c>
      <c r="E15" s="859">
        <v>2940</v>
      </c>
      <c r="F15" s="866">
        <v>2500</v>
      </c>
      <c r="G15" s="155">
        <v>0</v>
      </c>
      <c r="H15" s="155">
        <v>76792</v>
      </c>
      <c r="I15" s="155"/>
      <c r="J15" s="867">
        <v>8696</v>
      </c>
      <c r="K15" s="155">
        <f t="shared" si="0"/>
        <v>92360</v>
      </c>
    </row>
    <row r="16" spans="1:11" ht="12.75">
      <c r="A16" s="864">
        <v>2015</v>
      </c>
      <c r="B16" s="865">
        <v>0</v>
      </c>
      <c r="C16" s="869">
        <v>0</v>
      </c>
      <c r="D16" s="179">
        <v>1432</v>
      </c>
      <c r="E16" s="859">
        <v>2940</v>
      </c>
      <c r="F16" s="866">
        <v>2500</v>
      </c>
      <c r="G16" s="155">
        <v>0</v>
      </c>
      <c r="H16" s="155">
        <v>85796</v>
      </c>
      <c r="I16" s="155"/>
      <c r="J16" s="867">
        <v>8696</v>
      </c>
      <c r="K16" s="155">
        <f t="shared" si="0"/>
        <v>101364</v>
      </c>
    </row>
    <row r="17" spans="1:11" ht="12.75">
      <c r="A17" s="864">
        <v>2016</v>
      </c>
      <c r="B17" s="865">
        <v>0</v>
      </c>
      <c r="C17" s="869">
        <v>0</v>
      </c>
      <c r="D17" s="179">
        <v>1432</v>
      </c>
      <c r="E17" s="859">
        <v>2940</v>
      </c>
      <c r="F17" s="866">
        <v>2500</v>
      </c>
      <c r="G17" s="155">
        <v>0</v>
      </c>
      <c r="H17" s="155">
        <v>85796</v>
      </c>
      <c r="I17" s="155"/>
      <c r="J17" s="867">
        <v>8696</v>
      </c>
      <c r="K17" s="155">
        <f t="shared" si="0"/>
        <v>101364</v>
      </c>
    </row>
    <row r="18" spans="1:11" ht="12.75">
      <c r="A18" s="864">
        <v>2017</v>
      </c>
      <c r="B18" s="865">
        <v>0</v>
      </c>
      <c r="C18" s="869">
        <v>0</v>
      </c>
      <c r="D18" s="179">
        <v>1432</v>
      </c>
      <c r="E18" s="859">
        <v>2940</v>
      </c>
      <c r="F18" s="866">
        <v>2500</v>
      </c>
      <c r="G18" s="155">
        <v>0</v>
      </c>
      <c r="H18" s="155">
        <v>88443</v>
      </c>
      <c r="I18" s="155"/>
      <c r="J18" s="867">
        <v>8696</v>
      </c>
      <c r="K18" s="155">
        <f t="shared" si="0"/>
        <v>104011</v>
      </c>
    </row>
    <row r="19" spans="1:11" ht="12.75">
      <c r="A19" s="864">
        <v>2018</v>
      </c>
      <c r="B19" s="865">
        <v>0</v>
      </c>
      <c r="C19" s="869">
        <v>0</v>
      </c>
      <c r="D19" s="179">
        <v>1432</v>
      </c>
      <c r="E19" s="859">
        <v>2940</v>
      </c>
      <c r="F19" s="866">
        <v>2500</v>
      </c>
      <c r="G19" s="155">
        <v>0</v>
      </c>
      <c r="H19" s="155">
        <v>94798</v>
      </c>
      <c r="I19" s="155"/>
      <c r="J19" s="867">
        <v>8696</v>
      </c>
      <c r="K19" s="155">
        <f t="shared" si="0"/>
        <v>110366</v>
      </c>
    </row>
    <row r="20" spans="1:11" ht="12.75">
      <c r="A20" s="864">
        <v>2019</v>
      </c>
      <c r="B20" s="865">
        <v>0</v>
      </c>
      <c r="C20" s="869">
        <v>0</v>
      </c>
      <c r="D20" s="179">
        <v>1432</v>
      </c>
      <c r="E20" s="859">
        <v>2940</v>
      </c>
      <c r="F20" s="866">
        <v>2500</v>
      </c>
      <c r="G20" s="155">
        <v>0</v>
      </c>
      <c r="H20" s="155">
        <v>96387</v>
      </c>
      <c r="I20" s="155"/>
      <c r="J20" s="867">
        <v>8696</v>
      </c>
      <c r="K20" s="155">
        <f t="shared" si="0"/>
        <v>111955</v>
      </c>
    </row>
    <row r="21" spans="1:11" ht="12.75">
      <c r="A21" s="864">
        <v>2020</v>
      </c>
      <c r="B21" s="865">
        <v>0</v>
      </c>
      <c r="C21" s="869">
        <v>0</v>
      </c>
      <c r="D21" s="179">
        <v>1432</v>
      </c>
      <c r="E21" s="859">
        <v>2940</v>
      </c>
      <c r="F21" s="866">
        <v>2500</v>
      </c>
      <c r="G21" s="155">
        <v>0</v>
      </c>
      <c r="H21" s="155">
        <v>97446</v>
      </c>
      <c r="I21" s="155"/>
      <c r="J21" s="867">
        <v>8696</v>
      </c>
      <c r="K21" s="155">
        <f t="shared" si="0"/>
        <v>113014</v>
      </c>
    </row>
    <row r="22" spans="1:11" ht="12.75">
      <c r="A22" s="864">
        <v>2021</v>
      </c>
      <c r="B22" s="865">
        <v>0</v>
      </c>
      <c r="C22" s="869">
        <v>0</v>
      </c>
      <c r="D22" s="179">
        <v>1432</v>
      </c>
      <c r="E22" s="859">
        <v>2940</v>
      </c>
      <c r="F22" s="866">
        <v>2500</v>
      </c>
      <c r="G22" s="155">
        <v>0</v>
      </c>
      <c r="H22" s="155">
        <v>102213</v>
      </c>
      <c r="I22" s="155"/>
      <c r="J22" s="867">
        <v>8696</v>
      </c>
      <c r="K22" s="155">
        <f t="shared" si="0"/>
        <v>117781</v>
      </c>
    </row>
    <row r="23" spans="1:11" ht="12.75">
      <c r="A23" s="864">
        <v>2022</v>
      </c>
      <c r="B23" s="865">
        <v>0</v>
      </c>
      <c r="C23" s="869">
        <v>0</v>
      </c>
      <c r="D23" s="179">
        <v>1432</v>
      </c>
      <c r="E23" s="859">
        <v>2940</v>
      </c>
      <c r="F23" s="866">
        <v>2500</v>
      </c>
      <c r="G23" s="155">
        <v>0</v>
      </c>
      <c r="H23" s="155">
        <v>105390</v>
      </c>
      <c r="I23" s="155"/>
      <c r="J23" s="867">
        <v>8696</v>
      </c>
      <c r="K23" s="155">
        <f t="shared" si="0"/>
        <v>120958</v>
      </c>
    </row>
    <row r="24" spans="1:11" ht="12.75">
      <c r="A24" s="864">
        <v>2023</v>
      </c>
      <c r="B24" s="865">
        <v>0</v>
      </c>
      <c r="C24" s="869">
        <v>0</v>
      </c>
      <c r="D24" s="179">
        <v>1432</v>
      </c>
      <c r="E24" s="859">
        <v>2940</v>
      </c>
      <c r="F24" s="866">
        <v>2500</v>
      </c>
      <c r="G24" s="155">
        <v>0</v>
      </c>
      <c r="H24" s="155">
        <v>108038</v>
      </c>
      <c r="I24" s="155"/>
      <c r="J24" s="867">
        <v>8696</v>
      </c>
      <c r="K24" s="155">
        <f t="shared" si="0"/>
        <v>123606</v>
      </c>
    </row>
    <row r="25" spans="1:11" ht="12.75">
      <c r="A25" s="864">
        <v>2024</v>
      </c>
      <c r="B25" s="865">
        <v>0</v>
      </c>
      <c r="C25" s="869">
        <v>0</v>
      </c>
      <c r="D25" s="179">
        <v>1432</v>
      </c>
      <c r="E25" s="859">
        <v>2940</v>
      </c>
      <c r="F25" s="866">
        <v>2500</v>
      </c>
      <c r="G25" s="155">
        <v>0</v>
      </c>
      <c r="H25" s="155">
        <v>112804</v>
      </c>
      <c r="I25" s="155"/>
      <c r="J25" s="867">
        <v>8253</v>
      </c>
      <c r="K25" s="155">
        <f t="shared" si="0"/>
        <v>127929</v>
      </c>
    </row>
    <row r="26" spans="1:11" ht="12.75">
      <c r="A26" s="868">
        <v>2025</v>
      </c>
      <c r="B26" s="871">
        <v>0</v>
      </c>
      <c r="C26" s="869">
        <v>0</v>
      </c>
      <c r="D26" s="179">
        <v>1432</v>
      </c>
      <c r="E26" s="869">
        <v>2960</v>
      </c>
      <c r="F26" s="872">
        <v>625</v>
      </c>
      <c r="G26" s="175">
        <v>0</v>
      </c>
      <c r="H26" s="175">
        <v>118630</v>
      </c>
      <c r="I26" s="175"/>
      <c r="J26" s="873"/>
      <c r="K26" s="175">
        <f t="shared" si="0"/>
        <v>123647</v>
      </c>
    </row>
    <row r="27" spans="1:11" ht="12.75">
      <c r="A27" s="864">
        <v>2026</v>
      </c>
      <c r="B27" s="865"/>
      <c r="C27" s="858"/>
      <c r="D27" s="179">
        <v>1432</v>
      </c>
      <c r="E27" s="858"/>
      <c r="F27" s="874"/>
      <c r="G27" s="155"/>
      <c r="H27" s="155">
        <v>126045</v>
      </c>
      <c r="I27" s="155"/>
      <c r="J27" s="875"/>
      <c r="K27" s="175">
        <f aca="true" t="shared" si="1" ref="K27:K34">SUM(B27:J27)</f>
        <v>127477</v>
      </c>
    </row>
    <row r="28" spans="1:11" ht="12.75">
      <c r="A28" s="864">
        <v>2027</v>
      </c>
      <c r="B28" s="865"/>
      <c r="C28" s="858"/>
      <c r="D28" s="179">
        <v>1432</v>
      </c>
      <c r="E28" s="858"/>
      <c r="F28" s="874"/>
      <c r="G28" s="155"/>
      <c r="H28" s="155">
        <v>67789</v>
      </c>
      <c r="I28" s="155"/>
      <c r="J28" s="875"/>
      <c r="K28" s="175">
        <f t="shared" si="1"/>
        <v>69221</v>
      </c>
    </row>
    <row r="29" spans="1:11" ht="12.75">
      <c r="A29" s="864">
        <v>2028</v>
      </c>
      <c r="B29" s="865"/>
      <c r="C29" s="858"/>
      <c r="D29" s="179">
        <v>1432</v>
      </c>
      <c r="E29" s="858"/>
      <c r="F29" s="874"/>
      <c r="G29" s="155"/>
      <c r="H29" s="155">
        <v>1570000</v>
      </c>
      <c r="I29" s="155"/>
      <c r="J29" s="875"/>
      <c r="K29" s="175">
        <f t="shared" si="1"/>
        <v>1571432</v>
      </c>
    </row>
    <row r="30" spans="1:11" ht="12.75">
      <c r="A30" s="864">
        <v>2029</v>
      </c>
      <c r="B30" s="865"/>
      <c r="C30" s="858"/>
      <c r="D30" s="179">
        <v>1432</v>
      </c>
      <c r="E30" s="858"/>
      <c r="F30" s="874"/>
      <c r="G30" s="155"/>
      <c r="H30" s="155">
        <v>0</v>
      </c>
      <c r="I30" s="155"/>
      <c r="J30" s="875"/>
      <c r="K30" s="175">
        <f t="shared" si="1"/>
        <v>1432</v>
      </c>
    </row>
    <row r="31" spans="1:11" ht="12.75">
      <c r="A31" s="864">
        <v>2030</v>
      </c>
      <c r="B31" s="865"/>
      <c r="C31" s="858"/>
      <c r="D31" s="179">
        <v>963</v>
      </c>
      <c r="E31" s="858"/>
      <c r="F31" s="874"/>
      <c r="G31" s="155"/>
      <c r="H31" s="155">
        <v>0</v>
      </c>
      <c r="I31" s="155"/>
      <c r="J31" s="875"/>
      <c r="K31" s="175">
        <f t="shared" si="1"/>
        <v>963</v>
      </c>
    </row>
    <row r="32" spans="1:11" ht="12.75">
      <c r="A32" s="864">
        <v>2031</v>
      </c>
      <c r="B32" s="865"/>
      <c r="C32" s="858"/>
      <c r="D32" s="179"/>
      <c r="E32" s="858"/>
      <c r="F32" s="874"/>
      <c r="G32" s="155"/>
      <c r="H32" s="155">
        <v>0</v>
      </c>
      <c r="I32" s="155"/>
      <c r="J32" s="875"/>
      <c r="K32" s="175">
        <f t="shared" si="1"/>
        <v>0</v>
      </c>
    </row>
    <row r="33" spans="1:11" ht="12.75">
      <c r="A33" s="864">
        <v>2032</v>
      </c>
      <c r="B33" s="865"/>
      <c r="C33" s="858"/>
      <c r="D33" s="179"/>
      <c r="E33" s="858"/>
      <c r="F33" s="874"/>
      <c r="G33" s="155"/>
      <c r="H33" s="155">
        <v>0</v>
      </c>
      <c r="I33" s="155"/>
      <c r="J33" s="875"/>
      <c r="K33" s="155">
        <f t="shared" si="1"/>
        <v>0</v>
      </c>
    </row>
    <row r="34" spans="1:11" ht="12.75">
      <c r="A34" s="876">
        <v>2033</v>
      </c>
      <c r="B34" s="480"/>
      <c r="C34" s="480"/>
      <c r="D34" s="480"/>
      <c r="E34" s="480"/>
      <c r="F34" s="312"/>
      <c r="G34" s="877"/>
      <c r="H34" s="261">
        <v>0</v>
      </c>
      <c r="I34" s="877"/>
      <c r="J34" s="877"/>
      <c r="K34" s="878">
        <f t="shared" si="1"/>
        <v>0</v>
      </c>
    </row>
    <row r="35" spans="1:11" ht="12.75">
      <c r="A35" s="879"/>
      <c r="B35" s="55"/>
      <c r="C35" s="55"/>
      <c r="D35" s="55"/>
      <c r="E35" s="55"/>
      <c r="F35" s="55"/>
      <c r="G35" s="55"/>
      <c r="H35" s="55"/>
      <c r="I35" s="55"/>
      <c r="J35" s="55"/>
      <c r="K35" s="168"/>
    </row>
    <row r="36" spans="1:11" ht="12.75">
      <c r="A36" s="879"/>
      <c r="B36" s="55"/>
      <c r="C36" s="55"/>
      <c r="D36" s="55"/>
      <c r="E36" s="55"/>
      <c r="F36" s="55"/>
      <c r="G36" s="55"/>
      <c r="H36" s="55"/>
      <c r="I36" s="55"/>
      <c r="J36" s="55"/>
      <c r="K36" s="168"/>
    </row>
    <row r="37" spans="1:11" ht="12.75">
      <c r="A37" s="879"/>
      <c r="B37" s="55"/>
      <c r="C37" s="55"/>
      <c r="D37" s="55"/>
      <c r="E37" s="55"/>
      <c r="F37" s="55"/>
      <c r="G37" s="55"/>
      <c r="H37" s="55"/>
      <c r="I37" s="55"/>
      <c r="J37" s="55"/>
      <c r="K37" s="168"/>
    </row>
    <row r="38" spans="1:11" ht="12.75">
      <c r="A38" s="879"/>
      <c r="B38" s="55"/>
      <c r="C38" s="55"/>
      <c r="D38" s="55"/>
      <c r="E38" s="55"/>
      <c r="F38" s="55"/>
      <c r="G38" s="55"/>
      <c r="H38" s="55"/>
      <c r="I38" s="55"/>
      <c r="J38" s="55"/>
      <c r="K38" s="168"/>
    </row>
    <row r="39" spans="1:11" ht="12.75">
      <c r="A39" s="101" t="s">
        <v>871</v>
      </c>
      <c r="B39" s="880">
        <f aca="true" t="shared" si="2" ref="B39:K39">SUM(B11:B34)</f>
        <v>0</v>
      </c>
      <c r="C39" s="880">
        <f t="shared" si="2"/>
        <v>298284.0053333333</v>
      </c>
      <c r="D39" s="880">
        <f t="shared" si="2"/>
        <v>24949</v>
      </c>
      <c r="E39" s="880">
        <f t="shared" si="2"/>
        <v>47060</v>
      </c>
      <c r="F39" s="880">
        <f t="shared" si="2"/>
        <v>38125</v>
      </c>
      <c r="G39" s="880">
        <f t="shared" si="2"/>
        <v>1181</v>
      </c>
      <c r="H39" s="880">
        <f t="shared" si="2"/>
        <v>3005480</v>
      </c>
      <c r="I39" s="880">
        <f t="shared" si="2"/>
        <v>0</v>
      </c>
      <c r="J39" s="880">
        <f t="shared" si="2"/>
        <v>129997</v>
      </c>
      <c r="K39" s="880">
        <f t="shared" si="2"/>
        <v>3545076.0053333333</v>
      </c>
    </row>
  </sheetData>
  <sheetProtection/>
  <mergeCells count="7">
    <mergeCell ref="F1:K1"/>
    <mergeCell ref="A3:K3"/>
    <mergeCell ref="A4:K4"/>
    <mergeCell ref="A6:A7"/>
    <mergeCell ref="B6:C6"/>
    <mergeCell ref="D6:J6"/>
    <mergeCell ref="K6:K7"/>
  </mergeCells>
  <printOptions/>
  <pageMargins left="0.5902777777777778" right="0.5902777777777778" top="0.5902777777777778" bottom="0.5902777777777779" header="0.5118055555555556" footer="0.5118055555555556"/>
  <pageSetup horizontalDpi="300" verticalDpi="300" orientation="landscape" paperSize="9"/>
  <headerFooter alignWithMargins="0">
    <oddFooter>&amp;C                                                                               **     A kötvény visszafizetését a kibocsátáskori € árfolyamon számítva tartalmazza a táblázat.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0.28125" style="0" customWidth="1"/>
    <col min="2" max="2" width="19.28125" style="0" customWidth="1"/>
    <col min="3" max="3" width="21.28125" style="0" customWidth="1"/>
  </cols>
  <sheetData>
    <row r="1" ht="12.75">
      <c r="C1" s="881" t="s">
        <v>872</v>
      </c>
    </row>
    <row r="5" spans="1:3" ht="15.75">
      <c r="A5" s="1077" t="s">
        <v>873</v>
      </c>
      <c r="B5" s="1077"/>
      <c r="C5" s="1077"/>
    </row>
    <row r="6" spans="1:3" ht="15.75">
      <c r="A6" s="1042" t="s">
        <v>874</v>
      </c>
      <c r="B6" s="1042"/>
      <c r="C6" s="1042"/>
    </row>
    <row r="7" spans="1:3" ht="15.75">
      <c r="A7" s="1042" t="s">
        <v>875</v>
      </c>
      <c r="B7" s="1042"/>
      <c r="C7" s="1042"/>
    </row>
    <row r="8" spans="1:3" ht="15.75">
      <c r="A8" s="45"/>
      <c r="B8" s="45"/>
      <c r="C8" s="45"/>
    </row>
    <row r="12" ht="12.75">
      <c r="C12" s="517" t="s">
        <v>33</v>
      </c>
    </row>
    <row r="13" spans="1:3" ht="38.25">
      <c r="A13" s="695" t="s">
        <v>5</v>
      </c>
      <c r="B13" s="483" t="s">
        <v>876</v>
      </c>
      <c r="C13" s="882" t="s">
        <v>877</v>
      </c>
    </row>
    <row r="14" spans="1:3" ht="15">
      <c r="A14" s="805" t="s">
        <v>878</v>
      </c>
      <c r="B14" s="883">
        <v>5000</v>
      </c>
      <c r="C14" s="884" t="s">
        <v>879</v>
      </c>
    </row>
    <row r="15" spans="1:3" ht="15">
      <c r="A15" s="541" t="s">
        <v>880</v>
      </c>
      <c r="B15" s="885">
        <v>1000</v>
      </c>
      <c r="C15" s="886" t="s">
        <v>879</v>
      </c>
    </row>
    <row r="16" spans="1:3" ht="15">
      <c r="A16" s="541" t="s">
        <v>881</v>
      </c>
      <c r="B16" s="885">
        <v>0</v>
      </c>
      <c r="C16" s="886" t="s">
        <v>879</v>
      </c>
    </row>
    <row r="17" spans="1:3" ht="15">
      <c r="A17" s="806"/>
      <c r="B17" s="887"/>
      <c r="C17" s="888"/>
    </row>
    <row r="18" spans="1:3" ht="12.75">
      <c r="A18" s="371"/>
      <c r="B18" s="302"/>
      <c r="C18" s="889"/>
    </row>
    <row r="19" spans="1:3" ht="15.75">
      <c r="A19" s="518" t="s">
        <v>416</v>
      </c>
      <c r="B19" s="849">
        <f>SUM(B14:B17)</f>
        <v>6000</v>
      </c>
      <c r="C19" s="802"/>
    </row>
  </sheetData>
  <sheetProtection/>
  <mergeCells count="3">
    <mergeCell ref="A5:C5"/>
    <mergeCell ref="A6:C6"/>
    <mergeCell ref="A7:C7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65.7109375" style="0" customWidth="1"/>
    <col min="2" max="2" width="19.140625" style="0" customWidth="1"/>
  </cols>
  <sheetData>
    <row r="1" spans="1:2" ht="14.25">
      <c r="A1" s="890"/>
      <c r="B1" s="891" t="s">
        <v>882</v>
      </c>
    </row>
    <row r="2" spans="1:2" ht="12" customHeight="1">
      <c r="A2" s="890"/>
      <c r="B2" s="891"/>
    </row>
    <row r="3" spans="1:5" ht="15.75">
      <c r="A3" s="1097" t="s">
        <v>873</v>
      </c>
      <c r="B3" s="1097"/>
      <c r="C3" s="629"/>
      <c r="D3" s="629"/>
      <c r="E3" s="629"/>
    </row>
    <row r="4" spans="1:5" ht="15.75">
      <c r="A4" s="1098" t="s">
        <v>883</v>
      </c>
      <c r="B4" s="1098"/>
      <c r="C4" s="45"/>
      <c r="D4" s="45"/>
      <c r="E4" s="45"/>
    </row>
    <row r="5" spans="1:2" ht="12.75">
      <c r="A5" s="892"/>
      <c r="B5" s="893"/>
    </row>
    <row r="6" spans="1:2" ht="12.75">
      <c r="A6" s="892"/>
      <c r="B6" s="894" t="s">
        <v>33</v>
      </c>
    </row>
    <row r="7" spans="1:2" ht="12.75">
      <c r="A7" s="1100" t="s">
        <v>884</v>
      </c>
      <c r="B7" s="1101" t="s">
        <v>885</v>
      </c>
    </row>
    <row r="8" spans="1:2" ht="12.75">
      <c r="A8" s="1100"/>
      <c r="B8" s="1101"/>
    </row>
    <row r="9" spans="1:2" ht="15.75">
      <c r="A9" s="896" t="s">
        <v>886</v>
      </c>
      <c r="B9" s="897">
        <v>0</v>
      </c>
    </row>
    <row r="10" spans="1:2" ht="15.75">
      <c r="A10" s="898" t="s">
        <v>887</v>
      </c>
      <c r="B10" s="899"/>
    </row>
    <row r="11" spans="1:2" ht="15.75">
      <c r="A11" s="900" t="s">
        <v>888</v>
      </c>
      <c r="B11" s="901">
        <v>1000</v>
      </c>
    </row>
    <row r="12" spans="1:2" ht="15.75">
      <c r="A12" s="902" t="s">
        <v>889</v>
      </c>
      <c r="B12" s="901"/>
    </row>
    <row r="13" spans="1:2" ht="31.5">
      <c r="A13" s="903" t="s">
        <v>890</v>
      </c>
      <c r="B13" s="904">
        <v>5000</v>
      </c>
    </row>
    <row r="14" spans="1:2" ht="15.75">
      <c r="A14" s="905" t="s">
        <v>891</v>
      </c>
      <c r="B14" s="906"/>
    </row>
    <row r="15" spans="1:2" ht="17.25" customHeight="1">
      <c r="A15" s="907" t="s">
        <v>892</v>
      </c>
      <c r="B15" s="906"/>
    </row>
    <row r="16" spans="1:2" ht="16.5" customHeight="1">
      <c r="A16" s="907" t="s">
        <v>893</v>
      </c>
      <c r="B16" s="906"/>
    </row>
    <row r="17" spans="1:2" ht="26.25">
      <c r="A17" s="907" t="s">
        <v>894</v>
      </c>
      <c r="B17" s="906"/>
    </row>
    <row r="18" spans="1:2" ht="15.75">
      <c r="A18" s="907" t="s">
        <v>895</v>
      </c>
      <c r="B18" s="906"/>
    </row>
    <row r="19" spans="1:2" ht="15.75">
      <c r="A19" s="908" t="s">
        <v>896</v>
      </c>
      <c r="B19" s="909">
        <f>SUM(B10:B18)</f>
        <v>6000</v>
      </c>
    </row>
    <row r="20" spans="1:2" ht="12.75">
      <c r="A20" s="890"/>
      <c r="B20" s="890"/>
    </row>
    <row r="21" spans="1:2" ht="12.75">
      <c r="A21" s="1096" t="s">
        <v>897</v>
      </c>
      <c r="B21" s="1096"/>
    </row>
    <row r="22" spans="1:2" ht="12.75">
      <c r="A22" s="1096" t="s">
        <v>898</v>
      </c>
      <c r="B22" s="1096"/>
    </row>
    <row r="23" spans="1:2" ht="13.5" customHeight="1">
      <c r="A23" s="1096" t="s">
        <v>899</v>
      </c>
      <c r="B23" s="1096"/>
    </row>
    <row r="24" spans="1:2" ht="13.5" customHeight="1">
      <c r="A24" s="910"/>
      <c r="B24" s="910"/>
    </row>
    <row r="25" spans="1:2" ht="12.75">
      <c r="A25" s="890"/>
      <c r="B25" s="890"/>
    </row>
    <row r="26" spans="1:2" ht="12.75">
      <c r="A26" s="890" t="s">
        <v>900</v>
      </c>
      <c r="B26" s="890"/>
    </row>
    <row r="27" spans="1:2" ht="12.75">
      <c r="A27" s="890" t="s">
        <v>901</v>
      </c>
      <c r="B27" s="890"/>
    </row>
    <row r="28" spans="1:2" ht="12.75">
      <c r="A28" s="890"/>
      <c r="B28" s="890"/>
    </row>
    <row r="29" spans="1:2" ht="12.75">
      <c r="A29" s="890"/>
      <c r="B29" s="890"/>
    </row>
    <row r="30" spans="1:2" ht="12.75">
      <c r="A30" s="890"/>
      <c r="B30" s="890"/>
    </row>
    <row r="31" spans="1:2" ht="14.25">
      <c r="A31" s="890"/>
      <c r="B31" s="891" t="s">
        <v>902</v>
      </c>
    </row>
    <row r="32" spans="1:2" ht="14.25">
      <c r="A32" s="890"/>
      <c r="B32" s="911"/>
    </row>
    <row r="33" spans="1:2" ht="15.75">
      <c r="A33" s="1097" t="s">
        <v>873</v>
      </c>
      <c r="B33" s="1097"/>
    </row>
    <row r="34" spans="1:2" ht="15.75">
      <c r="A34" s="1098" t="s">
        <v>903</v>
      </c>
      <c r="B34" s="1098"/>
    </row>
    <row r="35" spans="1:2" ht="12.75">
      <c r="A35" s="1099"/>
      <c r="B35" s="1099"/>
    </row>
    <row r="36" spans="1:2" ht="12.75">
      <c r="A36" s="890"/>
      <c r="B36" s="893" t="s">
        <v>33</v>
      </c>
    </row>
    <row r="37" spans="1:2" ht="12.75">
      <c r="A37" s="912" t="s">
        <v>904</v>
      </c>
      <c r="B37" s="895" t="s">
        <v>905</v>
      </c>
    </row>
    <row r="38" spans="1:2" ht="12.75">
      <c r="A38" s="913" t="s">
        <v>906</v>
      </c>
      <c r="B38" s="914">
        <v>3369707</v>
      </c>
    </row>
    <row r="39" spans="1:2" ht="12.75">
      <c r="A39" s="913" t="s">
        <v>907</v>
      </c>
      <c r="B39" s="915">
        <f>'1_sz_ melléklet'!B32</f>
        <v>4448177</v>
      </c>
    </row>
    <row r="40" spans="1:2" ht="12.75">
      <c r="A40" s="913" t="s">
        <v>908</v>
      </c>
      <c r="B40" s="916">
        <f>'1_sz_ melléklet'!D32</f>
        <v>4448177</v>
      </c>
    </row>
    <row r="41" spans="1:2" ht="12.75">
      <c r="A41" s="917" t="s">
        <v>909</v>
      </c>
      <c r="B41" s="918">
        <f>B38+B39-B40</f>
        <v>3369707</v>
      </c>
    </row>
  </sheetData>
  <sheetProtection/>
  <mergeCells count="10">
    <mergeCell ref="A23:B23"/>
    <mergeCell ref="A33:B33"/>
    <mergeCell ref="A34:B34"/>
    <mergeCell ref="A35:B35"/>
    <mergeCell ref="A3:B3"/>
    <mergeCell ref="A4:B4"/>
    <mergeCell ref="A7:A8"/>
    <mergeCell ref="B7:B8"/>
    <mergeCell ref="A21:B21"/>
    <mergeCell ref="A22:B22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6">
      <selection activeCell="A36" sqref="A36"/>
    </sheetView>
  </sheetViews>
  <sheetFormatPr defaultColWidth="9.140625" defaultRowHeight="12.75"/>
  <cols>
    <col min="1" max="1" width="26.28125" style="0" customWidth="1"/>
    <col min="2" max="2" width="24.28125" style="0" customWidth="1"/>
    <col min="3" max="3" width="21.57421875" style="0" customWidth="1"/>
    <col min="4" max="4" width="16.7109375" style="0" customWidth="1"/>
    <col min="5" max="5" width="18.00390625" style="0" customWidth="1"/>
    <col min="6" max="6" width="16.28125" style="0" customWidth="1"/>
  </cols>
  <sheetData>
    <row r="1" spans="5:6" ht="15">
      <c r="E1" s="1054" t="s">
        <v>910</v>
      </c>
      <c r="F1" s="1054"/>
    </row>
    <row r="2" ht="15.75">
      <c r="C2" s="47" t="s">
        <v>911</v>
      </c>
    </row>
    <row r="3" spans="1:6" ht="12.75">
      <c r="A3" s="1065" t="s">
        <v>912</v>
      </c>
      <c r="B3" s="1065"/>
      <c r="C3" s="1065"/>
      <c r="D3" s="1065"/>
      <c r="E3" s="1065"/>
      <c r="F3" s="1065"/>
    </row>
    <row r="4" spans="2:4" ht="12.75">
      <c r="B4" s="628"/>
      <c r="C4" s="628" t="s">
        <v>913</v>
      </c>
      <c r="D4" s="628"/>
    </row>
    <row r="5" ht="12.75">
      <c r="F5" s="49" t="s">
        <v>33</v>
      </c>
    </row>
    <row r="6" spans="1:6" ht="12.75">
      <c r="A6" s="1103" t="s">
        <v>914</v>
      </c>
      <c r="B6" s="1104" t="s">
        <v>915</v>
      </c>
      <c r="C6" s="919" t="s">
        <v>916</v>
      </c>
      <c r="D6" s="920" t="s">
        <v>706</v>
      </c>
      <c r="E6" s="919" t="s">
        <v>917</v>
      </c>
      <c r="F6" s="921" t="s">
        <v>918</v>
      </c>
    </row>
    <row r="7" spans="1:6" ht="12.75">
      <c r="A7" s="1103"/>
      <c r="B7" s="1103"/>
      <c r="C7" s="798" t="s">
        <v>919</v>
      </c>
      <c r="D7" s="922" t="s">
        <v>920</v>
      </c>
      <c r="E7" s="798" t="s">
        <v>921</v>
      </c>
      <c r="F7" s="923" t="s">
        <v>922</v>
      </c>
    </row>
    <row r="8" spans="1:6" ht="12.75">
      <c r="A8" s="1103"/>
      <c r="B8" s="1104"/>
      <c r="C8" s="801" t="s">
        <v>923</v>
      </c>
      <c r="D8" s="924" t="s">
        <v>924</v>
      </c>
      <c r="E8" s="801" t="s">
        <v>924</v>
      </c>
      <c r="F8" s="925" t="s">
        <v>925</v>
      </c>
    </row>
    <row r="9" spans="1:6" ht="12.75">
      <c r="A9" s="109" t="s">
        <v>926</v>
      </c>
      <c r="B9" s="225" t="s">
        <v>927</v>
      </c>
      <c r="C9" s="89"/>
      <c r="D9" s="69"/>
      <c r="E9" s="89"/>
      <c r="F9" s="115"/>
    </row>
    <row r="10" spans="1:6" ht="12.75">
      <c r="A10" s="109" t="s">
        <v>926</v>
      </c>
      <c r="B10" s="926" t="s">
        <v>928</v>
      </c>
      <c r="C10" s="57"/>
      <c r="D10" s="58"/>
      <c r="E10" s="57"/>
      <c r="F10" s="76"/>
    </row>
    <row r="11" spans="1:6" ht="12.75">
      <c r="A11" s="109" t="s">
        <v>926</v>
      </c>
      <c r="B11" s="59" t="s">
        <v>929</v>
      </c>
      <c r="C11" s="68"/>
      <c r="D11" s="69"/>
      <c r="E11" s="68"/>
      <c r="F11" s="115"/>
    </row>
    <row r="12" spans="1:6" ht="12.75">
      <c r="A12" s="109" t="s">
        <v>926</v>
      </c>
      <c r="B12" s="926" t="s">
        <v>930</v>
      </c>
      <c r="C12" s="57"/>
      <c r="D12" s="58"/>
      <c r="E12" s="78"/>
      <c r="F12" s="79"/>
    </row>
    <row r="13" spans="1:6" ht="12.75">
      <c r="A13" s="109" t="s">
        <v>926</v>
      </c>
      <c r="B13" s="926"/>
      <c r="C13" s="57"/>
      <c r="D13" s="58"/>
      <c r="E13" s="57"/>
      <c r="F13" s="76"/>
    </row>
    <row r="14" spans="1:6" ht="12.75">
      <c r="A14" s="109" t="s">
        <v>926</v>
      </c>
      <c r="B14" s="228"/>
      <c r="C14" s="228"/>
      <c r="D14" s="446"/>
      <c r="E14" s="228"/>
      <c r="F14" s="459"/>
    </row>
    <row r="15" spans="1:6" ht="12.75">
      <c r="A15" s="109" t="s">
        <v>926</v>
      </c>
      <c r="B15" s="926"/>
      <c r="C15" s="57"/>
      <c r="D15" s="58"/>
      <c r="E15" s="57"/>
      <c r="F15" s="76"/>
    </row>
    <row r="16" spans="1:6" ht="12.75">
      <c r="A16" s="109" t="s">
        <v>926</v>
      </c>
      <c r="B16" s="926"/>
      <c r="C16" s="57"/>
      <c r="D16" s="58"/>
      <c r="E16" s="57"/>
      <c r="F16" s="76"/>
    </row>
    <row r="17" spans="1:6" ht="12.75">
      <c r="A17" s="109" t="s">
        <v>926</v>
      </c>
      <c r="B17" s="926"/>
      <c r="C17" s="57"/>
      <c r="D17" s="58"/>
      <c r="E17" s="57"/>
      <c r="F17" s="76"/>
    </row>
    <row r="18" spans="1:6" ht="12.75">
      <c r="A18" s="109" t="s">
        <v>926</v>
      </c>
      <c r="B18" s="228"/>
      <c r="C18" s="228"/>
      <c r="D18" s="446"/>
      <c r="E18" s="228"/>
      <c r="F18" s="459"/>
    </row>
    <row r="19" spans="1:6" ht="12.75">
      <c r="A19" s="371"/>
      <c r="B19" s="926"/>
      <c r="C19" s="57"/>
      <c r="D19" s="58"/>
      <c r="E19" s="57"/>
      <c r="F19" s="76"/>
    </row>
    <row r="20" spans="1:6" ht="12.75">
      <c r="A20" s="109"/>
      <c r="B20" s="926"/>
      <c r="C20" s="57"/>
      <c r="D20" s="58"/>
      <c r="E20" s="57"/>
      <c r="F20" s="76"/>
    </row>
    <row r="21" spans="1:6" ht="12.75">
      <c r="A21" s="320" t="s">
        <v>187</v>
      </c>
      <c r="B21" s="801" t="s">
        <v>931</v>
      </c>
      <c r="C21" s="248">
        <f>SUM(C9:C20)</f>
        <v>0</v>
      </c>
      <c r="D21" s="927">
        <f>SUM(D9:D20)</f>
        <v>0</v>
      </c>
      <c r="E21" s="248">
        <f>SUM(E9:E20)</f>
        <v>0</v>
      </c>
      <c r="F21" s="928">
        <f>SUM(F9:F20)</f>
        <v>0</v>
      </c>
    </row>
    <row r="22" spans="1:6" ht="12.75">
      <c r="A22" s="55"/>
      <c r="B22" s="922"/>
      <c r="C22" s="92"/>
      <c r="D22" s="92"/>
      <c r="E22" s="92"/>
      <c r="F22" s="92"/>
    </row>
    <row r="23" spans="5:6" ht="15">
      <c r="E23" s="1054" t="s">
        <v>932</v>
      </c>
      <c r="F23" s="1054"/>
    </row>
    <row r="24" spans="1:6" ht="15.75">
      <c r="A24" s="1042" t="s">
        <v>933</v>
      </c>
      <c r="B24" s="1042"/>
      <c r="C24" s="1042"/>
      <c r="D24" s="1042"/>
      <c r="E24" s="1042"/>
      <c r="F24" s="1042"/>
    </row>
    <row r="25" spans="1:6" ht="12.75">
      <c r="A25" s="1065" t="s">
        <v>934</v>
      </c>
      <c r="B25" s="1065"/>
      <c r="C25" s="1065"/>
      <c r="D25" s="1065"/>
      <c r="E25" s="1065"/>
      <c r="F25" s="1065"/>
    </row>
    <row r="26" spans="1:6" ht="12.75">
      <c r="A26" s="1065" t="s">
        <v>935</v>
      </c>
      <c r="B26" s="1065"/>
      <c r="C26" s="1065"/>
      <c r="D26" s="1065"/>
      <c r="E26" s="1065"/>
      <c r="F26" s="1065"/>
    </row>
    <row r="27" spans="2:6" ht="12.75">
      <c r="B27" s="628"/>
      <c r="C27" s="628"/>
      <c r="D27" s="628"/>
      <c r="F27" s="49" t="s">
        <v>33</v>
      </c>
    </row>
    <row r="28" spans="1:6" ht="12.75">
      <c r="A28" s="1102" t="s">
        <v>936</v>
      </c>
      <c r="B28" s="1102"/>
      <c r="C28" s="919" t="s">
        <v>937</v>
      </c>
      <c r="D28" s="920" t="s">
        <v>938</v>
      </c>
      <c r="E28" s="919" t="s">
        <v>939</v>
      </c>
      <c r="F28" s="921" t="s">
        <v>940</v>
      </c>
    </row>
    <row r="29" spans="1:6" ht="12.75">
      <c r="A29" s="1102"/>
      <c r="B29" s="1102"/>
      <c r="C29" s="798" t="s">
        <v>919</v>
      </c>
      <c r="D29" s="922" t="s">
        <v>941</v>
      </c>
      <c r="E29" s="798" t="s">
        <v>942</v>
      </c>
      <c r="F29" s="923" t="s">
        <v>943</v>
      </c>
    </row>
    <row r="30" spans="1:6" ht="12.75">
      <c r="A30" s="1102"/>
      <c r="B30" s="1102"/>
      <c r="C30" s="801" t="s">
        <v>944</v>
      </c>
      <c r="D30" s="924" t="s">
        <v>945</v>
      </c>
      <c r="E30" s="801" t="s">
        <v>924</v>
      </c>
      <c r="F30" s="925" t="s">
        <v>946</v>
      </c>
    </row>
    <row r="31" spans="1:6" ht="12.75">
      <c r="A31" s="476"/>
      <c r="B31" s="929"/>
      <c r="C31" s="225"/>
      <c r="D31" s="226"/>
      <c r="E31" s="225"/>
      <c r="F31" s="929"/>
    </row>
    <row r="32" spans="1:6" ht="12.75">
      <c r="A32" s="108"/>
      <c r="B32" s="799"/>
      <c r="C32" s="59"/>
      <c r="D32" s="797"/>
      <c r="E32" s="59"/>
      <c r="F32" s="799"/>
    </row>
    <row r="33" spans="1:6" ht="12.75">
      <c r="A33" s="108"/>
      <c r="B33" s="799"/>
      <c r="C33" s="59"/>
      <c r="D33" s="797"/>
      <c r="E33" s="59"/>
      <c r="F33" s="799"/>
    </row>
    <row r="34" spans="1:6" ht="12.75">
      <c r="A34" s="108"/>
      <c r="B34" s="799"/>
      <c r="C34" s="59"/>
      <c r="D34" s="797"/>
      <c r="E34" s="59"/>
      <c r="F34" s="799"/>
    </row>
    <row r="35" spans="1:6" ht="12.75">
      <c r="A35" s="252"/>
      <c r="B35" s="528"/>
      <c r="C35" s="85"/>
      <c r="D35" s="55"/>
      <c r="E35" s="85"/>
      <c r="F35" s="528"/>
    </row>
    <row r="36" spans="1:6" ht="12.75">
      <c r="A36" s="111" t="s">
        <v>187</v>
      </c>
      <c r="B36" s="930"/>
      <c r="C36" s="803"/>
      <c r="D36" s="451"/>
      <c r="E36" s="803"/>
      <c r="F36" s="802"/>
    </row>
  </sheetData>
  <sheetProtection/>
  <mergeCells count="9">
    <mergeCell ref="A25:F25"/>
    <mergeCell ref="A26:F26"/>
    <mergeCell ref="A28:B30"/>
    <mergeCell ref="E1:F1"/>
    <mergeCell ref="A3:F3"/>
    <mergeCell ref="A6:A8"/>
    <mergeCell ref="B6:B8"/>
    <mergeCell ref="E23:F23"/>
    <mergeCell ref="A24:F24"/>
  </mergeCells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M72"/>
  <sheetViews>
    <sheetView zoomScalePageLayoutView="0" workbookViewId="0" topLeftCell="A1">
      <selection activeCell="A72" sqref="A72"/>
    </sheetView>
  </sheetViews>
  <sheetFormatPr defaultColWidth="9.140625" defaultRowHeight="12.75"/>
  <cols>
    <col min="1" max="1" width="13.57421875" style="0" customWidth="1"/>
    <col min="2" max="2" width="18.421875" style="0" customWidth="1"/>
    <col min="3" max="3" width="10.28125" style="0" customWidth="1"/>
  </cols>
  <sheetData>
    <row r="2" spans="1:12" ht="12.75">
      <c r="A2" s="1"/>
      <c r="B2" s="1"/>
      <c r="C2" s="1"/>
      <c r="D2" s="931"/>
      <c r="E2" s="1"/>
      <c r="F2" s="1"/>
      <c r="G2" s="1"/>
      <c r="H2" s="1"/>
      <c r="I2" s="1"/>
      <c r="J2" s="931" t="s">
        <v>947</v>
      </c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1109" t="s">
        <v>873</v>
      </c>
      <c r="B4" s="1109"/>
      <c r="C4" s="1109"/>
      <c r="D4" s="1109"/>
      <c r="E4" s="1109"/>
      <c r="F4" s="1109"/>
      <c r="G4" s="1109"/>
      <c r="H4" s="1109"/>
      <c r="I4" s="1109"/>
      <c r="J4" s="1109"/>
      <c r="K4" s="1109"/>
      <c r="L4" s="1109"/>
    </row>
    <row r="5" spans="1:12" ht="18.75">
      <c r="A5" s="1110" t="s">
        <v>948</v>
      </c>
      <c r="B5" s="1110"/>
      <c r="C5" s="1110"/>
      <c r="D5" s="1110"/>
      <c r="E5" s="1110"/>
      <c r="F5" s="1110"/>
      <c r="G5" s="1110"/>
      <c r="H5" s="1110"/>
      <c r="I5" s="1110"/>
      <c r="J5" s="1110"/>
      <c r="K5" s="1110"/>
      <c r="L5" s="1110"/>
    </row>
    <row r="6" spans="1:5" ht="18">
      <c r="A6" s="932"/>
      <c r="B6" s="932"/>
      <c r="C6" s="932"/>
      <c r="D6" s="932"/>
      <c r="E6" s="932"/>
    </row>
    <row r="7" spans="1:5" ht="18">
      <c r="A7" s="932"/>
      <c r="B7" s="932"/>
      <c r="C7" s="932"/>
      <c r="D7" s="932"/>
      <c r="E7" s="932"/>
    </row>
    <row r="8" spans="7:11" ht="12.75">
      <c r="G8" s="1065"/>
      <c r="H8" s="1065"/>
      <c r="I8" s="1065"/>
      <c r="J8" s="1065"/>
      <c r="K8" s="628" t="s">
        <v>504</v>
      </c>
    </row>
    <row r="9" spans="1:13" ht="14.25">
      <c r="A9" s="1105" t="s">
        <v>949</v>
      </c>
      <c r="B9" s="1111" t="s">
        <v>915</v>
      </c>
      <c r="C9" s="1107" t="s">
        <v>950</v>
      </c>
      <c r="D9" s="1108" t="s">
        <v>951</v>
      </c>
      <c r="E9" s="1108"/>
      <c r="F9" s="1108"/>
      <c r="G9" s="1108"/>
      <c r="H9" s="1108"/>
      <c r="I9" s="1108"/>
      <c r="J9" s="1108"/>
      <c r="K9" s="1108"/>
      <c r="L9" s="1108"/>
      <c r="M9" s="1108"/>
    </row>
    <row r="10" spans="1:13" ht="32.25" customHeight="1">
      <c r="A10" s="1105"/>
      <c r="B10" s="1111"/>
      <c r="C10" s="1107"/>
      <c r="D10" s="933">
        <v>2010</v>
      </c>
      <c r="E10" s="933">
        <v>2011</v>
      </c>
      <c r="F10" s="933">
        <v>2012</v>
      </c>
      <c r="G10" s="933">
        <v>2013</v>
      </c>
      <c r="H10" s="933">
        <v>2014</v>
      </c>
      <c r="I10" s="934">
        <v>2015</v>
      </c>
      <c r="J10" s="935">
        <v>2016</v>
      </c>
      <c r="K10" s="936">
        <v>2017</v>
      </c>
      <c r="L10" s="937">
        <v>2018</v>
      </c>
      <c r="M10" s="938">
        <v>2019</v>
      </c>
    </row>
    <row r="11" spans="1:13" ht="31.5" customHeight="1">
      <c r="A11" s="939" t="s">
        <v>952</v>
      </c>
      <c r="B11" s="940" t="s">
        <v>953</v>
      </c>
      <c r="C11" s="941">
        <v>24949</v>
      </c>
      <c r="D11" s="942">
        <v>0</v>
      </c>
      <c r="E11" s="942">
        <v>0</v>
      </c>
      <c r="F11" s="942">
        <v>0</v>
      </c>
      <c r="G11" s="942">
        <v>1074</v>
      </c>
      <c r="H11" s="942">
        <v>1432</v>
      </c>
      <c r="I11" s="943">
        <v>1432</v>
      </c>
      <c r="J11" s="942">
        <v>1432</v>
      </c>
      <c r="K11" s="944">
        <v>1432</v>
      </c>
      <c r="L11" s="324">
        <v>1432</v>
      </c>
      <c r="M11" s="945">
        <v>1432</v>
      </c>
    </row>
    <row r="12" spans="1:13" ht="31.5" customHeight="1">
      <c r="A12" s="939" t="s">
        <v>952</v>
      </c>
      <c r="B12" s="940" t="s">
        <v>954</v>
      </c>
      <c r="C12" s="946">
        <v>38125</v>
      </c>
      <c r="D12" s="942">
        <v>2500</v>
      </c>
      <c r="E12" s="942">
        <v>2500</v>
      </c>
      <c r="F12" s="942">
        <v>2500</v>
      </c>
      <c r="G12" s="942">
        <v>2500</v>
      </c>
      <c r="H12" s="942">
        <v>2500</v>
      </c>
      <c r="I12" s="943">
        <v>2500</v>
      </c>
      <c r="J12" s="942">
        <v>2500</v>
      </c>
      <c r="K12" s="944">
        <v>2500</v>
      </c>
      <c r="L12" s="947">
        <v>2500</v>
      </c>
      <c r="M12" s="945">
        <v>2500</v>
      </c>
    </row>
    <row r="13" spans="1:13" ht="26.25" customHeight="1">
      <c r="A13" s="939" t="s">
        <v>952</v>
      </c>
      <c r="B13" s="940" t="s">
        <v>955</v>
      </c>
      <c r="C13" s="946">
        <v>129997</v>
      </c>
      <c r="D13" s="942">
        <v>8696</v>
      </c>
      <c r="E13" s="942">
        <v>8696</v>
      </c>
      <c r="F13" s="942">
        <v>8696</v>
      </c>
      <c r="G13" s="942">
        <v>8696</v>
      </c>
      <c r="H13" s="942">
        <v>8696</v>
      </c>
      <c r="I13" s="943">
        <v>8696</v>
      </c>
      <c r="J13" s="942">
        <v>8696</v>
      </c>
      <c r="K13" s="944">
        <v>8696</v>
      </c>
      <c r="L13" s="947">
        <v>8696</v>
      </c>
      <c r="M13" s="947">
        <v>8696</v>
      </c>
    </row>
    <row r="14" spans="1:13" ht="24.75" customHeight="1">
      <c r="A14" s="948" t="s">
        <v>956</v>
      </c>
      <c r="B14" s="940" t="s">
        <v>957</v>
      </c>
      <c r="C14" s="946">
        <v>1181</v>
      </c>
      <c r="D14" s="946">
        <v>292</v>
      </c>
      <c r="E14" s="942">
        <v>379</v>
      </c>
      <c r="F14" s="942">
        <v>468</v>
      </c>
      <c r="G14" s="942">
        <v>43</v>
      </c>
      <c r="H14" s="942">
        <v>0</v>
      </c>
      <c r="I14" s="943">
        <v>0</v>
      </c>
      <c r="J14" s="942">
        <v>0</v>
      </c>
      <c r="K14" s="944">
        <v>0</v>
      </c>
      <c r="L14" s="947">
        <v>0</v>
      </c>
      <c r="M14" s="947">
        <v>0</v>
      </c>
    </row>
    <row r="15" spans="1:13" ht="18.75" customHeight="1">
      <c r="A15" s="939" t="s">
        <v>952</v>
      </c>
      <c r="B15" s="940" t="s">
        <v>958</v>
      </c>
      <c r="C15" s="946">
        <v>47060</v>
      </c>
      <c r="D15" s="942">
        <v>2940</v>
      </c>
      <c r="E15" s="942">
        <v>2940</v>
      </c>
      <c r="F15" s="942">
        <v>2940</v>
      </c>
      <c r="G15" s="942">
        <v>2940</v>
      </c>
      <c r="H15" s="942">
        <v>2940</v>
      </c>
      <c r="I15" s="942">
        <v>2940</v>
      </c>
      <c r="J15" s="942">
        <v>2940</v>
      </c>
      <c r="K15" s="942">
        <v>2940</v>
      </c>
      <c r="L15" s="945">
        <v>2940</v>
      </c>
      <c r="M15" s="947">
        <v>2940</v>
      </c>
    </row>
    <row r="16" spans="1:13" ht="19.5" customHeight="1">
      <c r="A16" s="939" t="s">
        <v>959</v>
      </c>
      <c r="B16" s="940" t="s">
        <v>960</v>
      </c>
      <c r="C16" s="946">
        <v>3005480</v>
      </c>
      <c r="D16" s="942"/>
      <c r="E16" s="942"/>
      <c r="F16" s="942"/>
      <c r="G16" s="170">
        <v>69113</v>
      </c>
      <c r="H16" s="424">
        <v>76792</v>
      </c>
      <c r="I16" s="170">
        <v>85796</v>
      </c>
      <c r="J16" s="424">
        <v>85796</v>
      </c>
      <c r="K16" s="424">
        <v>88443</v>
      </c>
      <c r="L16" s="155">
        <v>94798</v>
      </c>
      <c r="M16" s="155">
        <v>96387</v>
      </c>
    </row>
    <row r="17" spans="1:13" ht="24.75" customHeight="1">
      <c r="A17" s="949" t="s">
        <v>416</v>
      </c>
      <c r="B17" s="950" t="s">
        <v>961</v>
      </c>
      <c r="C17" s="951">
        <f>SUM(C11:C16)</f>
        <v>3246792</v>
      </c>
      <c r="D17" s="952">
        <f aca="true" t="shared" si="0" ref="D17:L17">SUM(D11:D16)</f>
        <v>14428</v>
      </c>
      <c r="E17" s="952">
        <f t="shared" si="0"/>
        <v>14515</v>
      </c>
      <c r="F17" s="952">
        <f t="shared" si="0"/>
        <v>14604</v>
      </c>
      <c r="G17" s="952">
        <f t="shared" si="0"/>
        <v>84366</v>
      </c>
      <c r="H17" s="952">
        <f t="shared" si="0"/>
        <v>92360</v>
      </c>
      <c r="I17" s="952">
        <f t="shared" si="0"/>
        <v>101364</v>
      </c>
      <c r="J17" s="952">
        <f t="shared" si="0"/>
        <v>101364</v>
      </c>
      <c r="K17" s="952">
        <f t="shared" si="0"/>
        <v>104011</v>
      </c>
      <c r="L17" s="953">
        <f t="shared" si="0"/>
        <v>110366</v>
      </c>
      <c r="M17" s="954">
        <f>SUM(M11:M16)</f>
        <v>111955</v>
      </c>
    </row>
    <row r="18" spans="1:12" ht="14.25">
      <c r="A18" s="437"/>
      <c r="B18" s="955"/>
      <c r="C18" s="956"/>
      <c r="D18" s="956"/>
      <c r="E18" s="956"/>
      <c r="F18" s="956"/>
      <c r="G18" s="956"/>
      <c r="H18" s="956"/>
      <c r="I18" s="956"/>
      <c r="J18" s="956"/>
      <c r="K18" s="956"/>
      <c r="L18" s="956"/>
    </row>
    <row r="19" spans="1:12" ht="14.25">
      <c r="A19" s="437"/>
      <c r="B19" s="955"/>
      <c r="C19" s="956"/>
      <c r="D19" s="956"/>
      <c r="E19" s="956"/>
      <c r="F19" s="956"/>
      <c r="G19" s="956"/>
      <c r="H19" s="956"/>
      <c r="I19" s="956"/>
      <c r="J19" s="956"/>
      <c r="K19" s="956"/>
      <c r="L19" s="956"/>
    </row>
    <row r="20" spans="1:12" ht="14.25">
      <c r="A20" s="437"/>
      <c r="B20" s="955"/>
      <c r="C20" s="956"/>
      <c r="D20" s="956"/>
      <c r="E20" s="956"/>
      <c r="F20" s="956"/>
      <c r="G20" s="956"/>
      <c r="H20" s="956"/>
      <c r="I20" s="956"/>
      <c r="J20" s="956"/>
      <c r="K20" s="956"/>
      <c r="L20" s="956"/>
    </row>
    <row r="21" spans="1:12" ht="14.25">
      <c r="A21" s="437"/>
      <c r="B21" s="955"/>
      <c r="C21" s="956"/>
      <c r="D21" s="956"/>
      <c r="E21" s="956"/>
      <c r="F21" s="956"/>
      <c r="G21" s="956"/>
      <c r="H21" s="956"/>
      <c r="I21" s="956"/>
      <c r="J21" s="956"/>
      <c r="K21" s="956"/>
      <c r="L21" s="956"/>
    </row>
    <row r="22" spans="1:12" ht="14.25">
      <c r="A22" s="437"/>
      <c r="B22" s="955"/>
      <c r="C22" s="956"/>
      <c r="D22" s="956"/>
      <c r="E22" s="956"/>
      <c r="F22" s="956"/>
      <c r="G22" s="956"/>
      <c r="H22" s="956"/>
      <c r="I22" s="956"/>
      <c r="J22" s="956"/>
      <c r="K22" s="956"/>
      <c r="L22" s="956"/>
    </row>
    <row r="23" spans="1:12" ht="14.25">
      <c r="A23" s="437"/>
      <c r="B23" s="955"/>
      <c r="C23" s="956"/>
      <c r="D23" s="956"/>
      <c r="E23" s="956"/>
      <c r="F23" s="956"/>
      <c r="G23" s="956"/>
      <c r="H23" s="956"/>
      <c r="I23" s="956"/>
      <c r="J23" s="956"/>
      <c r="K23" s="956"/>
      <c r="L23" s="956"/>
    </row>
    <row r="24" spans="1:12" ht="14.25">
      <c r="A24" s="437"/>
      <c r="B24" s="955"/>
      <c r="C24" s="956"/>
      <c r="D24" s="956"/>
      <c r="E24" s="956"/>
      <c r="F24" s="956"/>
      <c r="G24" s="956"/>
      <c r="H24" s="956"/>
      <c r="I24" s="956"/>
      <c r="J24" s="956"/>
      <c r="K24" s="956"/>
      <c r="L24" s="956"/>
    </row>
    <row r="25" spans="1:12" ht="14.25">
      <c r="A25" s="437"/>
      <c r="B25" s="955"/>
      <c r="C25" s="956"/>
      <c r="D25" s="956"/>
      <c r="E25" s="956"/>
      <c r="F25" s="956"/>
      <c r="G25" s="956"/>
      <c r="H25" s="956"/>
      <c r="I25" s="956"/>
      <c r="J25" s="956"/>
      <c r="K25" s="956"/>
      <c r="L25" s="956"/>
    </row>
    <row r="26" spans="1:12" ht="14.25">
      <c r="A26" s="437"/>
      <c r="B26" s="955"/>
      <c r="C26" s="956"/>
      <c r="D26" s="956"/>
      <c r="E26" s="956"/>
      <c r="F26" s="956"/>
      <c r="G26" s="956"/>
      <c r="H26" s="956"/>
      <c r="I26" s="956"/>
      <c r="J26" s="956"/>
      <c r="K26" s="956"/>
      <c r="L26" s="956"/>
    </row>
    <row r="27" spans="1:12" ht="14.25">
      <c r="A27" s="437"/>
      <c r="B27" s="955"/>
      <c r="C27" s="956"/>
      <c r="D27" s="956"/>
      <c r="E27" s="956"/>
      <c r="F27" s="956"/>
      <c r="G27" s="956"/>
      <c r="H27" s="956"/>
      <c r="I27" s="956"/>
      <c r="J27" s="956"/>
      <c r="K27" s="956"/>
      <c r="L27" s="956"/>
    </row>
    <row r="28" spans="1:12" ht="14.25">
      <c r="A28" s="437"/>
      <c r="B28" s="955"/>
      <c r="C28" s="956"/>
      <c r="D28" s="956"/>
      <c r="E28" s="956"/>
      <c r="F28" s="956"/>
      <c r="G28" s="956"/>
      <c r="H28" s="956"/>
      <c r="I28" s="956"/>
      <c r="J28" s="956"/>
      <c r="K28" s="956"/>
      <c r="L28" s="956"/>
    </row>
    <row r="29" spans="1:13" ht="12.75">
      <c r="A29" s="1051">
        <v>2</v>
      </c>
      <c r="B29" s="1051"/>
      <c r="C29" s="1051"/>
      <c r="D29" s="1051"/>
      <c r="E29" s="1051"/>
      <c r="F29" s="1051"/>
      <c r="G29" s="1051"/>
      <c r="H29" s="1051"/>
      <c r="I29" s="1051"/>
      <c r="J29" s="1051"/>
      <c r="K29" s="1051"/>
      <c r="L29" s="1051"/>
      <c r="M29" s="1051"/>
    </row>
    <row r="30" spans="1:12" ht="12.7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2" spans="1:12" ht="12.75">
      <c r="A32" s="1"/>
      <c r="B32" s="1"/>
      <c r="C32" s="1"/>
      <c r="D32" s="931"/>
      <c r="E32" s="1"/>
      <c r="F32" s="1"/>
      <c r="G32" s="1"/>
      <c r="H32" s="1"/>
      <c r="I32" s="1"/>
      <c r="J32" s="931" t="s">
        <v>947</v>
      </c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8.75">
      <c r="A34" s="1109" t="s">
        <v>873</v>
      </c>
      <c r="B34" s="1109"/>
      <c r="C34" s="1109"/>
      <c r="D34" s="1109"/>
      <c r="E34" s="1109"/>
      <c r="F34" s="1109"/>
      <c r="G34" s="1109"/>
      <c r="H34" s="1109"/>
      <c r="I34" s="1109"/>
      <c r="J34" s="1109"/>
      <c r="K34" s="1109"/>
      <c r="L34" s="1109"/>
    </row>
    <row r="35" spans="1:12" ht="18.75">
      <c r="A35" s="1110" t="s">
        <v>948</v>
      </c>
      <c r="B35" s="1110"/>
      <c r="C35" s="1110"/>
      <c r="D35" s="1110"/>
      <c r="E35" s="1110"/>
      <c r="F35" s="1110"/>
      <c r="G35" s="1110"/>
      <c r="H35" s="1110"/>
      <c r="I35" s="1110"/>
      <c r="J35" s="1110"/>
      <c r="K35" s="1110"/>
      <c r="L35" s="1110"/>
    </row>
    <row r="36" spans="1:5" ht="18">
      <c r="A36" s="932"/>
      <c r="B36" s="932"/>
      <c r="C36" s="932"/>
      <c r="D36" s="932"/>
      <c r="E36" s="932"/>
    </row>
    <row r="37" spans="7:13" ht="12.75">
      <c r="G37" s="1065"/>
      <c r="H37" s="1065"/>
      <c r="I37" s="1065"/>
      <c r="J37" s="1065"/>
      <c r="K37" s="628" t="s">
        <v>504</v>
      </c>
      <c r="M37" s="55"/>
    </row>
    <row r="38" spans="1:13" ht="14.25">
      <c r="A38" s="1105" t="s">
        <v>949</v>
      </c>
      <c r="B38" s="1106" t="s">
        <v>915</v>
      </c>
      <c r="C38" s="1107" t="s">
        <v>950</v>
      </c>
      <c r="D38" s="1108" t="s">
        <v>951</v>
      </c>
      <c r="E38" s="1108"/>
      <c r="F38" s="1108"/>
      <c r="G38" s="1108"/>
      <c r="H38" s="1108"/>
      <c r="I38" s="1108"/>
      <c r="J38" s="1108"/>
      <c r="K38" s="1108"/>
      <c r="L38" s="1108"/>
      <c r="M38" s="1108"/>
    </row>
    <row r="39" spans="1:13" ht="35.25" customHeight="1">
      <c r="A39" s="1105"/>
      <c r="B39" s="1106"/>
      <c r="C39" s="1106"/>
      <c r="D39" s="957">
        <v>2020</v>
      </c>
      <c r="E39" s="957">
        <v>2021</v>
      </c>
      <c r="F39" s="957">
        <v>2022</v>
      </c>
      <c r="G39" s="957">
        <v>2023</v>
      </c>
      <c r="H39" s="957">
        <v>2024</v>
      </c>
      <c r="I39" s="958">
        <v>2025</v>
      </c>
      <c r="J39" s="959">
        <v>2026</v>
      </c>
      <c r="K39" s="936">
        <v>2027</v>
      </c>
      <c r="L39" s="960">
        <v>2028</v>
      </c>
      <c r="M39" s="957" t="s">
        <v>962</v>
      </c>
    </row>
    <row r="40" spans="1:13" ht="39" customHeight="1">
      <c r="A40" s="939" t="s">
        <v>952</v>
      </c>
      <c r="B40" s="940" t="s">
        <v>953</v>
      </c>
      <c r="C40" s="946">
        <f>C11</f>
        <v>24949</v>
      </c>
      <c r="D40" s="942">
        <v>1432</v>
      </c>
      <c r="E40" s="942">
        <v>1432</v>
      </c>
      <c r="F40" s="942">
        <v>1432</v>
      </c>
      <c r="G40" s="942">
        <v>1432</v>
      </c>
      <c r="H40" s="942">
        <v>1432</v>
      </c>
      <c r="I40" s="942">
        <v>1432</v>
      </c>
      <c r="J40" s="942">
        <v>1432</v>
      </c>
      <c r="K40" s="942">
        <v>1432</v>
      </c>
      <c r="L40" s="945">
        <v>1432</v>
      </c>
      <c r="M40" s="942">
        <v>1432</v>
      </c>
    </row>
    <row r="41" spans="1:13" ht="33" customHeight="1">
      <c r="A41" s="939" t="s">
        <v>952</v>
      </c>
      <c r="B41" s="940" t="s">
        <v>954</v>
      </c>
      <c r="C41" s="946">
        <v>38125</v>
      </c>
      <c r="D41" s="942">
        <v>2500</v>
      </c>
      <c r="E41" s="942">
        <v>2500</v>
      </c>
      <c r="F41" s="942">
        <v>2500</v>
      </c>
      <c r="G41" s="942">
        <v>2500</v>
      </c>
      <c r="H41" s="942">
        <v>2500</v>
      </c>
      <c r="I41" s="943">
        <v>625</v>
      </c>
      <c r="J41" s="942">
        <v>0</v>
      </c>
      <c r="K41" s="942">
        <v>0</v>
      </c>
      <c r="L41" s="945">
        <v>0</v>
      </c>
      <c r="M41" s="946">
        <v>0</v>
      </c>
    </row>
    <row r="42" spans="1:13" ht="23.25" customHeight="1">
      <c r="A42" s="939" t="s">
        <v>952</v>
      </c>
      <c r="B42" s="940" t="s">
        <v>955</v>
      </c>
      <c r="C42" s="946">
        <v>129997</v>
      </c>
      <c r="D42" s="946">
        <v>8696</v>
      </c>
      <c r="E42" s="946">
        <v>8696</v>
      </c>
      <c r="F42" s="946">
        <v>8696</v>
      </c>
      <c r="G42" s="946">
        <v>8696</v>
      </c>
      <c r="H42" s="946">
        <v>8253</v>
      </c>
      <c r="I42" s="961">
        <v>0</v>
      </c>
      <c r="J42" s="946">
        <v>0</v>
      </c>
      <c r="K42" s="946">
        <v>0</v>
      </c>
      <c r="L42" s="947">
        <v>0</v>
      </c>
      <c r="M42" s="946">
        <v>0</v>
      </c>
    </row>
    <row r="43" spans="1:13" ht="30.75" customHeight="1">
      <c r="A43" s="948" t="s">
        <v>956</v>
      </c>
      <c r="B43" s="940" t="s">
        <v>957</v>
      </c>
      <c r="C43" s="946">
        <v>1181</v>
      </c>
      <c r="D43" s="946">
        <v>0</v>
      </c>
      <c r="E43" s="942">
        <v>0</v>
      </c>
      <c r="F43" s="942">
        <v>0</v>
      </c>
      <c r="G43" s="942">
        <v>0</v>
      </c>
      <c r="H43" s="942">
        <v>0</v>
      </c>
      <c r="I43" s="943">
        <v>0</v>
      </c>
      <c r="J43" s="942">
        <v>0</v>
      </c>
      <c r="K43" s="942">
        <v>0</v>
      </c>
      <c r="L43" s="945">
        <v>0</v>
      </c>
      <c r="M43" s="946">
        <v>0</v>
      </c>
    </row>
    <row r="44" spans="1:13" ht="21" customHeight="1">
      <c r="A44" s="939" t="s">
        <v>952</v>
      </c>
      <c r="B44" s="940" t="s">
        <v>958</v>
      </c>
      <c r="C44" s="941">
        <v>47060</v>
      </c>
      <c r="D44" s="946">
        <v>2940</v>
      </c>
      <c r="E44" s="946">
        <v>2940</v>
      </c>
      <c r="F44" s="946">
        <v>2940</v>
      </c>
      <c r="G44" s="946">
        <v>2940</v>
      </c>
      <c r="H44" s="946">
        <v>2940</v>
      </c>
      <c r="I44" s="961">
        <v>2960</v>
      </c>
      <c r="J44" s="946">
        <v>0</v>
      </c>
      <c r="K44" s="946">
        <v>0</v>
      </c>
      <c r="L44" s="947">
        <v>0</v>
      </c>
      <c r="M44" s="946">
        <v>0</v>
      </c>
    </row>
    <row r="45" spans="1:13" ht="21.75" customHeight="1">
      <c r="A45" s="939" t="s">
        <v>959</v>
      </c>
      <c r="B45" s="940" t="s">
        <v>960</v>
      </c>
      <c r="C45" s="946">
        <v>3005480</v>
      </c>
      <c r="D45" s="424">
        <v>97446</v>
      </c>
      <c r="E45" s="170">
        <v>102213</v>
      </c>
      <c r="F45" s="424">
        <v>105390</v>
      </c>
      <c r="G45" s="424">
        <v>108038</v>
      </c>
      <c r="H45" s="170">
        <v>112804</v>
      </c>
      <c r="I45" s="424">
        <v>118630</v>
      </c>
      <c r="J45" s="424">
        <v>126045</v>
      </c>
      <c r="K45" s="424">
        <v>67789</v>
      </c>
      <c r="L45" s="155">
        <v>1570000</v>
      </c>
      <c r="M45" s="946">
        <v>0</v>
      </c>
    </row>
    <row r="46" spans="1:13" ht="23.25" customHeight="1">
      <c r="A46" s="962" t="s">
        <v>416</v>
      </c>
      <c r="B46" s="963" t="s">
        <v>961</v>
      </c>
      <c r="C46" s="964">
        <f>SUM(C40:C45)</f>
        <v>3246792</v>
      </c>
      <c r="D46" s="965">
        <f aca="true" t="shared" si="1" ref="D46:M46">SUM(D40:D45)</f>
        <v>113014</v>
      </c>
      <c r="E46" s="965">
        <f t="shared" si="1"/>
        <v>117781</v>
      </c>
      <c r="F46" s="965">
        <f t="shared" si="1"/>
        <v>120958</v>
      </c>
      <c r="G46" s="965">
        <f t="shared" si="1"/>
        <v>123606</v>
      </c>
      <c r="H46" s="965">
        <f t="shared" si="1"/>
        <v>127929</v>
      </c>
      <c r="I46" s="965">
        <f t="shared" si="1"/>
        <v>123647</v>
      </c>
      <c r="J46" s="965">
        <f t="shared" si="1"/>
        <v>127477</v>
      </c>
      <c r="K46" s="966">
        <f t="shared" si="1"/>
        <v>69221</v>
      </c>
      <c r="L46" s="967">
        <f t="shared" si="1"/>
        <v>1571432</v>
      </c>
      <c r="M46" s="965">
        <f t="shared" si="1"/>
        <v>1432</v>
      </c>
    </row>
    <row r="47" ht="12.75">
      <c r="M47" s="55"/>
    </row>
    <row r="48" ht="12.75">
      <c r="M48" s="55"/>
    </row>
    <row r="49" ht="12.75">
      <c r="M49" s="55"/>
    </row>
    <row r="50" ht="12.75">
      <c r="M50" s="55"/>
    </row>
    <row r="51" ht="12.75">
      <c r="M51" s="55"/>
    </row>
    <row r="52" ht="12.75">
      <c r="M52" s="55"/>
    </row>
    <row r="55" spans="1:13" ht="12.75">
      <c r="A55" s="1051">
        <v>3</v>
      </c>
      <c r="B55" s="1051"/>
      <c r="C55" s="1051"/>
      <c r="D55" s="1051"/>
      <c r="E55" s="1051"/>
      <c r="F55" s="1051"/>
      <c r="G55" s="1051"/>
      <c r="H55" s="1051"/>
      <c r="I55" s="1051"/>
      <c r="J55" s="1051"/>
      <c r="K55" s="1051"/>
      <c r="L55" s="1051"/>
      <c r="M55" s="1051"/>
    </row>
    <row r="56" spans="1:12" ht="12.7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8" spans="4:10" ht="12.75">
      <c r="D58" s="661"/>
      <c r="J58" s="661" t="s">
        <v>947</v>
      </c>
    </row>
    <row r="60" spans="1:12" ht="18">
      <c r="A60" s="1086" t="s">
        <v>873</v>
      </c>
      <c r="B60" s="1086"/>
      <c r="C60" s="1086"/>
      <c r="D60" s="1086"/>
      <c r="E60" s="1086"/>
      <c r="F60" s="1086"/>
      <c r="G60" s="1086"/>
      <c r="H60" s="1086"/>
      <c r="I60" s="1086"/>
      <c r="J60" s="1086"/>
      <c r="K60" s="1086"/>
      <c r="L60" s="1086"/>
    </row>
    <row r="61" spans="1:12" ht="18">
      <c r="A61" s="1066" t="s">
        <v>948</v>
      </c>
      <c r="B61" s="1066"/>
      <c r="C61" s="1066"/>
      <c r="D61" s="1066"/>
      <c r="E61" s="1066"/>
      <c r="F61" s="1066"/>
      <c r="G61" s="1066"/>
      <c r="H61" s="1066"/>
      <c r="I61" s="1066"/>
      <c r="J61" s="1066"/>
      <c r="K61" s="1066"/>
      <c r="L61" s="1066"/>
    </row>
    <row r="62" spans="1:5" ht="18">
      <c r="A62" s="932"/>
      <c r="B62" s="932"/>
      <c r="C62" s="932"/>
      <c r="D62" s="932"/>
      <c r="E62" s="932"/>
    </row>
    <row r="63" spans="7:13" ht="12.75">
      <c r="G63" s="1065"/>
      <c r="H63" s="1065"/>
      <c r="I63" s="1065"/>
      <c r="J63" s="1065"/>
      <c r="K63" s="628" t="s">
        <v>504</v>
      </c>
      <c r="M63" s="55"/>
    </row>
    <row r="64" spans="1:13" ht="14.25">
      <c r="A64" s="1105" t="s">
        <v>949</v>
      </c>
      <c r="B64" s="1106" t="s">
        <v>915</v>
      </c>
      <c r="C64" s="1107" t="s">
        <v>963</v>
      </c>
      <c r="D64" s="1108" t="s">
        <v>951</v>
      </c>
      <c r="E64" s="1108"/>
      <c r="F64" s="1108"/>
      <c r="G64" s="1108"/>
      <c r="H64" s="1108"/>
      <c r="I64" s="1108"/>
      <c r="J64" s="1108"/>
      <c r="K64" s="1108"/>
      <c r="L64" s="1108"/>
      <c r="M64" s="1108"/>
    </row>
    <row r="65" spans="1:13" ht="39" customHeight="1">
      <c r="A65" s="1105"/>
      <c r="B65" s="1106"/>
      <c r="C65" s="1106"/>
      <c r="D65" s="957" t="s">
        <v>964</v>
      </c>
      <c r="E65" s="957" t="s">
        <v>965</v>
      </c>
      <c r="F65" s="957" t="s">
        <v>966</v>
      </c>
      <c r="G65" s="957" t="s">
        <v>967</v>
      </c>
      <c r="H65" s="957" t="s">
        <v>968</v>
      </c>
      <c r="I65" s="957" t="s">
        <v>969</v>
      </c>
      <c r="J65" s="957" t="s">
        <v>970</v>
      </c>
      <c r="K65" s="957" t="s">
        <v>971</v>
      </c>
      <c r="L65" s="957" t="s">
        <v>972</v>
      </c>
      <c r="M65" s="957" t="s">
        <v>973</v>
      </c>
    </row>
    <row r="66" spans="1:13" ht="38.25" customHeight="1">
      <c r="A66" s="939" t="s">
        <v>952</v>
      </c>
      <c r="B66" s="940" t="s">
        <v>953</v>
      </c>
      <c r="C66" s="946">
        <f>C11</f>
        <v>24949</v>
      </c>
      <c r="D66" s="942">
        <v>963</v>
      </c>
      <c r="E66" s="942"/>
      <c r="F66" s="942">
        <v>0</v>
      </c>
      <c r="G66" s="942">
        <v>0</v>
      </c>
      <c r="H66" s="942">
        <v>0</v>
      </c>
      <c r="I66" s="942">
        <v>0</v>
      </c>
      <c r="J66" s="942">
        <v>0</v>
      </c>
      <c r="K66" s="942">
        <v>0</v>
      </c>
      <c r="L66" s="942">
        <v>0</v>
      </c>
      <c r="M66" s="945">
        <v>0</v>
      </c>
    </row>
    <row r="67" spans="1:13" ht="34.5" customHeight="1">
      <c r="A67" s="939" t="s">
        <v>952</v>
      </c>
      <c r="B67" s="940" t="s">
        <v>954</v>
      </c>
      <c r="C67" s="946">
        <f>C12</f>
        <v>38125</v>
      </c>
      <c r="D67" s="946">
        <v>0</v>
      </c>
      <c r="E67" s="946"/>
      <c r="F67" s="946">
        <v>0</v>
      </c>
      <c r="G67" s="946">
        <v>0</v>
      </c>
      <c r="H67" s="946">
        <v>0</v>
      </c>
      <c r="I67" s="946">
        <v>0</v>
      </c>
      <c r="J67" s="946">
        <v>0</v>
      </c>
      <c r="K67" s="946">
        <v>0</v>
      </c>
      <c r="L67" s="946">
        <v>0</v>
      </c>
      <c r="M67" s="947">
        <v>0</v>
      </c>
    </row>
    <row r="68" spans="1:13" ht="29.25" customHeight="1">
      <c r="A68" s="939" t="s">
        <v>952</v>
      </c>
      <c r="B68" s="940" t="s">
        <v>955</v>
      </c>
      <c r="C68" s="946">
        <f>C13</f>
        <v>129997</v>
      </c>
      <c r="D68" s="946">
        <v>0</v>
      </c>
      <c r="E68" s="946"/>
      <c r="F68" s="946">
        <v>0</v>
      </c>
      <c r="G68" s="946">
        <v>0</v>
      </c>
      <c r="H68" s="946">
        <v>0</v>
      </c>
      <c r="I68" s="946">
        <v>0</v>
      </c>
      <c r="J68" s="946">
        <v>0</v>
      </c>
      <c r="K68" s="946">
        <v>0</v>
      </c>
      <c r="L68" s="946">
        <v>0</v>
      </c>
      <c r="M68" s="947">
        <v>0</v>
      </c>
    </row>
    <row r="69" spans="1:13" ht="29.25" customHeight="1">
      <c r="A69" s="948" t="s">
        <v>956</v>
      </c>
      <c r="B69" s="940" t="s">
        <v>957</v>
      </c>
      <c r="C69" s="946">
        <f>C14</f>
        <v>1181</v>
      </c>
      <c r="D69" s="946">
        <v>0</v>
      </c>
      <c r="E69" s="946"/>
      <c r="F69" s="942">
        <v>0</v>
      </c>
      <c r="G69" s="942">
        <v>0</v>
      </c>
      <c r="H69" s="942">
        <v>0</v>
      </c>
      <c r="I69" s="942">
        <v>0</v>
      </c>
      <c r="J69" s="943">
        <v>0</v>
      </c>
      <c r="K69" s="942">
        <v>0</v>
      </c>
      <c r="L69" s="942">
        <v>0</v>
      </c>
      <c r="M69" s="945">
        <v>0</v>
      </c>
    </row>
    <row r="70" spans="1:13" ht="21.75" customHeight="1">
      <c r="A70" s="939" t="s">
        <v>952</v>
      </c>
      <c r="B70" s="940" t="s">
        <v>958</v>
      </c>
      <c r="C70" s="941">
        <f>C15</f>
        <v>47060</v>
      </c>
      <c r="D70" s="946">
        <v>0</v>
      </c>
      <c r="E70" s="946"/>
      <c r="F70" s="946">
        <v>0</v>
      </c>
      <c r="G70" s="946">
        <v>0</v>
      </c>
      <c r="H70" s="946">
        <v>0</v>
      </c>
      <c r="I70" s="946">
        <v>0</v>
      </c>
      <c r="J70" s="946">
        <v>0</v>
      </c>
      <c r="K70" s="946">
        <v>0</v>
      </c>
      <c r="L70" s="946">
        <v>0</v>
      </c>
      <c r="M70" s="947">
        <v>0</v>
      </c>
    </row>
    <row r="71" spans="1:13" ht="24" customHeight="1">
      <c r="A71" s="939" t="s">
        <v>959</v>
      </c>
      <c r="B71" s="940" t="s">
        <v>960</v>
      </c>
      <c r="C71" s="946">
        <v>3005480</v>
      </c>
      <c r="D71" s="946">
        <v>0</v>
      </c>
      <c r="E71" s="946"/>
      <c r="F71" s="946">
        <v>0</v>
      </c>
      <c r="G71" s="946">
        <v>0</v>
      </c>
      <c r="H71" s="946">
        <v>0</v>
      </c>
      <c r="I71" s="946">
        <v>0</v>
      </c>
      <c r="J71" s="946">
        <v>0</v>
      </c>
      <c r="K71" s="946">
        <v>0</v>
      </c>
      <c r="L71" s="946">
        <v>0</v>
      </c>
      <c r="M71" s="947">
        <v>0</v>
      </c>
    </row>
    <row r="72" spans="1:13" ht="24" customHeight="1">
      <c r="A72" s="962" t="s">
        <v>416</v>
      </c>
      <c r="B72" s="963" t="s">
        <v>961</v>
      </c>
      <c r="C72" s="964">
        <f>SUM(C66:C71)</f>
        <v>3246792</v>
      </c>
      <c r="D72" s="965">
        <f>SUM(D66:D71)</f>
        <v>963</v>
      </c>
      <c r="E72" s="965">
        <f aca="true" t="shared" si="2" ref="E72:M72">SUM(E66:E71)</f>
        <v>0</v>
      </c>
      <c r="F72" s="965">
        <f t="shared" si="2"/>
        <v>0</v>
      </c>
      <c r="G72" s="965">
        <f t="shared" si="2"/>
        <v>0</v>
      </c>
      <c r="H72" s="965">
        <f t="shared" si="2"/>
        <v>0</v>
      </c>
      <c r="I72" s="965">
        <f t="shared" si="2"/>
        <v>0</v>
      </c>
      <c r="J72" s="965">
        <f t="shared" si="2"/>
        <v>0</v>
      </c>
      <c r="K72" s="965">
        <f t="shared" si="2"/>
        <v>0</v>
      </c>
      <c r="L72" s="966">
        <f t="shared" si="2"/>
        <v>0</v>
      </c>
      <c r="M72" s="967">
        <f t="shared" si="2"/>
        <v>0</v>
      </c>
    </row>
  </sheetData>
  <sheetProtection/>
  <mergeCells count="23">
    <mergeCell ref="A4:L4"/>
    <mergeCell ref="A5:L5"/>
    <mergeCell ref="G8:J8"/>
    <mergeCell ref="A9:A10"/>
    <mergeCell ref="B9:B10"/>
    <mergeCell ref="C9:C10"/>
    <mergeCell ref="D9:M9"/>
    <mergeCell ref="A29:M29"/>
    <mergeCell ref="A34:L34"/>
    <mergeCell ref="A35:L35"/>
    <mergeCell ref="G37:J37"/>
    <mergeCell ref="A38:A39"/>
    <mergeCell ref="B38:B39"/>
    <mergeCell ref="C38:C39"/>
    <mergeCell ref="D38:M38"/>
    <mergeCell ref="A55:M55"/>
    <mergeCell ref="A60:L60"/>
    <mergeCell ref="A61:L61"/>
    <mergeCell ref="G63:J63"/>
    <mergeCell ref="A64:A65"/>
    <mergeCell ref="B64:B65"/>
    <mergeCell ref="C64:C65"/>
    <mergeCell ref="D64:M64"/>
  </mergeCells>
  <printOptions/>
  <pageMargins left="0.7000000000000001" right="0.7000000000000001" top="0.75" bottom="0.75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3.00390625" style="0" customWidth="1"/>
    <col min="2" max="2" width="14.28125" style="0" customWidth="1"/>
    <col min="3" max="3" width="15.140625" style="0" customWidth="1"/>
    <col min="4" max="4" width="15.7109375" style="0" customWidth="1"/>
  </cols>
  <sheetData>
    <row r="1" spans="1:4" ht="14.25">
      <c r="A1" s="44"/>
      <c r="B1" s="44"/>
      <c r="C1" s="1043" t="s">
        <v>77</v>
      </c>
      <c r="D1" s="1043"/>
    </row>
    <row r="2" spans="1:4" ht="15.75">
      <c r="A2" s="1042" t="s">
        <v>78</v>
      </c>
      <c r="B2" s="1042"/>
      <c r="C2" s="1042"/>
      <c r="D2" s="1042"/>
    </row>
    <row r="3" spans="1:4" ht="15.75">
      <c r="A3" s="1042" t="s">
        <v>79</v>
      </c>
      <c r="B3" s="1042"/>
      <c r="C3" s="1042"/>
      <c r="D3" s="1042"/>
    </row>
    <row r="4" ht="6.75" customHeight="1"/>
    <row r="5" ht="12.75">
      <c r="D5" s="49" t="s">
        <v>80</v>
      </c>
    </row>
    <row r="6" spans="1:4" ht="29.25" customHeight="1">
      <c r="A6" s="105" t="s">
        <v>81</v>
      </c>
      <c r="B6" s="106" t="s">
        <v>82</v>
      </c>
      <c r="C6" s="106" t="s">
        <v>83</v>
      </c>
      <c r="D6" s="107" t="s">
        <v>84</v>
      </c>
    </row>
    <row r="7" spans="1:4" ht="12.75">
      <c r="A7" s="88" t="s">
        <v>42</v>
      </c>
      <c r="B7" s="89"/>
      <c r="C7" s="72"/>
      <c r="D7" s="72"/>
    </row>
    <row r="8" spans="1:4" ht="12.75">
      <c r="A8" s="90" t="s">
        <v>43</v>
      </c>
      <c r="B8" s="57">
        <v>140833</v>
      </c>
      <c r="C8" s="57">
        <v>195413</v>
      </c>
      <c r="D8" s="57">
        <f>SUM(B8:C8)</f>
        <v>336246</v>
      </c>
    </row>
    <row r="9" spans="1:4" ht="12.75">
      <c r="A9" s="108" t="s">
        <v>44</v>
      </c>
      <c r="B9" s="57">
        <v>36859</v>
      </c>
      <c r="C9" s="68">
        <v>51405</v>
      </c>
      <c r="D9" s="57">
        <f aca="true" t="shared" si="0" ref="D9:D15">SUM(B9:C9)</f>
        <v>88264</v>
      </c>
    </row>
    <row r="10" spans="1:4" ht="12.75">
      <c r="A10" s="108" t="s">
        <v>45</v>
      </c>
      <c r="B10" s="57">
        <v>128055</v>
      </c>
      <c r="C10" s="68">
        <v>20552</v>
      </c>
      <c r="D10" s="57">
        <f t="shared" si="0"/>
        <v>148607</v>
      </c>
    </row>
    <row r="11" spans="1:4" ht="12.75">
      <c r="A11" s="108" t="s">
        <v>85</v>
      </c>
      <c r="B11" s="68"/>
      <c r="C11" s="68"/>
      <c r="D11" s="57">
        <f t="shared" si="0"/>
        <v>0</v>
      </c>
    </row>
    <row r="12" spans="1:4" ht="12.75">
      <c r="A12" s="108" t="s">
        <v>47</v>
      </c>
      <c r="B12" s="57">
        <v>0</v>
      </c>
      <c r="C12" s="68"/>
      <c r="D12" s="57">
        <f t="shared" si="0"/>
        <v>0</v>
      </c>
    </row>
    <row r="13" spans="1:4" ht="12.75">
      <c r="A13" s="109" t="s">
        <v>86</v>
      </c>
      <c r="B13" s="57">
        <v>0</v>
      </c>
      <c r="C13" s="68">
        <v>0</v>
      </c>
      <c r="D13" s="57">
        <f t="shared" si="0"/>
        <v>0</v>
      </c>
    </row>
    <row r="14" spans="1:4" ht="12.75">
      <c r="A14" s="109" t="s">
        <v>87</v>
      </c>
      <c r="B14" s="57"/>
      <c r="C14" s="68"/>
      <c r="D14" s="57">
        <f t="shared" si="0"/>
        <v>0</v>
      </c>
    </row>
    <row r="15" spans="1:4" ht="12.75">
      <c r="A15" s="110" t="s">
        <v>88</v>
      </c>
      <c r="B15" s="57">
        <v>0</v>
      </c>
      <c r="C15" s="57">
        <v>0</v>
      </c>
      <c r="D15" s="57">
        <f t="shared" si="0"/>
        <v>0</v>
      </c>
    </row>
    <row r="16" spans="1:4" s="112" customFormat="1" ht="12.75">
      <c r="A16" s="111" t="s">
        <v>89</v>
      </c>
      <c r="B16" s="63">
        <f>SUM(B8:B13)</f>
        <v>305747</v>
      </c>
      <c r="C16" s="63">
        <f>SUM(C8:C13)</f>
        <v>267370</v>
      </c>
      <c r="D16" s="63">
        <f>SUM(D8:D13)</f>
        <v>573117</v>
      </c>
    </row>
    <row r="17" spans="1:4" ht="12.75">
      <c r="A17" s="86"/>
      <c r="B17" s="72"/>
      <c r="C17" s="113"/>
      <c r="D17" s="84"/>
    </row>
    <row r="18" spans="1:4" ht="12.75">
      <c r="A18" s="114" t="s">
        <v>51</v>
      </c>
      <c r="B18" s="68"/>
      <c r="C18" s="115"/>
      <c r="D18" s="68"/>
    </row>
    <row r="19" spans="1:4" ht="12.75">
      <c r="A19" s="108" t="s">
        <v>52</v>
      </c>
      <c r="B19" s="57"/>
      <c r="C19" s="115"/>
      <c r="D19" s="68">
        <f>SUM(B19:C19)</f>
        <v>0</v>
      </c>
    </row>
    <row r="20" spans="1:4" ht="12.75">
      <c r="A20" s="108" t="s">
        <v>90</v>
      </c>
      <c r="B20" s="57">
        <v>0</v>
      </c>
      <c r="C20" s="115">
        <v>0</v>
      </c>
      <c r="D20" s="68">
        <f>SUM(B20:C20)</f>
        <v>0</v>
      </c>
    </row>
    <row r="21" spans="1:4" ht="12.75">
      <c r="A21" s="108" t="s">
        <v>54</v>
      </c>
      <c r="B21" s="57">
        <v>0</v>
      </c>
      <c r="C21" s="115">
        <v>0</v>
      </c>
      <c r="D21" s="68">
        <f>SUM(B21:C21)</f>
        <v>0</v>
      </c>
    </row>
    <row r="22" spans="1:4" ht="12.75">
      <c r="A22" s="116" t="s">
        <v>55</v>
      </c>
      <c r="B22" s="68">
        <f>-B11</f>
        <v>0</v>
      </c>
      <c r="C22" s="68">
        <f>-C11</f>
        <v>0</v>
      </c>
      <c r="D22" s="68">
        <f>SUM(B22:C22)</f>
        <v>0</v>
      </c>
    </row>
    <row r="23" spans="1:4" s="112" customFormat="1" ht="12.75">
      <c r="A23" s="111" t="s">
        <v>91</v>
      </c>
      <c r="B23" s="63">
        <f>SUM(B19:B22)</f>
        <v>0</v>
      </c>
      <c r="C23" s="63">
        <f>SUM(C19:C22)</f>
        <v>0</v>
      </c>
      <c r="D23" s="63">
        <f>SUM(D19:D22)</f>
        <v>0</v>
      </c>
    </row>
    <row r="24" spans="1:4" ht="12.75">
      <c r="A24" s="117"/>
      <c r="B24" s="72"/>
      <c r="C24" s="92"/>
      <c r="D24" s="72"/>
    </row>
    <row r="25" spans="1:4" ht="12.75">
      <c r="A25" s="117" t="s">
        <v>92</v>
      </c>
      <c r="B25" s="84"/>
      <c r="C25" s="92"/>
      <c r="D25" s="84"/>
    </row>
    <row r="26" spans="1:4" ht="12.75">
      <c r="A26" s="118" t="s">
        <v>58</v>
      </c>
      <c r="B26" s="57"/>
      <c r="C26" s="58">
        <v>0</v>
      </c>
      <c r="D26" s="57">
        <f>SUM(B26:C26)</f>
        <v>0</v>
      </c>
    </row>
    <row r="27" spans="1:4" ht="12.75">
      <c r="A27" s="119" t="s">
        <v>59</v>
      </c>
      <c r="B27" s="98">
        <v>0</v>
      </c>
      <c r="C27" s="92">
        <v>0</v>
      </c>
      <c r="D27" s="57">
        <f>SUM(B27:C27)</f>
        <v>0</v>
      </c>
    </row>
    <row r="28" spans="1:4" s="112" customFormat="1" ht="12.75">
      <c r="A28" s="111" t="s">
        <v>93</v>
      </c>
      <c r="B28" s="63">
        <f>SUM(B26:B27)</f>
        <v>0</v>
      </c>
      <c r="C28" s="81">
        <f>SUM(C26:C27)</f>
        <v>0</v>
      </c>
      <c r="D28" s="81">
        <f>SUM(D26:D27)</f>
        <v>0</v>
      </c>
    </row>
    <row r="29" spans="1:4" ht="12.75">
      <c r="A29" s="117"/>
      <c r="B29" s="84"/>
      <c r="C29" s="84"/>
      <c r="D29" s="84"/>
    </row>
    <row r="30" spans="1:4" ht="12.75">
      <c r="A30" s="120" t="s">
        <v>94</v>
      </c>
      <c r="B30" s="84"/>
      <c r="C30" s="84"/>
      <c r="D30" s="84"/>
    </row>
    <row r="31" spans="1:4" ht="12.75">
      <c r="A31" s="118" t="s">
        <v>58</v>
      </c>
      <c r="B31" s="57">
        <v>0</v>
      </c>
      <c r="C31" s="57">
        <v>0</v>
      </c>
      <c r="D31" s="57">
        <f>SUM(B31:C31)</f>
        <v>0</v>
      </c>
    </row>
    <row r="32" spans="1:4" ht="12.75">
      <c r="A32" s="121" t="s">
        <v>59</v>
      </c>
      <c r="B32" s="78">
        <v>0</v>
      </c>
      <c r="C32" s="78">
        <v>0</v>
      </c>
      <c r="D32" s="57">
        <f>SUM(B32:C32)</f>
        <v>0</v>
      </c>
    </row>
    <row r="33" spans="1:4" ht="12.75">
      <c r="A33" s="111" t="s">
        <v>95</v>
      </c>
      <c r="B33" s="63">
        <f>B31+B32</f>
        <v>0</v>
      </c>
      <c r="C33" s="81">
        <f>C31+C32</f>
        <v>0</v>
      </c>
      <c r="D33" s="81">
        <f>D31+D32</f>
        <v>0</v>
      </c>
    </row>
    <row r="34" spans="1:4" ht="12.75">
      <c r="A34" s="117"/>
      <c r="B34" s="84"/>
      <c r="C34" s="84"/>
      <c r="D34" s="84"/>
    </row>
    <row r="35" spans="1:4" ht="12.75">
      <c r="A35" s="122" t="s">
        <v>63</v>
      </c>
      <c r="B35" s="98"/>
      <c r="C35" s="98"/>
      <c r="D35" s="98"/>
    </row>
    <row r="36" spans="1:4" ht="12.75">
      <c r="A36" s="90" t="s">
        <v>96</v>
      </c>
      <c r="B36" s="68">
        <v>0</v>
      </c>
      <c r="C36" s="68">
        <v>0</v>
      </c>
      <c r="D36" s="68">
        <f>SUM(B36:C36)</f>
        <v>0</v>
      </c>
    </row>
    <row r="37" spans="1:4" ht="12.75">
      <c r="A37" s="123" t="s">
        <v>97</v>
      </c>
      <c r="B37" s="98">
        <v>0</v>
      </c>
      <c r="C37" s="98">
        <v>0</v>
      </c>
      <c r="D37" s="57">
        <f>SUM(B37:C37)</f>
        <v>0</v>
      </c>
    </row>
    <row r="38" spans="1:4" ht="12.75">
      <c r="A38" s="86" t="s">
        <v>98</v>
      </c>
      <c r="B38" s="63">
        <f>B36+B37</f>
        <v>0</v>
      </c>
      <c r="C38" s="81">
        <f>C36+C37</f>
        <v>0</v>
      </c>
      <c r="D38" s="81">
        <f>D36+D37</f>
        <v>0</v>
      </c>
    </row>
    <row r="39" spans="1:4" ht="12.75">
      <c r="A39" s="86"/>
      <c r="B39" s="72"/>
      <c r="C39" s="72"/>
      <c r="D39" s="72"/>
    </row>
    <row r="40" spans="1:4" ht="12.75">
      <c r="A40" s="124" t="s">
        <v>67</v>
      </c>
      <c r="B40" s="57"/>
      <c r="C40" s="57"/>
      <c r="D40" s="57"/>
    </row>
    <row r="41" spans="1:4" ht="12.75">
      <c r="A41" s="90" t="s">
        <v>68</v>
      </c>
      <c r="B41" s="68">
        <v>0</v>
      </c>
      <c r="C41" s="57">
        <v>0</v>
      </c>
      <c r="D41" s="57">
        <f>SUM(B41:C41)</f>
        <v>0</v>
      </c>
    </row>
    <row r="42" spans="1:4" ht="12.75">
      <c r="A42" s="91" t="s">
        <v>69</v>
      </c>
      <c r="B42" s="68">
        <v>0</v>
      </c>
      <c r="C42" s="84">
        <v>0</v>
      </c>
      <c r="D42" s="57">
        <f>SUM(B42:C42)</f>
        <v>0</v>
      </c>
    </row>
    <row r="43" spans="1:4" ht="12.75">
      <c r="A43" s="111" t="s">
        <v>70</v>
      </c>
      <c r="B43" s="80">
        <f>B41+B42</f>
        <v>0</v>
      </c>
      <c r="C43" s="80">
        <f>C41+C42</f>
        <v>0</v>
      </c>
      <c r="D43" s="63">
        <f>D41+D42</f>
        <v>0</v>
      </c>
    </row>
    <row r="44" spans="1:4" ht="11.25" customHeight="1">
      <c r="A44" s="111"/>
      <c r="B44" s="125"/>
      <c r="C44" s="72"/>
      <c r="D44" s="72"/>
    </row>
    <row r="45" spans="1:4" s="112" customFormat="1" ht="12.75">
      <c r="A45" s="126" t="s">
        <v>99</v>
      </c>
      <c r="B45" s="127">
        <f>B43+B38+B33+B28+B23+B16</f>
        <v>305747</v>
      </c>
      <c r="C45" s="63">
        <f>SUM(C43+C38+C33+C28+C23+C16)</f>
        <v>267370</v>
      </c>
      <c r="D45" s="63">
        <f>SUM(D43+D38+D33+D28+D23+D16)</f>
        <v>573117</v>
      </c>
    </row>
    <row r="46" spans="1:4" ht="12.75" customHeight="1">
      <c r="A46" s="128"/>
      <c r="B46" s="129"/>
      <c r="C46" s="87"/>
      <c r="D46" s="87"/>
    </row>
    <row r="47" spans="1:4" ht="12.75">
      <c r="A47" s="88" t="s">
        <v>100</v>
      </c>
      <c r="B47" s="130"/>
      <c r="C47" s="89"/>
      <c r="D47" s="131"/>
    </row>
    <row r="48" spans="1:4" s="101" customFormat="1" ht="12.75">
      <c r="A48" s="90" t="s">
        <v>73</v>
      </c>
      <c r="B48" s="132">
        <v>0</v>
      </c>
      <c r="C48" s="133">
        <v>0</v>
      </c>
      <c r="D48" s="134">
        <v>0</v>
      </c>
    </row>
    <row r="49" spans="1:4" s="101" customFormat="1" ht="12.75">
      <c r="A49" s="135" t="s">
        <v>101</v>
      </c>
      <c r="B49" s="136">
        <v>0</v>
      </c>
      <c r="C49" s="137">
        <v>0</v>
      </c>
      <c r="D49" s="138">
        <v>0</v>
      </c>
    </row>
    <row r="50" spans="1:4" ht="12.75">
      <c r="A50" s="111" t="s">
        <v>75</v>
      </c>
      <c r="B50" s="80">
        <f>B48+B49</f>
        <v>0</v>
      </c>
      <c r="C50" s="63">
        <f>C48+C49</f>
        <v>0</v>
      </c>
      <c r="D50" s="63">
        <f>D48+D49</f>
        <v>0</v>
      </c>
    </row>
    <row r="51" spans="1:4" ht="12.75">
      <c r="A51" s="117"/>
      <c r="B51" s="71"/>
      <c r="C51" s="84"/>
      <c r="D51" s="84"/>
    </row>
    <row r="52" spans="1:4" ht="12.75">
      <c r="A52" s="139" t="s">
        <v>102</v>
      </c>
      <c r="B52" s="63">
        <f>SUM(B50+B45)</f>
        <v>305747</v>
      </c>
      <c r="C52" s="63">
        <f>SUM(C50+C45)</f>
        <v>267370</v>
      </c>
      <c r="D52" s="81">
        <f>SUM(D50+D45)</f>
        <v>573117</v>
      </c>
    </row>
    <row r="57" ht="6" customHeight="1"/>
    <row r="59" ht="15.75" customHeight="1"/>
    <row r="60" ht="24.75" customHeight="1"/>
    <row r="70" s="112" customFormat="1" ht="12.75"/>
    <row r="77" s="112" customFormat="1" ht="12.75"/>
    <row r="82" s="112" customFormat="1" ht="12.75"/>
    <row r="87" s="112" customFormat="1" ht="12.75"/>
    <row r="92" s="112" customFormat="1" ht="12.75"/>
    <row r="97" s="112" customFormat="1" ht="12.75"/>
    <row r="98" ht="12" customHeight="1"/>
    <row r="99" s="112" customFormat="1" ht="12.75"/>
    <row r="100" ht="11.25" customHeight="1"/>
    <row r="104" s="112" customFormat="1" ht="12.75"/>
    <row r="105" ht="9.75" customHeight="1"/>
    <row r="106" s="112" customFormat="1" ht="15" customHeight="1"/>
  </sheetData>
  <sheetProtection/>
  <mergeCells count="3">
    <mergeCell ref="C1:D1"/>
    <mergeCell ref="A2:D2"/>
    <mergeCell ref="A3:D3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43.140625" style="0" customWidth="1"/>
    <col min="2" max="2" width="17.140625" style="0" customWidth="1"/>
    <col min="3" max="3" width="18.140625" style="0" customWidth="1"/>
  </cols>
  <sheetData>
    <row r="1" ht="15">
      <c r="C1" s="835" t="s">
        <v>974</v>
      </c>
    </row>
    <row r="2" ht="14.25">
      <c r="C2" s="407"/>
    </row>
    <row r="3" spans="1:3" ht="15.75">
      <c r="A3" s="1077" t="s">
        <v>873</v>
      </c>
      <c r="B3" s="1077"/>
      <c r="C3" s="1077"/>
    </row>
    <row r="4" spans="1:3" ht="15.75">
      <c r="A4" s="1042" t="s">
        <v>975</v>
      </c>
      <c r="B4" s="1042"/>
      <c r="C4" s="1042"/>
    </row>
    <row r="5" spans="1:3" ht="15.75">
      <c r="A5" s="1042" t="s">
        <v>2</v>
      </c>
      <c r="B5" s="1042"/>
      <c r="C5" s="1042"/>
    </row>
    <row r="6" spans="1:3" ht="15.75">
      <c r="A6" s="45"/>
      <c r="B6" s="45"/>
      <c r="C6" s="45"/>
    </row>
    <row r="7" ht="12.75">
      <c r="C7" s="968" t="s">
        <v>80</v>
      </c>
    </row>
    <row r="8" spans="1:3" ht="15.75">
      <c r="A8" s="1112" t="s">
        <v>976</v>
      </c>
      <c r="B8" s="105" t="s">
        <v>977</v>
      </c>
      <c r="C8" s="969"/>
    </row>
    <row r="9" spans="1:3" ht="15.75">
      <c r="A9" s="1112"/>
      <c r="B9" s="970" t="s">
        <v>978</v>
      </c>
      <c r="C9" s="510" t="s">
        <v>979</v>
      </c>
    </row>
    <row r="10" spans="1:3" ht="15">
      <c r="A10" s="805" t="s">
        <v>886</v>
      </c>
      <c r="B10" s="839"/>
      <c r="C10" s="839"/>
    </row>
    <row r="11" spans="1:3" ht="15">
      <c r="A11" s="805" t="s">
        <v>980</v>
      </c>
      <c r="B11" s="839"/>
      <c r="C11" s="839"/>
    </row>
    <row r="12" spans="1:3" ht="15">
      <c r="A12" s="805"/>
      <c r="B12" s="839"/>
      <c r="C12" s="839"/>
    </row>
    <row r="13" spans="1:3" ht="15">
      <c r="A13" s="805"/>
      <c r="B13" s="839"/>
      <c r="C13" s="839"/>
    </row>
    <row r="14" spans="1:3" ht="15">
      <c r="A14" s="805"/>
      <c r="B14" s="839"/>
      <c r="C14" s="839"/>
    </row>
    <row r="15" spans="1:3" ht="15">
      <c r="A15" s="971"/>
      <c r="B15" s="972"/>
      <c r="C15" s="972"/>
    </row>
    <row r="16" spans="1:3" ht="15.75">
      <c r="A16" s="518" t="s">
        <v>187</v>
      </c>
      <c r="B16" s="973"/>
      <c r="C16" s="973"/>
    </row>
    <row r="17" spans="1:2" ht="12.75">
      <c r="A17" s="399"/>
      <c r="B17" s="55"/>
    </row>
    <row r="18" spans="1:2" ht="12.75">
      <c r="A18" s="399"/>
      <c r="B18" s="55"/>
    </row>
    <row r="19" ht="15">
      <c r="C19" s="835" t="s">
        <v>981</v>
      </c>
    </row>
    <row r="21" spans="1:3" ht="15.75">
      <c r="A21" s="1077" t="s">
        <v>873</v>
      </c>
      <c r="B21" s="1077"/>
      <c r="C21" s="1077"/>
    </row>
    <row r="22" spans="1:3" ht="15.75">
      <c r="A22" s="1042" t="s">
        <v>982</v>
      </c>
      <c r="B22" s="1042"/>
      <c r="C22" s="1042"/>
    </row>
    <row r="23" spans="1:3" ht="15.75">
      <c r="A23" s="1042" t="s">
        <v>2</v>
      </c>
      <c r="B23" s="1042"/>
      <c r="C23" s="1042"/>
    </row>
    <row r="25" ht="12.75">
      <c r="C25" s="968" t="s">
        <v>983</v>
      </c>
    </row>
    <row r="26" spans="1:3" ht="15.75">
      <c r="A26" s="1112" t="s">
        <v>5</v>
      </c>
      <c r="B26" s="105" t="s">
        <v>977</v>
      </c>
      <c r="C26" s="974"/>
    </row>
    <row r="27" spans="1:3" ht="15.75">
      <c r="A27" s="1112"/>
      <c r="B27" s="975" t="s">
        <v>978</v>
      </c>
      <c r="C27" s="510" t="s">
        <v>984</v>
      </c>
    </row>
    <row r="28" spans="1:3" ht="15">
      <c r="A28" s="976" t="s">
        <v>985</v>
      </c>
      <c r="B28" s="537"/>
      <c r="C28" s="976"/>
    </row>
    <row r="29" spans="1:3" ht="15">
      <c r="A29" s="839" t="s">
        <v>986</v>
      </c>
      <c r="B29" s="977"/>
      <c r="C29" s="839"/>
    </row>
    <row r="30" spans="1:3" ht="15">
      <c r="A30" s="839" t="s">
        <v>987</v>
      </c>
      <c r="B30" s="977"/>
      <c r="C30" s="839"/>
    </row>
    <row r="31" spans="1:3" ht="15">
      <c r="A31" s="978" t="s">
        <v>988</v>
      </c>
      <c r="B31" s="979"/>
      <c r="C31" s="978"/>
    </row>
  </sheetData>
  <sheetProtection/>
  <mergeCells count="8">
    <mergeCell ref="A23:C23"/>
    <mergeCell ref="A26:A27"/>
    <mergeCell ref="A3:C3"/>
    <mergeCell ref="A4:C4"/>
    <mergeCell ref="A5:C5"/>
    <mergeCell ref="A8:A9"/>
    <mergeCell ref="A21:C21"/>
    <mergeCell ref="A22:C22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22.8515625" style="0" customWidth="1"/>
    <col min="2" max="2" width="8.28125" style="0" customWidth="1"/>
    <col min="3" max="3" width="8.57421875" style="0" customWidth="1"/>
    <col min="4" max="4" width="9.28125" style="0" customWidth="1"/>
    <col min="5" max="5" width="8.57421875" style="0" customWidth="1"/>
    <col min="6" max="6" width="8.140625" style="0" customWidth="1"/>
    <col min="7" max="7" width="8.7109375" style="0" customWidth="1"/>
    <col min="8" max="8" width="9.57421875" style="0" customWidth="1"/>
    <col min="10" max="10" width="8.28125" style="0" customWidth="1"/>
    <col min="14" max="14" width="8.140625" style="0" customWidth="1"/>
    <col min="15" max="19" width="7.00390625" style="0" customWidth="1"/>
    <col min="20" max="20" width="13.00390625" style="0" customWidth="1"/>
  </cols>
  <sheetData>
    <row r="1" spans="1:24" ht="12.75">
      <c r="A1" s="1113" t="s">
        <v>989</v>
      </c>
      <c r="B1" s="1113"/>
      <c r="C1" s="1113"/>
      <c r="D1" s="1113"/>
      <c r="E1" s="1113"/>
      <c r="F1" s="1113"/>
      <c r="G1" s="1113"/>
      <c r="H1" s="1113"/>
      <c r="I1" s="1113"/>
      <c r="J1" s="1113"/>
      <c r="K1" s="1113"/>
      <c r="L1" s="1113"/>
      <c r="M1" s="980"/>
      <c r="N1" s="980"/>
      <c r="O1" s="980"/>
      <c r="P1" s="980"/>
      <c r="Q1" s="980"/>
      <c r="R1" s="980"/>
      <c r="S1" s="980"/>
      <c r="T1" s="980"/>
      <c r="U1" s="980"/>
      <c r="V1" s="980"/>
      <c r="W1" s="980"/>
      <c r="X1" s="980"/>
    </row>
    <row r="2" spans="1:13" ht="15.75">
      <c r="A2" s="1114" t="s">
        <v>990</v>
      </c>
      <c r="B2" s="1114"/>
      <c r="C2" s="1114"/>
      <c r="D2" s="1114"/>
      <c r="E2" s="1114"/>
      <c r="F2" s="1114"/>
      <c r="G2" s="1114"/>
      <c r="H2" s="1114"/>
      <c r="I2" s="1114"/>
      <c r="J2" s="1114"/>
      <c r="K2" s="1114"/>
      <c r="L2" s="1114"/>
      <c r="M2" s="1114"/>
    </row>
    <row r="4" spans="1:13" ht="15.75">
      <c r="A4" s="1"/>
      <c r="B4" s="1115" t="s">
        <v>504</v>
      </c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</row>
    <row r="5" spans="1:13" ht="15.75">
      <c r="A5" s="981" t="s">
        <v>5</v>
      </c>
      <c r="B5" s="982" t="s">
        <v>991</v>
      </c>
      <c r="C5" s="982" t="s">
        <v>992</v>
      </c>
      <c r="D5" s="982" t="s">
        <v>993</v>
      </c>
      <c r="E5" s="982" t="s">
        <v>994</v>
      </c>
      <c r="F5" s="982" t="s">
        <v>995</v>
      </c>
      <c r="G5" s="982" t="s">
        <v>996</v>
      </c>
      <c r="H5" s="982" t="s">
        <v>997</v>
      </c>
      <c r="I5" s="982" t="s">
        <v>998</v>
      </c>
      <c r="J5" s="982" t="s">
        <v>999</v>
      </c>
      <c r="K5" s="982" t="s">
        <v>1000</v>
      </c>
      <c r="L5" s="982" t="s">
        <v>1001</v>
      </c>
      <c r="M5" s="983" t="s">
        <v>1002</v>
      </c>
    </row>
    <row r="6" spans="1:13" ht="26.25" customHeight="1">
      <c r="A6" s="984" t="s">
        <v>1003</v>
      </c>
      <c r="B6" s="985">
        <v>2000</v>
      </c>
      <c r="C6" s="985">
        <v>2000</v>
      </c>
      <c r="D6" s="985">
        <v>2000</v>
      </c>
      <c r="E6" s="985">
        <v>2000</v>
      </c>
      <c r="F6" s="985">
        <v>2000</v>
      </c>
      <c r="G6" s="985">
        <v>490000</v>
      </c>
      <c r="H6" s="985"/>
      <c r="I6" s="985"/>
      <c r="J6" s="985"/>
      <c r="K6" s="985"/>
      <c r="L6" s="985"/>
      <c r="M6" s="986"/>
    </row>
    <row r="7" spans="1:13" ht="27.75" customHeight="1">
      <c r="A7" s="984" t="s">
        <v>1004</v>
      </c>
      <c r="B7" s="985"/>
      <c r="C7" s="985">
        <v>8625</v>
      </c>
      <c r="D7" s="985">
        <v>11500</v>
      </c>
      <c r="E7" s="985">
        <v>11500</v>
      </c>
      <c r="F7" s="985">
        <v>11500</v>
      </c>
      <c r="G7" s="985">
        <v>11500</v>
      </c>
      <c r="H7" s="985">
        <v>11500</v>
      </c>
      <c r="I7" s="985">
        <v>11500</v>
      </c>
      <c r="J7" s="985">
        <v>11500</v>
      </c>
      <c r="K7" s="985">
        <v>11500</v>
      </c>
      <c r="L7" s="985">
        <v>11500</v>
      </c>
      <c r="M7" s="987">
        <v>11500</v>
      </c>
    </row>
    <row r="8" spans="1:13" ht="37.5" customHeight="1">
      <c r="A8" s="988" t="s">
        <v>1005</v>
      </c>
      <c r="B8" s="989">
        <v>1438</v>
      </c>
      <c r="C8" s="989">
        <v>1438</v>
      </c>
      <c r="D8" s="989">
        <v>1438</v>
      </c>
      <c r="E8" s="989">
        <v>1437</v>
      </c>
      <c r="F8" s="989">
        <v>1437</v>
      </c>
      <c r="G8" s="989">
        <v>1437</v>
      </c>
      <c r="H8" s="989">
        <v>1437</v>
      </c>
      <c r="I8" s="989"/>
      <c r="J8" s="989"/>
      <c r="K8" s="989"/>
      <c r="L8" s="989"/>
      <c r="M8" s="990"/>
    </row>
    <row r="9" spans="1:13" ht="24.75" customHeight="1">
      <c r="A9" s="988" t="s">
        <v>1006</v>
      </c>
      <c r="B9" s="989">
        <v>31656</v>
      </c>
      <c r="C9" s="989">
        <v>31656</v>
      </c>
      <c r="D9" s="989">
        <v>31656</v>
      </c>
      <c r="E9" s="989">
        <v>2638</v>
      </c>
      <c r="F9" s="989"/>
      <c r="G9" s="989"/>
      <c r="H9" s="989"/>
      <c r="I9" s="989"/>
      <c r="J9" s="989"/>
      <c r="K9" s="989"/>
      <c r="L9" s="989"/>
      <c r="M9" s="990"/>
    </row>
    <row r="10" spans="1:13" ht="30.75" customHeight="1">
      <c r="A10" s="988" t="s">
        <v>1007</v>
      </c>
      <c r="B10" s="989">
        <v>9338</v>
      </c>
      <c r="C10" s="989">
        <v>9338</v>
      </c>
      <c r="D10" s="989">
        <v>9338</v>
      </c>
      <c r="E10" s="989">
        <v>9338</v>
      </c>
      <c r="F10" s="989">
        <v>9338</v>
      </c>
      <c r="G10" s="989">
        <v>9338</v>
      </c>
      <c r="H10" s="989">
        <v>9338</v>
      </c>
      <c r="I10" s="989">
        <v>9338</v>
      </c>
      <c r="J10" s="989"/>
      <c r="K10" s="989"/>
      <c r="L10" s="989"/>
      <c r="M10" s="991"/>
    </row>
    <row r="11" spans="1:13" ht="15.75">
      <c r="A11" s="992" t="s">
        <v>1008</v>
      </c>
      <c r="B11" s="993">
        <f aca="true" t="shared" si="0" ref="B11:M11">SUM(B6:B10)</f>
        <v>44432</v>
      </c>
      <c r="C11" s="993">
        <f t="shared" si="0"/>
        <v>53057</v>
      </c>
      <c r="D11" s="993">
        <f t="shared" si="0"/>
        <v>55932</v>
      </c>
      <c r="E11" s="993">
        <f t="shared" si="0"/>
        <v>26913</v>
      </c>
      <c r="F11" s="993">
        <f t="shared" si="0"/>
        <v>24275</v>
      </c>
      <c r="G11" s="993">
        <f t="shared" si="0"/>
        <v>512275</v>
      </c>
      <c r="H11" s="993">
        <f t="shared" si="0"/>
        <v>22275</v>
      </c>
      <c r="I11" s="993">
        <f t="shared" si="0"/>
        <v>20838</v>
      </c>
      <c r="J11" s="993">
        <f t="shared" si="0"/>
        <v>11500</v>
      </c>
      <c r="K11" s="993">
        <f t="shared" si="0"/>
        <v>11500</v>
      </c>
      <c r="L11" s="993">
        <f t="shared" si="0"/>
        <v>11500</v>
      </c>
      <c r="M11" s="993">
        <f t="shared" si="0"/>
        <v>11500</v>
      </c>
    </row>
    <row r="12" spans="1:20" ht="12.75">
      <c r="A12" s="994"/>
      <c r="B12" s="994"/>
      <c r="C12" s="994"/>
      <c r="D12" s="994"/>
      <c r="E12" s="994"/>
      <c r="F12" s="994"/>
      <c r="G12" s="994"/>
      <c r="H12" s="994"/>
      <c r="I12" s="994"/>
      <c r="J12" s="994"/>
      <c r="K12" s="994"/>
      <c r="L12" s="994"/>
      <c r="M12" s="994"/>
      <c r="N12" s="994"/>
      <c r="O12" s="1"/>
      <c r="P12" s="1"/>
      <c r="Q12" s="1"/>
      <c r="R12" s="1"/>
      <c r="T12" s="1"/>
    </row>
    <row r="13" spans="1:20" ht="15.75">
      <c r="A13" s="981" t="s">
        <v>5</v>
      </c>
      <c r="B13" s="982" t="s">
        <v>1009</v>
      </c>
      <c r="C13" s="982" t="s">
        <v>1010</v>
      </c>
      <c r="D13" s="982" t="s">
        <v>1011</v>
      </c>
      <c r="E13" s="982" t="s">
        <v>1012</v>
      </c>
      <c r="F13" s="982" t="s">
        <v>1013</v>
      </c>
      <c r="G13" s="982" t="s">
        <v>1014</v>
      </c>
      <c r="H13" s="982" t="s">
        <v>1015</v>
      </c>
      <c r="I13" s="982" t="s">
        <v>962</v>
      </c>
      <c r="J13" s="982" t="s">
        <v>964</v>
      </c>
      <c r="K13" s="982" t="s">
        <v>965</v>
      </c>
      <c r="L13" s="982" t="s">
        <v>966</v>
      </c>
      <c r="M13" s="983" t="s">
        <v>187</v>
      </c>
      <c r="O13" s="995"/>
      <c r="P13" s="995"/>
      <c r="Q13" s="995"/>
      <c r="R13" s="995"/>
      <c r="T13" s="1"/>
    </row>
    <row r="14" spans="1:20" ht="28.5" customHeight="1">
      <c r="A14" s="984" t="s">
        <v>1003</v>
      </c>
      <c r="B14" s="985"/>
      <c r="C14" s="985"/>
      <c r="D14" s="985"/>
      <c r="E14" s="985"/>
      <c r="F14" s="985"/>
      <c r="G14" s="985"/>
      <c r="H14" s="985"/>
      <c r="I14" s="985"/>
      <c r="J14" s="985"/>
      <c r="K14" s="985"/>
      <c r="L14" s="985"/>
      <c r="M14" s="996">
        <f aca="true" t="shared" si="1" ref="M14:M19">SUM(B6:M6)+SUM(B14:L14)</f>
        <v>500000</v>
      </c>
      <c r="N14" s="997"/>
      <c r="T14" s="1"/>
    </row>
    <row r="15" spans="1:20" ht="26.25" customHeight="1">
      <c r="A15" s="984" t="s">
        <v>1004</v>
      </c>
      <c r="B15" s="985">
        <v>11500</v>
      </c>
      <c r="C15" s="985">
        <v>11500</v>
      </c>
      <c r="D15" s="985">
        <v>3375</v>
      </c>
      <c r="E15" s="985"/>
      <c r="F15" s="985"/>
      <c r="G15" s="985"/>
      <c r="H15" s="985"/>
      <c r="I15" s="985"/>
      <c r="J15" s="985"/>
      <c r="K15" s="985"/>
      <c r="L15" s="985"/>
      <c r="M15" s="996">
        <f t="shared" si="1"/>
        <v>150000</v>
      </c>
      <c r="O15" s="997"/>
      <c r="P15" s="997"/>
      <c r="Q15" s="997"/>
      <c r="R15" s="997"/>
      <c r="T15" s="1"/>
    </row>
    <row r="16" spans="1:20" ht="39.75" customHeight="1">
      <c r="A16" s="988" t="s">
        <v>1005</v>
      </c>
      <c r="B16" s="989"/>
      <c r="C16" s="989"/>
      <c r="D16" s="989"/>
      <c r="E16" s="989"/>
      <c r="F16" s="989"/>
      <c r="G16" s="989"/>
      <c r="H16" s="989"/>
      <c r="I16" s="989"/>
      <c r="J16" s="989"/>
      <c r="K16" s="989"/>
      <c r="L16" s="989"/>
      <c r="M16" s="996">
        <f t="shared" si="1"/>
        <v>10062</v>
      </c>
      <c r="T16" s="1"/>
    </row>
    <row r="17" spans="1:20" ht="26.25" customHeight="1">
      <c r="A17" s="988" t="s">
        <v>1006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96">
        <f t="shared" si="1"/>
        <v>97606</v>
      </c>
      <c r="T17" s="1"/>
    </row>
    <row r="18" spans="1:20" ht="26.25" customHeight="1">
      <c r="A18" s="988" t="s">
        <v>1016</v>
      </c>
      <c r="B18" s="989"/>
      <c r="C18" s="989"/>
      <c r="D18" s="989"/>
      <c r="E18" s="989"/>
      <c r="F18" s="989"/>
      <c r="G18" s="989"/>
      <c r="H18" s="989"/>
      <c r="I18" s="989"/>
      <c r="J18" s="989"/>
      <c r="K18" s="989"/>
      <c r="L18" s="989"/>
      <c r="M18" s="996">
        <f t="shared" si="1"/>
        <v>74704</v>
      </c>
      <c r="T18" s="1"/>
    </row>
    <row r="19" spans="1:20" ht="20.25" customHeight="1">
      <c r="A19" s="992" t="s">
        <v>1008</v>
      </c>
      <c r="B19" s="993">
        <f aca="true" t="shared" si="2" ref="B19:L19">SUM(B14:B18)</f>
        <v>11500</v>
      </c>
      <c r="C19" s="993">
        <f t="shared" si="2"/>
        <v>11500</v>
      </c>
      <c r="D19" s="993">
        <f t="shared" si="2"/>
        <v>3375</v>
      </c>
      <c r="E19" s="993">
        <f t="shared" si="2"/>
        <v>0</v>
      </c>
      <c r="F19" s="993">
        <f t="shared" si="2"/>
        <v>0</v>
      </c>
      <c r="G19" s="993">
        <f t="shared" si="2"/>
        <v>0</v>
      </c>
      <c r="H19" s="993">
        <f t="shared" si="2"/>
        <v>0</v>
      </c>
      <c r="I19" s="993">
        <f t="shared" si="2"/>
        <v>0</v>
      </c>
      <c r="J19" s="993">
        <f t="shared" si="2"/>
        <v>0</v>
      </c>
      <c r="K19" s="993">
        <f t="shared" si="2"/>
        <v>0</v>
      </c>
      <c r="L19" s="993">
        <f t="shared" si="2"/>
        <v>0</v>
      </c>
      <c r="M19" s="998">
        <f t="shared" si="1"/>
        <v>832372</v>
      </c>
      <c r="T19" s="1"/>
    </row>
    <row r="20" spans="1:20" ht="21" customHeight="1">
      <c r="A20" s="999"/>
      <c r="B20" s="1000"/>
      <c r="C20" s="1000"/>
      <c r="D20" s="1000"/>
      <c r="E20" s="1000"/>
      <c r="F20" s="1000"/>
      <c r="G20" s="1000"/>
      <c r="H20" s="1000"/>
      <c r="I20" s="1000"/>
      <c r="J20" s="1000"/>
      <c r="K20" s="1000"/>
      <c r="L20" s="1000"/>
      <c r="M20" s="1000"/>
      <c r="T20" s="1"/>
    </row>
    <row r="21" spans="1:20" ht="32.25" customHeight="1">
      <c r="A21" s="1116" t="s">
        <v>1017</v>
      </c>
      <c r="B21" s="1116"/>
      <c r="C21" s="1116"/>
      <c r="D21" s="1116"/>
      <c r="E21" s="1116"/>
      <c r="F21" s="1116"/>
      <c r="G21" s="1116"/>
      <c r="H21" s="1116"/>
      <c r="I21" s="1116"/>
      <c r="J21" s="1116"/>
      <c r="K21" s="1116"/>
      <c r="L21" s="1116"/>
      <c r="M21" s="1116"/>
      <c r="N21" s="1001"/>
      <c r="T21" s="1"/>
    </row>
    <row r="22" ht="12.75">
      <c r="T22" s="1"/>
    </row>
    <row r="23" ht="12.75">
      <c r="T23" s="1"/>
    </row>
    <row r="24" ht="12.75">
      <c r="T24" s="1"/>
    </row>
    <row r="25" ht="12.75">
      <c r="T25" s="1002"/>
    </row>
    <row r="27" ht="32.25" customHeight="1">
      <c r="T27" s="997"/>
    </row>
    <row r="29" spans="1:14" ht="12.75">
      <c r="A29" s="1117"/>
      <c r="B29" s="1117"/>
      <c r="C29" s="1117"/>
      <c r="D29" s="1117"/>
      <c r="E29" s="1117"/>
      <c r="F29" s="1117"/>
      <c r="G29" s="1117"/>
      <c r="H29" s="1117"/>
      <c r="I29" s="1117"/>
      <c r="J29" s="1117"/>
      <c r="K29" s="1117"/>
      <c r="L29" s="1117"/>
      <c r="M29" s="1117"/>
      <c r="N29" s="1117"/>
    </row>
    <row r="32" ht="39.75" customHeight="1"/>
    <row r="34" ht="25.5" customHeight="1"/>
  </sheetData>
  <sheetProtection/>
  <mergeCells count="5">
    <mergeCell ref="A1:L1"/>
    <mergeCell ref="A2:M2"/>
    <mergeCell ref="B4:M4"/>
    <mergeCell ref="A21:M21"/>
    <mergeCell ref="A29:N29"/>
  </mergeCells>
  <printOptions/>
  <pageMargins left="0.5902777777777778" right="0.5902777777777778" top="0.7875" bottom="0.7875" header="0.5118055555555556" footer="0.5118055555555556"/>
  <pageSetup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85"/>
  <sheetViews>
    <sheetView zoomScalePageLayoutView="0" workbookViewId="0" topLeftCell="A95">
      <selection activeCell="D148" sqref="D148"/>
    </sheetView>
  </sheetViews>
  <sheetFormatPr defaultColWidth="9.140625" defaultRowHeight="12.75"/>
  <cols>
    <col min="1" max="1" width="55.8515625" style="0" customWidth="1"/>
    <col min="2" max="2" width="10.00390625" style="0" customWidth="1"/>
    <col min="3" max="3" width="10.57421875" style="0" customWidth="1"/>
    <col min="4" max="4" width="9.421875" style="0" customWidth="1"/>
  </cols>
  <sheetData>
    <row r="1" ht="12.75">
      <c r="C1" t="s">
        <v>1018</v>
      </c>
    </row>
    <row r="2" spans="1:4" ht="15.75">
      <c r="A2" s="1046" t="s">
        <v>1019</v>
      </c>
      <c r="B2" s="1046"/>
      <c r="C2" s="1046"/>
      <c r="D2" s="1046"/>
    </row>
    <row r="3" spans="1:4" ht="15.75">
      <c r="A3" s="1046" t="s">
        <v>1020</v>
      </c>
      <c r="B3" s="1046"/>
      <c r="C3" s="1046"/>
      <c r="D3" s="1046"/>
    </row>
    <row r="4" spans="1:4" ht="15">
      <c r="A4" s="1003"/>
      <c r="B4" s="1003"/>
      <c r="C4" s="1003"/>
      <c r="D4" s="1003" t="s">
        <v>1021</v>
      </c>
    </row>
    <row r="5" spans="1:4" ht="15.75">
      <c r="A5" s="1004" t="s">
        <v>1022</v>
      </c>
      <c r="B5" s="1005" t="s">
        <v>1023</v>
      </c>
      <c r="C5" s="1005" t="s">
        <v>1024</v>
      </c>
      <c r="D5" s="1005" t="s">
        <v>1025</v>
      </c>
    </row>
    <row r="6" spans="1:4" ht="15">
      <c r="A6" s="423" t="s">
        <v>1026</v>
      </c>
      <c r="B6" s="424"/>
      <c r="C6" s="423"/>
      <c r="D6" s="423"/>
    </row>
    <row r="7" spans="1:4" ht="15">
      <c r="A7" s="429" t="s">
        <v>1027</v>
      </c>
      <c r="B7" s="424">
        <f>17520*1.43</f>
        <v>25053.6</v>
      </c>
      <c r="C7" s="424">
        <f>17389*1.057</f>
        <v>18380.173</v>
      </c>
      <c r="D7" s="424">
        <f>17272*1.947</f>
        <v>33628.584</v>
      </c>
    </row>
    <row r="8" spans="1:4" ht="12.75">
      <c r="A8" s="429" t="s">
        <v>1028</v>
      </c>
      <c r="B8" s="424"/>
      <c r="C8" s="424">
        <f>17.389*500</f>
        <v>8694.5</v>
      </c>
      <c r="D8" s="424">
        <v>0</v>
      </c>
    </row>
    <row r="9" spans="1:4" ht="12.75">
      <c r="A9" s="425" t="s">
        <v>1029</v>
      </c>
      <c r="B9" s="424">
        <f>12*370</f>
        <v>4440</v>
      </c>
      <c r="C9" s="424">
        <f>12*300</f>
        <v>3600</v>
      </c>
      <c r="D9" s="424">
        <f>12*253.53</f>
        <v>3042.36</v>
      </c>
    </row>
    <row r="10" spans="1:4" ht="15">
      <c r="A10" s="423" t="s">
        <v>1030</v>
      </c>
      <c r="B10" s="424"/>
      <c r="C10" s="424"/>
      <c r="D10" s="424"/>
    </row>
    <row r="11" spans="1:4" ht="15">
      <c r="A11" s="423" t="s">
        <v>1031</v>
      </c>
      <c r="B11" s="424">
        <f>14000*2</f>
        <v>28000</v>
      </c>
      <c r="C11" s="424">
        <f>16000*2</f>
        <v>32000</v>
      </c>
      <c r="D11" s="424">
        <f>18000*1</f>
        <v>18000</v>
      </c>
    </row>
    <row r="12" spans="1:4" ht="15">
      <c r="A12" s="423" t="s">
        <v>1032</v>
      </c>
      <c r="B12" s="424"/>
      <c r="C12" s="424"/>
      <c r="D12" s="424"/>
    </row>
    <row r="13" spans="1:4" ht="15">
      <c r="A13" s="423" t="s">
        <v>1033</v>
      </c>
      <c r="B13" s="424">
        <f>56*547</f>
        <v>30632</v>
      </c>
      <c r="C13" s="424">
        <f>56*540.15</f>
        <v>30248.399999999998</v>
      </c>
      <c r="D13" s="424">
        <f>58*494.1</f>
        <v>28657.800000000003</v>
      </c>
    </row>
    <row r="14" spans="1:4" ht="15">
      <c r="A14" s="423" t="s">
        <v>1034</v>
      </c>
      <c r="B14" s="424">
        <f>10*50</f>
        <v>500</v>
      </c>
      <c r="C14" s="424">
        <f>19*65</f>
        <v>1235</v>
      </c>
      <c r="D14" s="424">
        <f>3*65</f>
        <v>195</v>
      </c>
    </row>
    <row r="15" spans="1:4" ht="15">
      <c r="A15" s="423" t="s">
        <v>1035</v>
      </c>
      <c r="B15" s="424"/>
      <c r="C15" s="424"/>
      <c r="D15" s="424"/>
    </row>
    <row r="16" spans="1:4" ht="15">
      <c r="A16" s="423" t="s">
        <v>1036</v>
      </c>
      <c r="B16" s="424"/>
      <c r="C16" s="424"/>
      <c r="D16" s="424"/>
    </row>
    <row r="17" spans="1:4" ht="24">
      <c r="A17" s="428" t="s">
        <v>1037</v>
      </c>
      <c r="B17" s="433">
        <f>9*2550000*8/12/1000</f>
        <v>15300</v>
      </c>
      <c r="C17" s="433"/>
      <c r="D17" s="433"/>
    </row>
    <row r="18" spans="1:4" ht="24">
      <c r="A18" s="428" t="s">
        <v>1038</v>
      </c>
      <c r="B18" s="433">
        <f>34.1*2550000*8/12/1000</f>
        <v>57970</v>
      </c>
      <c r="C18" s="433"/>
      <c r="D18" s="433"/>
    </row>
    <row r="19" spans="1:4" ht="23.25" customHeight="1">
      <c r="A19" s="428" t="s">
        <v>1039</v>
      </c>
      <c r="B19" s="433">
        <v>7225</v>
      </c>
      <c r="C19" s="433">
        <v>30770</v>
      </c>
      <c r="D19" s="433"/>
    </row>
    <row r="20" spans="1:4" ht="22.5" customHeight="1">
      <c r="A20" s="428" t="s">
        <v>1040</v>
      </c>
      <c r="B20" s="433">
        <v>28390</v>
      </c>
      <c r="C20" s="433">
        <v>37230</v>
      </c>
      <c r="D20" s="433"/>
    </row>
    <row r="21" spans="1:4" ht="12.75">
      <c r="A21" s="426" t="s">
        <v>321</v>
      </c>
      <c r="B21" s="433"/>
      <c r="C21" s="433">
        <v>30903</v>
      </c>
      <c r="D21" s="433">
        <f>37*2350/12*8</f>
        <v>57966.666666666664</v>
      </c>
    </row>
    <row r="22" spans="1:4" ht="14.25" customHeight="1">
      <c r="A22" s="426" t="s">
        <v>322</v>
      </c>
      <c r="B22" s="433"/>
      <c r="C22" s="433"/>
      <c r="D22" s="433">
        <f>37.8*2350/12*4</f>
        <v>29610</v>
      </c>
    </row>
    <row r="23" spans="1:4" ht="12.75">
      <c r="A23" s="425" t="s">
        <v>1041</v>
      </c>
      <c r="B23" s="424">
        <f>7.5*2550000*8/12/1000</f>
        <v>12750</v>
      </c>
      <c r="C23" s="424"/>
      <c r="D23" s="424"/>
    </row>
    <row r="24" spans="1:4" ht="12.75">
      <c r="A24" s="425" t="s">
        <v>1042</v>
      </c>
      <c r="B24" s="424">
        <f>18.7*2550000*8/12/1000</f>
        <v>31790</v>
      </c>
      <c r="C24" s="424"/>
      <c r="D24" s="424"/>
    </row>
    <row r="25" spans="1:4" ht="12.75">
      <c r="A25" s="425" t="s">
        <v>1043</v>
      </c>
      <c r="B25" s="424">
        <f>15*2550000*8/12/1000</f>
        <v>25500</v>
      </c>
      <c r="C25" s="424"/>
      <c r="D25" s="424"/>
    </row>
    <row r="26" spans="1:4" ht="12.75">
      <c r="A26" s="425" t="s">
        <v>323</v>
      </c>
      <c r="B26" s="424">
        <f>15.4*2550000*4/12/1000</f>
        <v>13090</v>
      </c>
      <c r="C26" s="424">
        <f>22610</f>
        <v>22610</v>
      </c>
      <c r="D26" s="424">
        <f>11.6*2350/12*8</f>
        <v>18173.333333333332</v>
      </c>
    </row>
    <row r="27" spans="1:4" ht="12.75">
      <c r="A27" s="425" t="s">
        <v>324</v>
      </c>
      <c r="B27" s="424">
        <f>8.5*2550000*4/12/1000</f>
        <v>7225</v>
      </c>
      <c r="C27" s="424">
        <v>14450</v>
      </c>
      <c r="D27" s="424">
        <f>7.7*2350/12*8</f>
        <v>12063.333333333334</v>
      </c>
    </row>
    <row r="28" spans="1:4" ht="12.75">
      <c r="A28" s="425" t="s">
        <v>325</v>
      </c>
      <c r="B28" s="424">
        <f>12.1*2550000*4/12/1000</f>
        <v>10285</v>
      </c>
      <c r="C28" s="424">
        <v>21760</v>
      </c>
      <c r="D28" s="424">
        <f>12.8*2350/12*8</f>
        <v>20053.333333333332</v>
      </c>
    </row>
    <row r="29" spans="1:4" ht="12.75">
      <c r="A29" s="425" t="s">
        <v>326</v>
      </c>
      <c r="B29" s="424"/>
      <c r="C29" s="424">
        <v>11007</v>
      </c>
      <c r="D29" s="424">
        <f>11.3*2350/12*4</f>
        <v>8851.666666666666</v>
      </c>
    </row>
    <row r="30" spans="1:4" ht="12.75">
      <c r="A30" s="425" t="s">
        <v>327</v>
      </c>
      <c r="B30" s="424"/>
      <c r="C30" s="424">
        <v>6350</v>
      </c>
      <c r="D30" s="424">
        <f>5.8*2350/12*4</f>
        <v>4543.333333333333</v>
      </c>
    </row>
    <row r="31" spans="1:4" ht="12.75">
      <c r="A31" s="425" t="s">
        <v>328</v>
      </c>
      <c r="B31" s="424"/>
      <c r="C31" s="424">
        <v>9906</v>
      </c>
      <c r="D31" s="424">
        <f>11.1*2350/12*4</f>
        <v>8695</v>
      </c>
    </row>
    <row r="32" spans="1:4" ht="15">
      <c r="A32" s="423" t="s">
        <v>1044</v>
      </c>
      <c r="B32" s="424">
        <f>11.3*2550000*8/12/1000</f>
        <v>19210</v>
      </c>
      <c r="C32" s="436"/>
      <c r="D32" s="424"/>
    </row>
    <row r="33" spans="1:4" ht="15">
      <c r="A33" s="423" t="s">
        <v>1045</v>
      </c>
      <c r="B33" s="424">
        <f>13.3*2550000*8/12/1000</f>
        <v>22610</v>
      </c>
      <c r="C33" s="436"/>
      <c r="D33" s="424"/>
    </row>
    <row r="34" spans="1:4" ht="15">
      <c r="A34" s="423" t="s">
        <v>1046</v>
      </c>
      <c r="B34" s="424">
        <f>28.9*2550000*8/12/1000</f>
        <v>49130</v>
      </c>
      <c r="C34" s="436"/>
      <c r="D34" s="424"/>
    </row>
    <row r="35" spans="1:4" ht="15">
      <c r="A35" s="423" t="s">
        <v>1047</v>
      </c>
      <c r="B35" s="424">
        <f>21.3*2550000*4/12/1000</f>
        <v>18105</v>
      </c>
      <c r="C35" s="424">
        <v>34850</v>
      </c>
      <c r="D35" s="424">
        <f>18.1*2350/12*8</f>
        <v>28356.666666666668</v>
      </c>
    </row>
    <row r="36" spans="1:4" ht="15">
      <c r="A36" s="423" t="s">
        <v>1048</v>
      </c>
      <c r="B36" s="424">
        <f>29*2550000*4/12/1000</f>
        <v>24650</v>
      </c>
      <c r="C36" s="424">
        <v>48620</v>
      </c>
      <c r="D36" s="424"/>
    </row>
    <row r="37" spans="1:4" ht="15">
      <c r="A37" s="423" t="s">
        <v>330</v>
      </c>
      <c r="B37" s="424"/>
      <c r="C37" s="424">
        <v>16172</v>
      </c>
      <c r="D37" s="424">
        <f>16.6*2350/12*4</f>
        <v>13003.333333333334</v>
      </c>
    </row>
    <row r="38" spans="1:4" ht="15">
      <c r="A38" s="423" t="s">
        <v>331</v>
      </c>
      <c r="B38" s="424"/>
      <c r="C38" s="424">
        <v>9821</v>
      </c>
      <c r="D38" s="424">
        <f>11.1*2350/12*8</f>
        <v>17390</v>
      </c>
    </row>
    <row r="39" spans="1:4" ht="15">
      <c r="A39" s="423" t="s">
        <v>332</v>
      </c>
      <c r="B39" s="424"/>
      <c r="C39" s="436"/>
      <c r="D39" s="424">
        <f>10.9*2350/12*4</f>
        <v>8538.333333333334</v>
      </c>
    </row>
    <row r="40" spans="1:4" ht="15">
      <c r="A40" s="423" t="s">
        <v>333</v>
      </c>
      <c r="B40" s="424"/>
      <c r="C40" s="424">
        <v>13123</v>
      </c>
      <c r="D40" s="424">
        <f>16*2350/12*8</f>
        <v>25066.666666666668</v>
      </c>
    </row>
    <row r="41" spans="1:4" ht="15">
      <c r="A41" s="423" t="s">
        <v>334</v>
      </c>
      <c r="B41" s="424"/>
      <c r="C41" s="436"/>
      <c r="D41" s="424">
        <f>11.9*2350/12*4</f>
        <v>9321.666666666666</v>
      </c>
    </row>
    <row r="42" spans="1:4" ht="12.75">
      <c r="A42" s="1006" t="s">
        <v>335</v>
      </c>
      <c r="B42" s="424">
        <f>2*240000*4/12/1000</f>
        <v>160</v>
      </c>
      <c r="C42" s="424">
        <v>320</v>
      </c>
      <c r="D42" s="424">
        <f>1*224/12*8</f>
        <v>149.33333333333334</v>
      </c>
    </row>
    <row r="43" spans="1:4" ht="12.75">
      <c r="A43" s="426" t="s">
        <v>1049</v>
      </c>
      <c r="B43" s="424"/>
      <c r="C43" s="424">
        <v>159</v>
      </c>
      <c r="D43" s="424"/>
    </row>
    <row r="44" spans="1:4" ht="21.75" customHeight="1">
      <c r="A44" s="428" t="s">
        <v>336</v>
      </c>
      <c r="B44" s="424">
        <f>5*384000*8/12/1000</f>
        <v>1280</v>
      </c>
      <c r="C44" s="424">
        <v>1024</v>
      </c>
      <c r="D44" s="424">
        <f>4*358.4/12*4</f>
        <v>477.8666666666666</v>
      </c>
    </row>
    <row r="45" spans="1:4" ht="24">
      <c r="A45" s="428" t="s">
        <v>337</v>
      </c>
      <c r="B45" s="424">
        <f>4*384000*4/12/1000</f>
        <v>512</v>
      </c>
      <c r="C45" s="424">
        <v>382</v>
      </c>
      <c r="D45" s="424">
        <f>5*358.4/12*8</f>
        <v>1194.6666666666667</v>
      </c>
    </row>
    <row r="46" spans="1:4" ht="36">
      <c r="A46" s="428" t="s">
        <v>338</v>
      </c>
      <c r="B46" s="424">
        <f>40*8/12*192000/1000</f>
        <v>5120</v>
      </c>
      <c r="C46" s="424">
        <v>3584</v>
      </c>
      <c r="D46" s="424">
        <f>30*179.2/12*4</f>
        <v>1792</v>
      </c>
    </row>
    <row r="47" spans="1:4" ht="12.75">
      <c r="A47" s="1007"/>
      <c r="B47" s="170"/>
      <c r="C47" s="170"/>
      <c r="D47" s="1008"/>
    </row>
    <row r="48" spans="1:4" ht="12.75">
      <c r="A48" s="1118">
        <v>2</v>
      </c>
      <c r="B48" s="1118"/>
      <c r="C48" s="1118"/>
      <c r="D48" s="1118"/>
    </row>
    <row r="49" spans="1:4" ht="15.75">
      <c r="A49" s="1004" t="s">
        <v>1022</v>
      </c>
      <c r="B49" s="1005" t="s">
        <v>1023</v>
      </c>
      <c r="C49" s="1005" t="s">
        <v>1024</v>
      </c>
      <c r="D49" s="1005" t="s">
        <v>1025</v>
      </c>
    </row>
    <row r="50" spans="1:4" ht="36">
      <c r="A50" s="428" t="s">
        <v>339</v>
      </c>
      <c r="B50" s="424">
        <f>35*192000*4/12/1000</f>
        <v>2240</v>
      </c>
      <c r="C50" s="424">
        <v>1593</v>
      </c>
      <c r="D50" s="424">
        <f>35*179.2/12*8</f>
        <v>4181.333333333333</v>
      </c>
    </row>
    <row r="51" spans="1:4" ht="25.5">
      <c r="A51" s="426" t="s">
        <v>340</v>
      </c>
      <c r="B51" s="424"/>
      <c r="C51" s="424">
        <v>1147</v>
      </c>
      <c r="D51" s="424">
        <f>20*134.4/12*4</f>
        <v>896</v>
      </c>
    </row>
    <row r="52" spans="1:4" ht="38.25">
      <c r="A52" s="426" t="s">
        <v>341</v>
      </c>
      <c r="B52" s="424">
        <f>30*144000*4/12/1000</f>
        <v>1440</v>
      </c>
      <c r="C52" s="424">
        <v>2592</v>
      </c>
      <c r="D52" s="424">
        <f>26*134.4/12*8</f>
        <v>2329.6</v>
      </c>
    </row>
    <row r="53" spans="1:4" ht="12.75">
      <c r="A53" s="429" t="s">
        <v>1050</v>
      </c>
      <c r="B53" s="424">
        <f>28.4*2550000*8/12/1000</f>
        <v>48280</v>
      </c>
      <c r="C53" s="424"/>
      <c r="D53" s="424"/>
    </row>
    <row r="54" spans="1:4" ht="12.75">
      <c r="A54" s="429" t="s">
        <v>1051</v>
      </c>
      <c r="B54" s="424">
        <f>32.4*2550000*8/12/1000</f>
        <v>55080</v>
      </c>
      <c r="C54" s="424"/>
      <c r="D54" s="424"/>
    </row>
    <row r="55" spans="1:4" ht="12.75">
      <c r="A55" s="429" t="s">
        <v>1052</v>
      </c>
      <c r="B55" s="424">
        <f>53.9*2550000*8/12/1000</f>
        <v>91630</v>
      </c>
      <c r="C55" s="424"/>
      <c r="D55" s="424"/>
    </row>
    <row r="56" spans="1:4" ht="12.75">
      <c r="A56" s="429" t="s">
        <v>342</v>
      </c>
      <c r="B56" s="424">
        <f>60.7*2550000*4/12/1000</f>
        <v>51595</v>
      </c>
      <c r="C56" s="424">
        <v>105740</v>
      </c>
      <c r="D56" s="424">
        <f>62.3*2350/12*8</f>
        <v>97603.33333333333</v>
      </c>
    </row>
    <row r="57" spans="1:4" ht="12.75">
      <c r="A57" s="429" t="s">
        <v>343</v>
      </c>
      <c r="B57" s="424"/>
      <c r="C57" s="424">
        <v>53933</v>
      </c>
      <c r="D57" s="424">
        <f>59.8*2350/12*4</f>
        <v>46843.333333333336</v>
      </c>
    </row>
    <row r="58" spans="1:4" ht="12.75">
      <c r="A58" s="429" t="s">
        <v>1053</v>
      </c>
      <c r="B58" s="424">
        <f>58.3*2550000*4/12/1000</f>
        <v>49555</v>
      </c>
      <c r="C58" s="424">
        <v>95710</v>
      </c>
      <c r="D58" s="424"/>
    </row>
    <row r="59" spans="1:4" ht="12.75">
      <c r="A59" s="429" t="s">
        <v>344</v>
      </c>
      <c r="B59" s="424"/>
      <c r="C59" s="424">
        <v>20320</v>
      </c>
      <c r="D59" s="424">
        <f>22.9*2350/12*8</f>
        <v>35876.666666666664</v>
      </c>
    </row>
    <row r="60" spans="1:4" ht="12.75">
      <c r="A60" s="429" t="s">
        <v>345</v>
      </c>
      <c r="B60" s="424"/>
      <c r="C60" s="424"/>
      <c r="D60" s="424">
        <f>28.3*2350/12*4</f>
        <v>22168.333333333332</v>
      </c>
    </row>
    <row r="61" spans="1:4" ht="12.75">
      <c r="A61" s="429" t="s">
        <v>346</v>
      </c>
      <c r="B61" s="424"/>
      <c r="C61" s="424">
        <v>26501</v>
      </c>
      <c r="D61" s="424">
        <f>30.4*2350/12*8</f>
        <v>47626.666666666664</v>
      </c>
    </row>
    <row r="62" spans="1:4" ht="12.75">
      <c r="A62" s="429" t="s">
        <v>347</v>
      </c>
      <c r="B62" s="424"/>
      <c r="C62" s="424"/>
      <c r="D62" s="424">
        <f>22.3*2350/12*4</f>
        <v>17468.333333333332</v>
      </c>
    </row>
    <row r="63" spans="1:4" ht="12.75">
      <c r="A63" s="429" t="s">
        <v>348</v>
      </c>
      <c r="B63" s="424"/>
      <c r="C63" s="424"/>
      <c r="D63" s="424">
        <f>5.9*2350/12*4</f>
        <v>4621.666666666667</v>
      </c>
    </row>
    <row r="64" spans="1:4" ht="25.5">
      <c r="A64" s="426" t="s">
        <v>349</v>
      </c>
      <c r="B64" s="424">
        <f>13.4*2550000*8/12/1000</f>
        <v>22780</v>
      </c>
      <c r="C64" s="424">
        <v>38420</v>
      </c>
      <c r="D64" s="424">
        <f>28.7*2350/12*4</f>
        <v>22481.666666666668</v>
      </c>
    </row>
    <row r="65" spans="1:4" ht="12.75">
      <c r="A65" s="426" t="s">
        <v>1054</v>
      </c>
      <c r="B65" s="424">
        <f>10.6*2550000*8/12/1000</f>
        <v>18020</v>
      </c>
      <c r="C65" s="424">
        <v>3910</v>
      </c>
      <c r="D65" s="424"/>
    </row>
    <row r="66" spans="1:4" ht="24">
      <c r="A66" s="428" t="s">
        <v>350</v>
      </c>
      <c r="B66" s="424">
        <f>22.8*2550000*4/12/1000</f>
        <v>19380</v>
      </c>
      <c r="C66" s="424">
        <v>25061</v>
      </c>
      <c r="D66" s="424">
        <f>27.8*2350/12*8</f>
        <v>43553.333333333336</v>
      </c>
    </row>
    <row r="67" spans="1:4" ht="12.75">
      <c r="A67" s="426" t="s">
        <v>351</v>
      </c>
      <c r="B67" s="424">
        <f>2.7*2550000*4/12/1000</f>
        <v>2295</v>
      </c>
      <c r="C67" s="424"/>
      <c r="D67" s="424"/>
    </row>
    <row r="68" spans="1:4" ht="12.75">
      <c r="A68" s="429" t="s">
        <v>352</v>
      </c>
      <c r="B68" s="424">
        <f>215*40*8/12</f>
        <v>5733.333333333333</v>
      </c>
      <c r="C68" s="424">
        <v>5627</v>
      </c>
      <c r="D68" s="424">
        <f>210*35/12*4</f>
        <v>2450</v>
      </c>
    </row>
    <row r="69" spans="1:4" ht="12.75">
      <c r="A69" s="429" t="s">
        <v>353</v>
      </c>
      <c r="B69" s="424">
        <f>205*40*4/12</f>
        <v>2733.3333333333335</v>
      </c>
      <c r="C69" s="424">
        <v>2609</v>
      </c>
      <c r="D69" s="424">
        <f>214*35/12*8</f>
        <v>4993.333333333333</v>
      </c>
    </row>
    <row r="70" spans="1:4" ht="12.75">
      <c r="A70" s="429" t="s">
        <v>354</v>
      </c>
      <c r="B70" s="424">
        <f>6*112*4/12</f>
        <v>224</v>
      </c>
      <c r="C70" s="424">
        <v>672</v>
      </c>
      <c r="D70" s="424">
        <f>7*98/12*8</f>
        <v>457.3333333333333</v>
      </c>
    </row>
    <row r="71" spans="1:4" ht="12.75">
      <c r="A71" s="429" t="s">
        <v>355</v>
      </c>
      <c r="B71" s="424"/>
      <c r="C71" s="424">
        <v>671</v>
      </c>
      <c r="D71" s="424">
        <f>16*98/12*4</f>
        <v>522.6666666666666</v>
      </c>
    </row>
    <row r="72" spans="1:4" ht="12.75">
      <c r="A72" s="430" t="s">
        <v>356</v>
      </c>
      <c r="B72" s="424">
        <f>77*156800*8/12/1000</f>
        <v>8049.066666666667</v>
      </c>
      <c r="C72" s="424">
        <v>4809</v>
      </c>
      <c r="D72" s="424">
        <f>50*137.2/12*4</f>
        <v>2286.6666666666665</v>
      </c>
    </row>
    <row r="73" spans="1:4" ht="12.75">
      <c r="A73" s="429" t="s">
        <v>357</v>
      </c>
      <c r="B73" s="424">
        <f>75*156.8*4/12</f>
        <v>3920</v>
      </c>
      <c r="C73" s="424">
        <v>2177</v>
      </c>
      <c r="D73" s="424">
        <f>47*137.2/12*8</f>
        <v>4298.933333333333</v>
      </c>
    </row>
    <row r="74" spans="1:4" ht="12.75">
      <c r="A74" s="430" t="s">
        <v>358</v>
      </c>
      <c r="B74" s="424">
        <f>121*22.4*8/12</f>
        <v>1806.9333333333332</v>
      </c>
      <c r="C74" s="424">
        <v>2494</v>
      </c>
      <c r="D74" s="424">
        <f>121*19.6/12*4</f>
        <v>790.5333333333334</v>
      </c>
    </row>
    <row r="75" spans="1:4" ht="12.75">
      <c r="A75" s="430" t="s">
        <v>359</v>
      </c>
      <c r="B75" s="424">
        <f>120*22.4*4/12</f>
        <v>896</v>
      </c>
      <c r="C75" s="424">
        <v>1244</v>
      </c>
      <c r="D75" s="424">
        <f>139*19.6/12*8</f>
        <v>1816.2666666666667</v>
      </c>
    </row>
    <row r="76" spans="1:4" ht="12.75">
      <c r="A76" s="430" t="s">
        <v>1055</v>
      </c>
      <c r="B76" s="424">
        <f>63*67.2*8/12</f>
        <v>2822.4</v>
      </c>
      <c r="C76" s="424">
        <v>1882</v>
      </c>
      <c r="D76" s="424">
        <f>22*58.8/12*4</f>
        <v>431.2</v>
      </c>
    </row>
    <row r="77" spans="1:4" ht="12.75">
      <c r="A77" s="430" t="s">
        <v>1056</v>
      </c>
      <c r="B77" s="424">
        <f>60*67.2*4/12</f>
        <v>1344</v>
      </c>
      <c r="C77" s="424">
        <v>742</v>
      </c>
      <c r="D77" s="424">
        <f>27*58.8/12*8</f>
        <v>1058.3999999999999</v>
      </c>
    </row>
    <row r="78" spans="1:4" ht="12.75">
      <c r="A78" s="430" t="s">
        <v>1057</v>
      </c>
      <c r="B78" s="424"/>
      <c r="C78" s="424">
        <v>96</v>
      </c>
      <c r="D78" s="424">
        <f>2*134.4/12*4</f>
        <v>89.60000000000001</v>
      </c>
    </row>
    <row r="79" spans="1:4" ht="12.75">
      <c r="A79" s="430" t="s">
        <v>363</v>
      </c>
      <c r="B79" s="424"/>
      <c r="C79" s="436"/>
      <c r="D79" s="424">
        <f>2*134.4/12*8</f>
        <v>179.20000000000002</v>
      </c>
    </row>
    <row r="80" spans="1:4" ht="12.75">
      <c r="A80" s="430" t="s">
        <v>1058</v>
      </c>
      <c r="B80" s="424">
        <f>10*240</f>
        <v>2400</v>
      </c>
      <c r="C80" s="436"/>
      <c r="D80" s="424">
        <f>11*240</f>
        <v>2640</v>
      </c>
    </row>
    <row r="81" spans="1:4" ht="13.5">
      <c r="A81" s="430" t="s">
        <v>1059</v>
      </c>
      <c r="B81" s="424">
        <f>2*325</f>
        <v>650</v>
      </c>
      <c r="C81" s="436"/>
      <c r="D81" s="424">
        <f>2*305</f>
        <v>610</v>
      </c>
    </row>
    <row r="82" spans="1:4" ht="12.75">
      <c r="A82" s="429" t="s">
        <v>1060</v>
      </c>
      <c r="B82" s="424">
        <f>252*105*8/12</f>
        <v>17640</v>
      </c>
      <c r="C82" s="424">
        <v>8840</v>
      </c>
      <c r="D82" s="424">
        <f>5.8*2350*8/12</f>
        <v>9086.666666666666</v>
      </c>
    </row>
    <row r="83" spans="1:4" ht="12.75">
      <c r="A83" s="429" t="s">
        <v>1061</v>
      </c>
      <c r="B83" s="424">
        <f>152*40*8/12</f>
        <v>4053.3333333333335</v>
      </c>
      <c r="C83" s="424">
        <v>1870</v>
      </c>
      <c r="D83" s="424">
        <f>0.8*2350*8/12</f>
        <v>1253.3333333333333</v>
      </c>
    </row>
    <row r="84" spans="1:4" ht="12.75">
      <c r="A84" s="432" t="s">
        <v>1062</v>
      </c>
      <c r="B84" s="424">
        <v>4930</v>
      </c>
      <c r="C84" s="424">
        <v>4403</v>
      </c>
      <c r="D84" s="424">
        <f>5.8*2350000*4/12/1000</f>
        <v>4543.333333333333</v>
      </c>
    </row>
    <row r="85" spans="1:4" ht="12.75">
      <c r="A85" s="432" t="s">
        <v>1063</v>
      </c>
      <c r="B85" s="424">
        <v>1020</v>
      </c>
      <c r="C85" s="424">
        <v>931</v>
      </c>
      <c r="D85" s="424">
        <f>0.8*2350*4/12</f>
        <v>626.6666666666666</v>
      </c>
    </row>
    <row r="86" spans="1:4" ht="12.75">
      <c r="A86" s="425" t="s">
        <v>1064</v>
      </c>
      <c r="B86" s="424">
        <f>275*51*4/12</f>
        <v>4675</v>
      </c>
      <c r="C86" s="424">
        <v>8364</v>
      </c>
      <c r="D86" s="424">
        <f>274*44.9*8/12</f>
        <v>8201.733333333334</v>
      </c>
    </row>
    <row r="87" spans="1:4" ht="12.75">
      <c r="A87" s="425" t="s">
        <v>371</v>
      </c>
      <c r="B87" s="424"/>
      <c r="C87" s="424">
        <v>3977</v>
      </c>
      <c r="D87" s="424">
        <f>274*44.9*4/12</f>
        <v>4100.866666666667</v>
      </c>
    </row>
    <row r="88" spans="1:4" ht="12.75">
      <c r="A88" s="425" t="s">
        <v>1065</v>
      </c>
      <c r="B88" s="424">
        <f>152*20*4/12</f>
        <v>1013.3333333333334</v>
      </c>
      <c r="C88" s="424">
        <v>1840</v>
      </c>
      <c r="D88" s="424">
        <f>94*17.6*8/12</f>
        <v>1102.9333333333334</v>
      </c>
    </row>
    <row r="89" spans="1:4" ht="12.75">
      <c r="A89" s="425" t="s">
        <v>373</v>
      </c>
      <c r="B89" s="424"/>
      <c r="C89" s="424">
        <v>874</v>
      </c>
      <c r="D89" s="424">
        <f>94*17.6*4/12</f>
        <v>551.4666666666667</v>
      </c>
    </row>
    <row r="90" spans="1:4" ht="12.75">
      <c r="A90" s="430" t="s">
        <v>1066</v>
      </c>
      <c r="B90" s="424">
        <f>78*318000*8/12/1000</f>
        <v>16536</v>
      </c>
      <c r="C90" s="424">
        <v>6290</v>
      </c>
      <c r="D90" s="424">
        <f>3.7*2350/12*4</f>
        <v>2898.3333333333335</v>
      </c>
    </row>
    <row r="91" spans="1:4" ht="12.75">
      <c r="A91" s="430" t="s">
        <v>1067</v>
      </c>
      <c r="B91" s="424">
        <f>4.1*2550000*4/12/1000</f>
        <v>3485</v>
      </c>
      <c r="C91" s="424">
        <v>3133</v>
      </c>
      <c r="D91" s="424">
        <f>3.8*2350/12*8</f>
        <v>5953.333333333333</v>
      </c>
    </row>
    <row r="92" spans="1:4" ht="12.75">
      <c r="A92" s="429" t="s">
        <v>1068</v>
      </c>
      <c r="B92" s="424">
        <f>78*186*4/12</f>
        <v>4836</v>
      </c>
      <c r="C92" s="424">
        <v>8928</v>
      </c>
      <c r="D92" s="424">
        <f>72*165/12*4</f>
        <v>3960</v>
      </c>
    </row>
    <row r="93" spans="1:4" ht="12.75">
      <c r="A93" s="429" t="s">
        <v>1069</v>
      </c>
      <c r="B93" s="433"/>
      <c r="C93" s="433">
        <f>177*72*4/12</f>
        <v>4248</v>
      </c>
      <c r="D93" s="433">
        <f>73*165/12*8</f>
        <v>8030</v>
      </c>
    </row>
    <row r="94" spans="1:4" ht="12.75">
      <c r="A94" s="430" t="s">
        <v>1070</v>
      </c>
      <c r="B94" s="424">
        <f>534*23000*8/12/1000</f>
        <v>8188</v>
      </c>
      <c r="C94" s="436"/>
      <c r="D94" s="424"/>
    </row>
    <row r="95" spans="1:4" ht="12.75">
      <c r="A95" s="430" t="s">
        <v>1071</v>
      </c>
      <c r="B95" s="424">
        <v>3230</v>
      </c>
      <c r="C95" s="424">
        <v>6120</v>
      </c>
      <c r="D95" s="424">
        <f>3.7*2350/12*8</f>
        <v>5796.666666666667</v>
      </c>
    </row>
    <row r="96" spans="1:4" ht="12.75">
      <c r="A96" s="430" t="s">
        <v>1072</v>
      </c>
      <c r="B96" s="424">
        <v>765</v>
      </c>
      <c r="C96" s="424">
        <v>1530</v>
      </c>
      <c r="D96" s="424">
        <f>0.7*2350/12*8</f>
        <v>1096.6666666666667</v>
      </c>
    </row>
    <row r="97" spans="1:4" ht="12.75">
      <c r="A97" s="430" t="s">
        <v>380</v>
      </c>
      <c r="B97" s="424"/>
      <c r="C97" s="424">
        <v>2964</v>
      </c>
      <c r="D97" s="424">
        <f>3.5*2350/12*4</f>
        <v>2741.6666666666665</v>
      </c>
    </row>
    <row r="98" spans="1:4" ht="12.75">
      <c r="A98" s="1009"/>
      <c r="B98" s="170"/>
      <c r="C98" s="170"/>
      <c r="D98" s="1008"/>
    </row>
    <row r="99" spans="1:4" ht="12.75">
      <c r="A99" s="1118">
        <v>3</v>
      </c>
      <c r="B99" s="1118"/>
      <c r="C99" s="1118"/>
      <c r="D99" s="1118"/>
    </row>
    <row r="100" spans="1:4" ht="15.75">
      <c r="A100" s="1004" t="s">
        <v>1022</v>
      </c>
      <c r="B100" s="1005" t="s">
        <v>1023</v>
      </c>
      <c r="C100" s="1005" t="s">
        <v>1024</v>
      </c>
      <c r="D100" s="1005" t="s">
        <v>1025</v>
      </c>
    </row>
    <row r="101" spans="1:4" ht="12.75">
      <c r="A101" s="427" t="s">
        <v>381</v>
      </c>
      <c r="B101" s="424"/>
      <c r="C101" s="424">
        <v>677</v>
      </c>
      <c r="D101" s="424">
        <f>0.6*2350/12*4</f>
        <v>470</v>
      </c>
    </row>
    <row r="102" spans="1:4" ht="12.75">
      <c r="A102" s="427" t="s">
        <v>1073</v>
      </c>
      <c r="B102" s="424">
        <f>49*71.5*8/12</f>
        <v>2335.6666666666665</v>
      </c>
      <c r="C102" s="424">
        <v>10678</v>
      </c>
      <c r="D102" s="424">
        <f>35*64/12*4</f>
        <v>746.6666666666666</v>
      </c>
    </row>
    <row r="103" spans="1:4" ht="12.75">
      <c r="A103" s="427" t="s">
        <v>1074</v>
      </c>
      <c r="B103" s="424">
        <f>35*71.5*4/12</f>
        <v>834.1666666666666</v>
      </c>
      <c r="C103" s="424">
        <v>5213</v>
      </c>
      <c r="D103" s="424">
        <f>26*64/12*8</f>
        <v>1109.3333333333333</v>
      </c>
    </row>
    <row r="104" spans="1:4" ht="12.75">
      <c r="A104" s="425" t="s">
        <v>1075</v>
      </c>
      <c r="B104" s="424">
        <f>173*55</f>
        <v>9515</v>
      </c>
      <c r="C104" s="424">
        <v>10855</v>
      </c>
      <c r="D104" s="424">
        <f>149*65</f>
        <v>9685</v>
      </c>
    </row>
    <row r="105" spans="1:4" ht="12.75">
      <c r="A105" s="425" t="s">
        <v>1076</v>
      </c>
      <c r="B105" s="424">
        <f>235*55</f>
        <v>12925</v>
      </c>
      <c r="C105" s="424">
        <v>17745</v>
      </c>
      <c r="D105" s="424">
        <f>298*65</f>
        <v>19370</v>
      </c>
    </row>
    <row r="106" spans="1:4" ht="12.75">
      <c r="A106" s="425" t="s">
        <v>1077</v>
      </c>
      <c r="B106" s="424">
        <f>75*55</f>
        <v>4125</v>
      </c>
      <c r="C106" s="424"/>
      <c r="D106" s="424"/>
    </row>
    <row r="107" spans="1:4" ht="12.75">
      <c r="A107" s="425" t="s">
        <v>386</v>
      </c>
      <c r="B107" s="424"/>
      <c r="C107" s="424">
        <v>4225</v>
      </c>
      <c r="D107" s="424">
        <f>49*65</f>
        <v>3185</v>
      </c>
    </row>
    <row r="108" spans="1:4" ht="12.75">
      <c r="A108" s="425" t="s">
        <v>387</v>
      </c>
      <c r="B108" s="424"/>
      <c r="C108" s="424">
        <v>910</v>
      </c>
      <c r="D108" s="424">
        <f>16*65</f>
        <v>1040</v>
      </c>
    </row>
    <row r="109" spans="1:4" ht="12.75">
      <c r="A109" s="425" t="s">
        <v>1078</v>
      </c>
      <c r="B109" s="424">
        <f>44*55</f>
        <v>2420</v>
      </c>
      <c r="C109" s="424">
        <v>2990</v>
      </c>
      <c r="D109" s="424">
        <f>42*65</f>
        <v>2730</v>
      </c>
    </row>
    <row r="110" spans="1:4" ht="12.75">
      <c r="A110" s="428" t="s">
        <v>389</v>
      </c>
      <c r="B110" s="424">
        <f>27*16</f>
        <v>432</v>
      </c>
      <c r="C110" s="424">
        <v>660</v>
      </c>
      <c r="D110" s="424">
        <f>69*20</f>
        <v>1380</v>
      </c>
    </row>
    <row r="111" spans="1:4" ht="12.75">
      <c r="A111" s="427" t="s">
        <v>1079</v>
      </c>
      <c r="B111" s="424">
        <f>805*15*8/12</f>
        <v>8050</v>
      </c>
      <c r="C111" s="424">
        <v>10812</v>
      </c>
      <c r="D111" s="424">
        <f>942*15.3/12*8</f>
        <v>9608.4</v>
      </c>
    </row>
    <row r="112" spans="1:4" ht="12.75">
      <c r="A112" s="427" t="s">
        <v>1080</v>
      </c>
      <c r="B112" s="424">
        <f>820*18*4/12</f>
        <v>4920</v>
      </c>
      <c r="C112" s="424">
        <v>5556</v>
      </c>
      <c r="D112" s="424">
        <f>955*15.3/12*4</f>
        <v>4870.5</v>
      </c>
    </row>
    <row r="113" spans="1:4" ht="12.75">
      <c r="A113" s="427" t="s">
        <v>1081</v>
      </c>
      <c r="B113" s="424">
        <f>162*45*8/12</f>
        <v>4860</v>
      </c>
      <c r="C113" s="424"/>
      <c r="D113" s="424"/>
    </row>
    <row r="114" spans="1:4" ht="12.75">
      <c r="A114" s="427" t="s">
        <v>1082</v>
      </c>
      <c r="B114" s="424">
        <f>68*45*4/12</f>
        <v>1020</v>
      </c>
      <c r="C114" s="424">
        <v>1620</v>
      </c>
      <c r="D114" s="424">
        <f>47*36.3/12*8</f>
        <v>1137.3999999999999</v>
      </c>
    </row>
    <row r="115" spans="1:4" ht="12.75">
      <c r="A115" s="427" t="s">
        <v>1083</v>
      </c>
      <c r="B115" s="424">
        <f>23*45*4/12</f>
        <v>345</v>
      </c>
      <c r="C115" s="424">
        <v>630</v>
      </c>
      <c r="D115" s="424"/>
    </row>
    <row r="116" spans="1:4" ht="12.75">
      <c r="A116" s="427" t="s">
        <v>1084</v>
      </c>
      <c r="B116" s="424">
        <f>68*45*4/12</f>
        <v>1020</v>
      </c>
      <c r="C116" s="424">
        <v>2070</v>
      </c>
      <c r="D116" s="424"/>
    </row>
    <row r="117" spans="1:4" ht="12.75">
      <c r="A117" s="425" t="s">
        <v>393</v>
      </c>
      <c r="B117" s="424"/>
      <c r="C117" s="424">
        <v>728</v>
      </c>
      <c r="D117" s="424">
        <f>50*36.3/12*4</f>
        <v>604.9999999999999</v>
      </c>
    </row>
    <row r="118" spans="1:4" ht="12.75">
      <c r="A118" s="425" t="s">
        <v>394</v>
      </c>
      <c r="B118" s="424"/>
      <c r="C118" s="424">
        <v>613</v>
      </c>
      <c r="D118" s="424">
        <f>39*36.3/12*8</f>
        <v>943.7999999999998</v>
      </c>
    </row>
    <row r="119" spans="1:4" ht="12.75">
      <c r="A119" s="425" t="s">
        <v>395</v>
      </c>
      <c r="B119" s="424"/>
      <c r="C119" s="424"/>
      <c r="D119" s="424">
        <f>58*36.3/12*4</f>
        <v>701.7999999999998</v>
      </c>
    </row>
    <row r="120" spans="1:4" ht="12.75">
      <c r="A120" s="425" t="s">
        <v>396</v>
      </c>
      <c r="B120" s="424"/>
      <c r="C120" s="424">
        <v>713</v>
      </c>
      <c r="D120" s="424">
        <f>48*36.3/12*8</f>
        <v>1161.6</v>
      </c>
    </row>
    <row r="121" spans="1:4" ht="12.75">
      <c r="A121" s="425" t="s">
        <v>397</v>
      </c>
      <c r="B121" s="424"/>
      <c r="C121" s="424"/>
      <c r="D121" s="424">
        <f>25*36.3/12*4</f>
        <v>302.49999999999994</v>
      </c>
    </row>
    <row r="122" spans="1:4" ht="21.75" customHeight="1">
      <c r="A122" s="425" t="s">
        <v>1085</v>
      </c>
      <c r="B122" s="424">
        <f>17520*1.135</f>
        <v>19885.2</v>
      </c>
      <c r="C122" s="424">
        <f>1061*17.389</f>
        <v>18449.729</v>
      </c>
      <c r="D122" s="424">
        <v>0</v>
      </c>
    </row>
    <row r="123" spans="1:4" ht="12.75">
      <c r="A123" s="427" t="s">
        <v>1086</v>
      </c>
      <c r="B123" s="424">
        <f>44*3.8</f>
        <v>167.2</v>
      </c>
      <c r="C123" s="424">
        <v>151</v>
      </c>
      <c r="D123" s="424">
        <v>151</v>
      </c>
    </row>
    <row r="124" spans="1:4" ht="12.75">
      <c r="A124" s="425" t="s">
        <v>399</v>
      </c>
      <c r="B124" s="424"/>
      <c r="C124" s="424"/>
      <c r="D124" s="424"/>
    </row>
    <row r="125" spans="1:4" ht="12.75">
      <c r="A125" s="427" t="s">
        <v>400</v>
      </c>
      <c r="B125" s="424">
        <v>3300</v>
      </c>
      <c r="C125" s="424">
        <v>3300</v>
      </c>
      <c r="D125" s="424">
        <v>3000</v>
      </c>
    </row>
    <row r="126" spans="1:4" ht="13.5">
      <c r="A126" s="425" t="s">
        <v>1087</v>
      </c>
      <c r="B126" s="424">
        <f>39886*0.513</f>
        <v>20461.518</v>
      </c>
      <c r="C126" s="424">
        <v>12774</v>
      </c>
      <c r="D126" s="434">
        <f>39.426*276</f>
        <v>10881.576000000001</v>
      </c>
    </row>
    <row r="127" spans="1:4" ht="13.5">
      <c r="A127" s="425" t="s">
        <v>1088</v>
      </c>
      <c r="B127" s="424">
        <f>45326*0.28</f>
        <v>12691.28</v>
      </c>
      <c r="C127" s="424">
        <v>12133</v>
      </c>
      <c r="D127" s="434">
        <f>44.937*229</f>
        <v>10290.573</v>
      </c>
    </row>
    <row r="128" spans="1:4" ht="13.5">
      <c r="A128" s="425" t="s">
        <v>1089</v>
      </c>
      <c r="B128" s="424">
        <f>45301*0.05</f>
        <v>2265.05</v>
      </c>
      <c r="C128" s="424">
        <v>3146</v>
      </c>
      <c r="D128" s="434">
        <f>44.94*56</f>
        <v>2516.64</v>
      </c>
    </row>
    <row r="129" spans="1:4" ht="13.5">
      <c r="A129" s="425" t="s">
        <v>1090</v>
      </c>
      <c r="B129" s="424">
        <f>479*7.7</f>
        <v>3688.3</v>
      </c>
      <c r="C129" s="424">
        <v>4410</v>
      </c>
      <c r="D129" s="434">
        <f>0.57*7729</f>
        <v>4405.53</v>
      </c>
    </row>
    <row r="130" spans="1:4" ht="13.5">
      <c r="A130" s="425" t="s">
        <v>1091</v>
      </c>
      <c r="B130" s="424">
        <v>115509</v>
      </c>
      <c r="C130" s="424">
        <v>116680</v>
      </c>
      <c r="D130" s="434">
        <v>116680</v>
      </c>
    </row>
    <row r="131" spans="1:4" ht="12.75">
      <c r="A131" s="425" t="s">
        <v>1092</v>
      </c>
      <c r="B131" s="433">
        <v>0</v>
      </c>
      <c r="C131" s="433">
        <v>0</v>
      </c>
      <c r="D131" s="433">
        <v>0</v>
      </c>
    </row>
    <row r="132" spans="1:4" ht="12.75">
      <c r="A132" s="425" t="s">
        <v>1093</v>
      </c>
      <c r="B132" s="424"/>
      <c r="C132" s="436"/>
      <c r="D132" s="424"/>
    </row>
    <row r="133" spans="1:4" ht="12.75">
      <c r="A133" s="425" t="s">
        <v>1094</v>
      </c>
      <c r="B133" s="424">
        <f>140*82</f>
        <v>11480</v>
      </c>
      <c r="C133" s="436"/>
      <c r="D133" s="424"/>
    </row>
    <row r="134" spans="1:4" ht="24">
      <c r="A134" s="428" t="s">
        <v>1095</v>
      </c>
      <c r="B134" s="424">
        <f>11*92.5</f>
        <v>1017.5</v>
      </c>
      <c r="C134" s="424">
        <v>6374</v>
      </c>
      <c r="D134" s="424"/>
    </row>
    <row r="135" spans="1:4" ht="24">
      <c r="A135" s="428" t="s">
        <v>1096</v>
      </c>
      <c r="B135" s="424">
        <f>11*82</f>
        <v>902</v>
      </c>
      <c r="C135" s="424">
        <v>7182</v>
      </c>
      <c r="D135" s="424"/>
    </row>
    <row r="136" spans="1:4" ht="24">
      <c r="A136" s="428" t="s">
        <v>1097</v>
      </c>
      <c r="B136" s="424">
        <f>1*65</f>
        <v>65</v>
      </c>
      <c r="C136" s="424">
        <v>640</v>
      </c>
      <c r="D136" s="424"/>
    </row>
    <row r="137" spans="1:4" ht="12.75">
      <c r="A137" s="428" t="s">
        <v>406</v>
      </c>
      <c r="B137" s="424"/>
      <c r="C137" s="436"/>
      <c r="D137" s="424">
        <f>205*55.363</f>
        <v>11349.414999999999</v>
      </c>
    </row>
    <row r="138" spans="1:4" ht="12.75">
      <c r="A138" s="425" t="s">
        <v>1098</v>
      </c>
      <c r="B138" s="424">
        <f>12*190</f>
        <v>2280</v>
      </c>
      <c r="C138" s="436"/>
      <c r="D138" s="424"/>
    </row>
    <row r="139" spans="1:4" s="112" customFormat="1" ht="24">
      <c r="A139" s="428" t="s">
        <v>1099</v>
      </c>
      <c r="B139" s="424">
        <f>3*275</f>
        <v>825</v>
      </c>
      <c r="C139" s="436"/>
      <c r="D139" s="424"/>
    </row>
    <row r="140" spans="1:4" ht="24">
      <c r="A140" s="428" t="s">
        <v>1100</v>
      </c>
      <c r="B140" s="424">
        <f>3*173.7</f>
        <v>521.0999999999999</v>
      </c>
      <c r="C140" s="436"/>
      <c r="D140" s="424"/>
    </row>
    <row r="141" spans="1:4" ht="12.75">
      <c r="A141" s="425" t="s">
        <v>1101</v>
      </c>
      <c r="B141" s="424">
        <f>1289*10</f>
        <v>12890</v>
      </c>
      <c r="C141" s="424">
        <v>12270</v>
      </c>
      <c r="D141" s="424">
        <f>1236*10</f>
        <v>12360</v>
      </c>
    </row>
    <row r="142" spans="1:4" ht="15">
      <c r="A142" s="423" t="s">
        <v>1102</v>
      </c>
      <c r="B142" s="166"/>
      <c r="C142" s="424"/>
      <c r="D142" s="1010"/>
    </row>
    <row r="143" spans="1:4" ht="15">
      <c r="A143" s="423" t="s">
        <v>1103</v>
      </c>
      <c r="B143" s="166"/>
      <c r="C143" s="1011"/>
      <c r="D143" s="1010"/>
    </row>
    <row r="144" spans="1:4" ht="15">
      <c r="A144" s="423" t="s">
        <v>1104</v>
      </c>
      <c r="B144" s="166"/>
      <c r="C144" s="1011"/>
      <c r="D144" s="1010"/>
    </row>
    <row r="145" spans="1:4" ht="15">
      <c r="A145" s="423" t="s">
        <v>1105</v>
      </c>
      <c r="B145" s="166"/>
      <c r="C145" s="1011"/>
      <c r="D145" s="1010"/>
    </row>
    <row r="146" spans="1:4" ht="15">
      <c r="A146" s="423" t="s">
        <v>1106</v>
      </c>
      <c r="B146" s="166"/>
      <c r="C146" s="1011"/>
      <c r="D146" s="1010"/>
    </row>
    <row r="147" spans="1:4" ht="15">
      <c r="A147" s="423" t="s">
        <v>1107</v>
      </c>
      <c r="B147" s="166"/>
      <c r="C147" s="1011"/>
      <c r="D147" s="1010"/>
    </row>
    <row r="148" spans="1:4" ht="15">
      <c r="A148" s="423" t="s">
        <v>1108</v>
      </c>
      <c r="B148" s="424">
        <f>2800*1</f>
        <v>2800</v>
      </c>
      <c r="C148" s="424">
        <v>1704</v>
      </c>
      <c r="D148" s="424">
        <f>2693*1</f>
        <v>2693</v>
      </c>
    </row>
    <row r="149" spans="1:4" ht="12.75">
      <c r="A149" s="1012"/>
      <c r="B149" s="168"/>
      <c r="C149" s="168"/>
      <c r="D149" s="438"/>
    </row>
    <row r="150" spans="1:4" ht="12.75">
      <c r="A150" s="1012"/>
      <c r="B150" s="168"/>
      <c r="C150" s="168"/>
      <c r="D150" s="438"/>
    </row>
    <row r="151" spans="1:4" ht="15">
      <c r="A151" s="1119">
        <v>4</v>
      </c>
      <c r="B151" s="1119"/>
      <c r="C151" s="1119"/>
      <c r="D151" s="1119"/>
    </row>
    <row r="152" spans="1:4" ht="15.75">
      <c r="A152" s="1004" t="s">
        <v>1022</v>
      </c>
      <c r="B152" s="959" t="s">
        <v>1023</v>
      </c>
      <c r="C152" s="959" t="s">
        <v>1109</v>
      </c>
      <c r="D152" s="959" t="s">
        <v>1110</v>
      </c>
    </row>
    <row r="153" spans="1:4" ht="15">
      <c r="A153" s="423" t="s">
        <v>1111</v>
      </c>
      <c r="B153" s="424"/>
      <c r="C153" s="424"/>
      <c r="D153" s="436"/>
    </row>
    <row r="154" spans="1:4" ht="13.5">
      <c r="A154" s="429" t="s">
        <v>1112</v>
      </c>
      <c r="B154" s="424"/>
      <c r="C154" s="424"/>
      <c r="D154" s="436"/>
    </row>
    <row r="155" spans="1:4" ht="15">
      <c r="A155" s="423" t="s">
        <v>1113</v>
      </c>
      <c r="B155" s="424">
        <f>17520*0.515</f>
        <v>9022.800000000001</v>
      </c>
      <c r="C155" s="424">
        <f>17.389*515</f>
        <v>8955.335</v>
      </c>
      <c r="D155" s="436">
        <v>0</v>
      </c>
    </row>
    <row r="156" spans="1:4" ht="12.75">
      <c r="A156" s="435" t="s">
        <v>409</v>
      </c>
      <c r="B156" s="424">
        <f>SUM(B111:B155)+SUM(B7:B110)</f>
        <v>1174746.1146666668</v>
      </c>
      <c r="C156" s="424">
        <f>SUM(C111:C155)+SUM(C7:C110)</f>
        <v>1154325.1369999999</v>
      </c>
      <c r="D156" s="424">
        <f>SUM(D111:D155)+SUM(D7:D110)</f>
        <v>1010363.7446666666</v>
      </c>
    </row>
    <row r="157" spans="1:4" ht="15">
      <c r="A157" s="1013"/>
      <c r="B157" s="419"/>
      <c r="C157" s="419"/>
      <c r="D157" s="1003"/>
    </row>
    <row r="158" spans="1:4" ht="15">
      <c r="A158" s="1120"/>
      <c r="B158" s="1120"/>
      <c r="C158" s="1014"/>
      <c r="D158" s="1003"/>
    </row>
    <row r="159" spans="1:4" ht="15">
      <c r="A159" s="1013"/>
      <c r="B159" s="419"/>
      <c r="C159" s="419"/>
      <c r="D159" s="1003"/>
    </row>
    <row r="160" spans="1:4" ht="15">
      <c r="A160" s="1044"/>
      <c r="B160" s="1044"/>
      <c r="C160" s="1015"/>
      <c r="D160" s="1003"/>
    </row>
    <row r="161" spans="1:4" ht="15.75">
      <c r="A161" s="1046" t="s">
        <v>1114</v>
      </c>
      <c r="B161" s="1046"/>
      <c r="C161" s="1046"/>
      <c r="D161" s="1046"/>
    </row>
    <row r="162" spans="1:4" ht="15">
      <c r="A162" s="1013"/>
      <c r="B162" s="419"/>
      <c r="C162" s="419"/>
      <c r="D162" s="1003"/>
    </row>
    <row r="163" spans="1:4" ht="15.75">
      <c r="A163" s="1004" t="s">
        <v>1022</v>
      </c>
      <c r="B163" s="1016" t="s">
        <v>1023</v>
      </c>
      <c r="C163" s="959" t="s">
        <v>1109</v>
      </c>
      <c r="D163" s="959" t="s">
        <v>1110</v>
      </c>
    </row>
    <row r="164" spans="1:4" ht="12.75">
      <c r="A164" s="435" t="s">
        <v>1115</v>
      </c>
      <c r="B164" s="1017">
        <v>23567</v>
      </c>
      <c r="C164" s="424"/>
      <c r="D164" s="424"/>
    </row>
    <row r="165" spans="1:4" ht="12.75">
      <c r="A165" s="429" t="s">
        <v>1116</v>
      </c>
      <c r="B165" s="1017">
        <v>7140</v>
      </c>
      <c r="C165" s="424">
        <v>7760</v>
      </c>
      <c r="D165" s="424">
        <f>8*900</f>
        <v>7200</v>
      </c>
    </row>
    <row r="166" spans="1:4" ht="15">
      <c r="A166" s="423" t="s">
        <v>1117</v>
      </c>
      <c r="B166" s="1017">
        <f>303*11.7</f>
        <v>3545.1</v>
      </c>
      <c r="C166" s="424">
        <f>301*11.7*8/12+296*11.7*4/12</f>
        <v>3502.2</v>
      </c>
      <c r="D166" s="424">
        <v>0</v>
      </c>
    </row>
    <row r="167" spans="1:4" ht="15">
      <c r="A167" s="423" t="s">
        <v>1118</v>
      </c>
      <c r="B167" s="1017">
        <f>18*9.4</f>
        <v>169.20000000000002</v>
      </c>
      <c r="C167" s="424">
        <f>16*9.4</f>
        <v>150.4</v>
      </c>
      <c r="D167" s="424">
        <f>16*9.4</f>
        <v>150.4</v>
      </c>
    </row>
    <row r="168" spans="1:4" ht="15">
      <c r="A168" s="423" t="s">
        <v>1119</v>
      </c>
      <c r="B168" s="1018"/>
      <c r="C168" s="424">
        <v>707</v>
      </c>
      <c r="D168" s="424">
        <v>0</v>
      </c>
    </row>
    <row r="169" spans="1:4" ht="12.75">
      <c r="A169" s="435" t="s">
        <v>416</v>
      </c>
      <c r="B169" s="1017">
        <f>SUM(B164:B168)</f>
        <v>34421.299999999996</v>
      </c>
      <c r="C169" s="424">
        <f>SUM(C164:C168)-1</f>
        <v>12118.6</v>
      </c>
      <c r="D169" s="424">
        <f>SUM(D164:D168)</f>
        <v>7350.4</v>
      </c>
    </row>
    <row r="170" spans="1:4" ht="12.75">
      <c r="A170" s="435" t="s">
        <v>417</v>
      </c>
      <c r="B170" s="1018"/>
      <c r="C170" s="424"/>
      <c r="D170" s="424"/>
    </row>
    <row r="171" spans="1:4" ht="15">
      <c r="A171" s="423" t="s">
        <v>1120</v>
      </c>
      <c r="B171" s="1018"/>
      <c r="C171" s="424"/>
      <c r="D171" s="424"/>
    </row>
    <row r="172" spans="1:4" ht="15">
      <c r="A172" s="423" t="s">
        <v>1121</v>
      </c>
      <c r="B172" s="1017">
        <f>62*3920172/1000-1</f>
        <v>243049.664</v>
      </c>
      <c r="C172" s="424">
        <v>259313</v>
      </c>
      <c r="D172" s="424">
        <f>68*3620.169</f>
        <v>246171.492</v>
      </c>
    </row>
    <row r="173" spans="1:4" ht="15">
      <c r="A173" s="423" t="s">
        <v>420</v>
      </c>
      <c r="B173" s="1017"/>
      <c r="C173" s="424"/>
      <c r="D173" s="424"/>
    </row>
    <row r="174" spans="1:4" ht="12.75">
      <c r="A174" s="429" t="s">
        <v>1122</v>
      </c>
      <c r="B174" s="1017">
        <f>1083*4717/1000</f>
        <v>5108.511</v>
      </c>
      <c r="C174" s="424">
        <f>1083*4.897+1</f>
        <v>5304.451</v>
      </c>
      <c r="D174" s="424">
        <f>1083*4.897</f>
        <v>5303.451</v>
      </c>
    </row>
    <row r="175" spans="1:4" ht="12.75">
      <c r="A175" s="429" t="s">
        <v>1123</v>
      </c>
      <c r="B175" s="1017">
        <f>84548*115/1000</f>
        <v>9723.02</v>
      </c>
      <c r="C175" s="424">
        <f>87133*0.138</f>
        <v>12024.354000000001</v>
      </c>
      <c r="D175" s="424">
        <f>82979*0.138</f>
        <v>11451.102</v>
      </c>
    </row>
    <row r="176" spans="1:4" ht="15">
      <c r="A176" s="423" t="s">
        <v>423</v>
      </c>
      <c r="B176" s="1017"/>
      <c r="C176" s="424"/>
      <c r="D176" s="424"/>
    </row>
    <row r="177" spans="1:4" ht="12.75">
      <c r="A177" s="429" t="s">
        <v>1124</v>
      </c>
      <c r="B177" s="1017">
        <f>3*500</f>
        <v>1500</v>
      </c>
      <c r="C177" s="424">
        <f>3*500</f>
        <v>1500</v>
      </c>
      <c r="D177" s="424">
        <f>3*500</f>
        <v>1500</v>
      </c>
    </row>
    <row r="178" spans="1:4" s="112" customFormat="1" ht="15">
      <c r="A178" s="423" t="s">
        <v>1125</v>
      </c>
      <c r="B178" s="1017">
        <v>0</v>
      </c>
      <c r="C178" s="424">
        <v>0</v>
      </c>
      <c r="D178" s="424"/>
    </row>
    <row r="179" spans="1:4" ht="12.75">
      <c r="A179" s="435" t="s">
        <v>416</v>
      </c>
      <c r="B179" s="1017">
        <f>SUM(B172:B178)+1</f>
        <v>259382.19499999998</v>
      </c>
      <c r="C179" s="424">
        <f>SUM(C172:C178)-1</f>
        <v>278140.805</v>
      </c>
      <c r="D179" s="424">
        <f>SUM(D172:D178)</f>
        <v>264426.045</v>
      </c>
    </row>
    <row r="180" spans="1:4" ht="12.75">
      <c r="A180" s="435" t="s">
        <v>1126</v>
      </c>
      <c r="B180" s="1017">
        <f>B179+B169</f>
        <v>293803.495</v>
      </c>
      <c r="C180" s="424">
        <f>C179+C169</f>
        <v>290259.40499999997</v>
      </c>
      <c r="D180" s="424">
        <f>D179+D169</f>
        <v>271776.445</v>
      </c>
    </row>
    <row r="181" spans="1:4" ht="12.75">
      <c r="A181" s="435" t="s">
        <v>1127</v>
      </c>
      <c r="B181" s="1017">
        <f>B180+B156</f>
        <v>1468549.609666667</v>
      </c>
      <c r="C181" s="424">
        <f>C180+C156</f>
        <v>1444584.542</v>
      </c>
      <c r="D181" s="436">
        <f>D180+D156</f>
        <v>1282140.1896666666</v>
      </c>
    </row>
    <row r="182" spans="1:4" ht="15">
      <c r="A182" s="423"/>
      <c r="B182" s="1017"/>
      <c r="C182" s="424"/>
      <c r="D182" s="436"/>
    </row>
    <row r="183" spans="1:4" ht="15">
      <c r="A183" s="423" t="s">
        <v>1128</v>
      </c>
      <c r="B183" s="1017">
        <v>162581</v>
      </c>
      <c r="C183" s="424">
        <v>190789</v>
      </c>
      <c r="D183" s="424">
        <v>201552</v>
      </c>
    </row>
    <row r="184" spans="1:4" ht="12.75">
      <c r="A184" s="1019" t="s">
        <v>1129</v>
      </c>
      <c r="B184" s="1017">
        <v>220829</v>
      </c>
      <c r="C184" s="424">
        <v>241339</v>
      </c>
      <c r="D184" s="433">
        <v>207626</v>
      </c>
    </row>
    <row r="185" spans="1:4" ht="12.75">
      <c r="A185" s="435" t="s">
        <v>1127</v>
      </c>
      <c r="B185" s="1017">
        <f>SUM(B181:B184)</f>
        <v>1851959.609666667</v>
      </c>
      <c r="C185" s="424">
        <f>SUM(C181:C184)</f>
        <v>1876712.542</v>
      </c>
      <c r="D185" s="436">
        <f>SUM(D181:D184)</f>
        <v>1691318.1896666666</v>
      </c>
    </row>
    <row r="232" ht="32.25" customHeight="1"/>
  </sheetData>
  <sheetProtection/>
  <mergeCells count="8">
    <mergeCell ref="A160:B160"/>
    <mergeCell ref="A161:D161"/>
    <mergeCell ref="A2:D2"/>
    <mergeCell ref="A3:D3"/>
    <mergeCell ref="A48:D48"/>
    <mergeCell ref="A99:D99"/>
    <mergeCell ref="A151:D151"/>
    <mergeCell ref="A158:B158"/>
  </mergeCells>
  <printOptions/>
  <pageMargins left="0.5513888888888889" right="0.5513888888888889" top="0.7875" bottom="0.7875" header="0.5118055555555556" footer="0.5118055555555556"/>
  <pageSetup horizontalDpi="300" verticalDpi="300"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60.57421875" style="0" customWidth="1"/>
    <col min="2" max="2" width="25.00390625" style="0" customWidth="1"/>
  </cols>
  <sheetData>
    <row r="1" ht="12.75">
      <c r="B1" t="s">
        <v>1130</v>
      </c>
    </row>
    <row r="5" spans="1:2" ht="15.75">
      <c r="A5" s="1121" t="s">
        <v>1131</v>
      </c>
      <c r="B5" s="1121"/>
    </row>
    <row r="10" spans="1:2" ht="12.75">
      <c r="A10" s="1020" t="s">
        <v>5</v>
      </c>
      <c r="B10" s="1020" t="s">
        <v>1132</v>
      </c>
    </row>
    <row r="11" spans="1:2" ht="12.75">
      <c r="A11" s="1021"/>
      <c r="B11" s="1021"/>
    </row>
    <row r="12" spans="1:2" ht="12.75">
      <c r="A12" s="1022" t="s">
        <v>1133</v>
      </c>
      <c r="B12" s="1021"/>
    </row>
    <row r="13" spans="1:2" ht="12.75">
      <c r="A13" s="1022" t="s">
        <v>1134</v>
      </c>
      <c r="B13" s="1021"/>
    </row>
    <row r="14" spans="1:2" ht="12.75">
      <c r="A14" s="1021" t="s">
        <v>1135</v>
      </c>
      <c r="B14" s="1023">
        <v>209791</v>
      </c>
    </row>
    <row r="15" spans="1:2" ht="12.75">
      <c r="A15" s="1021" t="s">
        <v>1136</v>
      </c>
      <c r="B15" s="1023">
        <v>85018</v>
      </c>
    </row>
    <row r="16" spans="1:2" ht="12.75">
      <c r="A16" s="1021" t="s">
        <v>1137</v>
      </c>
      <c r="B16" s="1023">
        <v>40346</v>
      </c>
    </row>
    <row r="17" spans="1:2" ht="12.75">
      <c r="A17" s="1021"/>
      <c r="B17" s="1023"/>
    </row>
    <row r="18" spans="1:2" ht="12.75">
      <c r="A18" s="1021"/>
      <c r="B18" s="1024"/>
    </row>
    <row r="19" spans="1:2" ht="12.75">
      <c r="A19" s="1021"/>
      <c r="B19" s="1024"/>
    </row>
    <row r="20" spans="1:2" ht="12.75">
      <c r="A20" s="1021"/>
      <c r="B20" s="1024"/>
    </row>
    <row r="21" spans="1:2" ht="12.75">
      <c r="A21" s="1022" t="s">
        <v>1138</v>
      </c>
      <c r="B21" s="1023"/>
    </row>
    <row r="22" spans="1:2" ht="12.75">
      <c r="A22" s="1022" t="s">
        <v>1139</v>
      </c>
      <c r="B22" s="1023">
        <v>148770</v>
      </c>
    </row>
    <row r="23" spans="1:2" ht="12.75">
      <c r="A23" s="1022" t="s">
        <v>1140</v>
      </c>
      <c r="B23" s="1025">
        <f>SUM(B14:B22)</f>
        <v>483925</v>
      </c>
    </row>
    <row r="24" spans="1:2" ht="12.75">
      <c r="A24" s="1021"/>
      <c r="B24" s="1021"/>
    </row>
    <row r="25" spans="1:2" ht="12.75">
      <c r="A25" s="1021"/>
      <c r="B25" s="1021"/>
    </row>
    <row r="26" spans="1:2" ht="12.75">
      <c r="A26" s="1021"/>
      <c r="B26" s="1021"/>
    </row>
    <row r="27" spans="1:2" ht="12.75">
      <c r="A27" s="1022" t="s">
        <v>1141</v>
      </c>
      <c r="B27" s="1021"/>
    </row>
    <row r="28" spans="1:2" ht="12.75">
      <c r="A28" s="1021" t="s">
        <v>1135</v>
      </c>
      <c r="B28" s="1023">
        <v>331289</v>
      </c>
    </row>
    <row r="29" spans="1:2" ht="12.75">
      <c r="A29" s="1021" t="s">
        <v>1136</v>
      </c>
      <c r="B29" s="1023">
        <v>97430</v>
      </c>
    </row>
    <row r="30" spans="1:2" ht="12.75">
      <c r="A30" s="1021" t="s">
        <v>1137</v>
      </c>
      <c r="B30" s="1023">
        <v>55206</v>
      </c>
    </row>
    <row r="31" spans="1:2" ht="12.75">
      <c r="A31" s="1021"/>
      <c r="B31" s="1023"/>
    </row>
    <row r="32" spans="1:2" ht="12.75">
      <c r="A32" s="1021"/>
      <c r="B32" s="1023"/>
    </row>
    <row r="33" spans="1:2" ht="12.75">
      <c r="A33" s="1021"/>
      <c r="B33" s="1023"/>
    </row>
    <row r="34" spans="1:2" ht="12.75">
      <c r="A34" s="1021"/>
      <c r="B34" s="1023"/>
    </row>
    <row r="35" spans="1:2" ht="12.75">
      <c r="A35" s="1021"/>
      <c r="B35" s="1021"/>
    </row>
    <row r="36" spans="1:2" ht="12.75">
      <c r="A36" s="1022" t="s">
        <v>1142</v>
      </c>
      <c r="B36" s="1025">
        <f>SUM(B28:B35)</f>
        <v>483925</v>
      </c>
    </row>
  </sheetData>
  <sheetProtection/>
  <mergeCells count="1">
    <mergeCell ref="A5:B5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55.7109375" style="0" customWidth="1"/>
    <col min="2" max="2" width="26.28125" style="0" customWidth="1"/>
  </cols>
  <sheetData>
    <row r="1" ht="12.75">
      <c r="B1" s="661" t="s">
        <v>1143</v>
      </c>
    </row>
    <row r="4" spans="1:2" ht="18">
      <c r="A4" s="1086" t="s">
        <v>1144</v>
      </c>
      <c r="B4" s="1086"/>
    </row>
    <row r="7" ht="12.75">
      <c r="B7" s="517" t="s">
        <v>1145</v>
      </c>
    </row>
    <row r="8" spans="1:2" ht="15.75">
      <c r="A8" s="1026" t="s">
        <v>5</v>
      </c>
      <c r="B8" s="1027" t="s">
        <v>570</v>
      </c>
    </row>
    <row r="9" spans="1:2" ht="15.75">
      <c r="A9" s="1028"/>
      <c r="B9" s="1029"/>
    </row>
    <row r="10" spans="1:2" ht="15.75">
      <c r="A10" s="1028" t="s">
        <v>1146</v>
      </c>
      <c r="B10" s="1029"/>
    </row>
    <row r="11" spans="1:2" ht="15.75">
      <c r="A11" s="1028" t="s">
        <v>1147</v>
      </c>
      <c r="B11" s="1029">
        <v>2855</v>
      </c>
    </row>
    <row r="12" spans="1:2" ht="15.75">
      <c r="A12" s="1028" t="s">
        <v>1148</v>
      </c>
      <c r="B12" s="1029">
        <v>5000</v>
      </c>
    </row>
    <row r="13" spans="1:2" ht="15.75">
      <c r="A13" s="1028" t="s">
        <v>1149</v>
      </c>
      <c r="B13" s="1029">
        <v>1000</v>
      </c>
    </row>
    <row r="14" spans="1:2" ht="15.75">
      <c r="A14" s="1028" t="s">
        <v>1150</v>
      </c>
      <c r="B14" s="1029">
        <v>2000</v>
      </c>
    </row>
    <row r="15" spans="1:2" ht="15.75">
      <c r="A15" s="1028" t="s">
        <v>1151</v>
      </c>
      <c r="B15" s="1029">
        <v>1000</v>
      </c>
    </row>
    <row r="16" spans="1:2" ht="15.75">
      <c r="A16" s="1028" t="s">
        <v>1152</v>
      </c>
      <c r="B16" s="1029">
        <v>10000</v>
      </c>
    </row>
    <row r="17" spans="1:2" ht="15.75">
      <c r="A17" s="1028" t="s">
        <v>1153</v>
      </c>
      <c r="B17" s="1029">
        <v>8334</v>
      </c>
    </row>
    <row r="18" spans="1:2" ht="15.75">
      <c r="A18" s="1028" t="s">
        <v>1154</v>
      </c>
      <c r="B18" s="1029">
        <v>7547</v>
      </c>
    </row>
    <row r="19" spans="1:2" ht="15.75">
      <c r="A19" s="1028" t="s">
        <v>1155</v>
      </c>
      <c r="B19" s="1029"/>
    </row>
    <row r="20" spans="1:2" ht="15.75">
      <c r="A20" s="1004" t="s">
        <v>1156</v>
      </c>
      <c r="B20" s="1030">
        <f>SUM(B11:B19)</f>
        <v>37736</v>
      </c>
    </row>
    <row r="21" spans="1:2" ht="15.75">
      <c r="A21" s="1004"/>
      <c r="B21" s="1030"/>
    </row>
    <row r="22" spans="1:2" ht="15.75">
      <c r="A22" s="1028" t="s">
        <v>687</v>
      </c>
      <c r="B22" s="1029">
        <f>'4_sz_ melléklet'!B50</f>
        <v>55206</v>
      </c>
    </row>
    <row r="23" spans="1:2" ht="15.75">
      <c r="A23" s="1028" t="s">
        <v>689</v>
      </c>
      <c r="B23" s="1029">
        <f>'3_sz_ melléklet'!B26</f>
        <v>44865</v>
      </c>
    </row>
    <row r="24" spans="1:2" ht="15.75">
      <c r="A24" s="1004" t="s">
        <v>1157</v>
      </c>
      <c r="B24" s="1030">
        <f>SUM(B22:B23)</f>
        <v>100071</v>
      </c>
    </row>
    <row r="25" spans="1:2" ht="15.75">
      <c r="A25" s="1004"/>
      <c r="B25" s="1030"/>
    </row>
    <row r="26" spans="1:2" ht="15.75">
      <c r="A26" s="1031" t="s">
        <v>1158</v>
      </c>
      <c r="B26" s="1032">
        <f>B20+B24</f>
        <v>137807</v>
      </c>
    </row>
  </sheetData>
  <sheetProtection/>
  <mergeCells count="1">
    <mergeCell ref="A4:B4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25">
      <selection activeCell="A30" sqref="A30"/>
    </sheetView>
  </sheetViews>
  <sheetFormatPr defaultColWidth="9.140625" defaultRowHeight="12.75"/>
  <cols>
    <col min="1" max="1" width="25.8515625" style="0" customWidth="1"/>
    <col min="2" max="2" width="15.140625" style="0" customWidth="1"/>
    <col min="3" max="3" width="14.421875" style="0" customWidth="1"/>
    <col min="4" max="4" width="13.421875" style="0" customWidth="1"/>
    <col min="5" max="5" width="12.57421875" style="0" customWidth="1"/>
  </cols>
  <sheetData>
    <row r="2" spans="1:5" ht="12.75">
      <c r="A2" s="1"/>
      <c r="B2" s="1"/>
      <c r="C2" s="1"/>
      <c r="D2" s="1083" t="s">
        <v>1159</v>
      </c>
      <c r="E2" s="1083"/>
    </row>
    <row r="3" spans="1:5" ht="12.75">
      <c r="A3" s="1"/>
      <c r="B3" s="1"/>
      <c r="C3" s="1"/>
      <c r="D3" s="776"/>
      <c r="E3" s="776"/>
    </row>
    <row r="4" spans="1:5" ht="15.75">
      <c r="A4" s="1046" t="s">
        <v>1160</v>
      </c>
      <c r="B4" s="1046"/>
      <c r="C4" s="1046"/>
      <c r="D4" s="1046"/>
      <c r="E4" s="1046"/>
    </row>
    <row r="5" spans="1:5" ht="12.75">
      <c r="A5" s="1122" t="s">
        <v>1161</v>
      </c>
      <c r="B5" s="1122"/>
      <c r="C5" s="1122"/>
      <c r="D5" s="1122"/>
      <c r="E5" s="1122"/>
    </row>
    <row r="6" spans="1:5" ht="22.5" customHeight="1">
      <c r="A6" s="1122"/>
      <c r="B6" s="1122"/>
      <c r="C6" s="1122"/>
      <c r="D6" s="1122"/>
      <c r="E6" s="1122"/>
    </row>
    <row r="7" spans="1:5" ht="15.75">
      <c r="A7" s="142"/>
      <c r="B7" s="142"/>
      <c r="C7" s="142"/>
      <c r="D7" s="142"/>
      <c r="E7" s="142"/>
    </row>
    <row r="8" spans="1:5" ht="15.75">
      <c r="A8" s="1033" t="s">
        <v>801</v>
      </c>
      <c r="B8" s="142"/>
      <c r="C8" s="142"/>
      <c r="D8" s="142"/>
      <c r="E8" s="142"/>
    </row>
    <row r="9" spans="1:5" ht="15.75">
      <c r="A9" s="142"/>
      <c r="B9" s="142"/>
      <c r="C9" s="142"/>
      <c r="D9" s="1123" t="s">
        <v>1162</v>
      </c>
      <c r="E9" s="1123"/>
    </row>
    <row r="10" spans="1:5" ht="31.5">
      <c r="A10" s="1034" t="s">
        <v>5</v>
      </c>
      <c r="B10" s="1035" t="s">
        <v>1163</v>
      </c>
      <c r="C10" s="1035" t="s">
        <v>1164</v>
      </c>
      <c r="D10" s="1035" t="s">
        <v>1165</v>
      </c>
      <c r="E10" s="1035" t="s">
        <v>1166</v>
      </c>
    </row>
    <row r="11" spans="1:5" ht="30">
      <c r="A11" s="940" t="s">
        <v>1167</v>
      </c>
      <c r="B11" s="1029">
        <f>'2_a_d_sz_ melléklet'!B37</f>
        <v>1000</v>
      </c>
      <c r="C11" s="1029">
        <v>0</v>
      </c>
      <c r="D11" s="1029">
        <v>0</v>
      </c>
      <c r="E11" s="1036">
        <v>0</v>
      </c>
    </row>
    <row r="12" spans="1:5" ht="30">
      <c r="A12" s="940" t="s">
        <v>1168</v>
      </c>
      <c r="B12" s="1029"/>
      <c r="C12" s="1029"/>
      <c r="D12" s="1029"/>
      <c r="E12" s="1036">
        <v>0</v>
      </c>
    </row>
    <row r="13" spans="1:5" ht="45">
      <c r="A13" s="940" t="s">
        <v>1169</v>
      </c>
      <c r="B13" s="1029"/>
      <c r="C13" s="1029"/>
      <c r="D13" s="1029"/>
      <c r="E13" s="1036">
        <v>0</v>
      </c>
    </row>
    <row r="14" spans="1:5" ht="15.75">
      <c r="A14" s="1037" t="s">
        <v>1170</v>
      </c>
      <c r="B14" s="1029"/>
      <c r="C14" s="1029"/>
      <c r="D14" s="1029"/>
      <c r="E14" s="1036">
        <v>0</v>
      </c>
    </row>
    <row r="15" spans="1:5" ht="20.25" customHeight="1">
      <c r="A15" s="940" t="s">
        <v>1171</v>
      </c>
      <c r="B15" s="1029"/>
      <c r="C15" s="1029"/>
      <c r="D15" s="1029"/>
      <c r="E15" s="1036">
        <v>0</v>
      </c>
    </row>
    <row r="16" spans="1:5" ht="15.75">
      <c r="A16" s="1004" t="s">
        <v>1140</v>
      </c>
      <c r="B16" s="1029">
        <f>SUM(B11:B15)</f>
        <v>1000</v>
      </c>
      <c r="C16" s="1029">
        <f>SUM(C11:C15)</f>
        <v>0</v>
      </c>
      <c r="D16" s="1029">
        <f>SUM(D11:D15)</f>
        <v>0</v>
      </c>
      <c r="E16" s="1036">
        <v>0</v>
      </c>
    </row>
    <row r="17" spans="1:5" ht="15.75">
      <c r="A17" s="142"/>
      <c r="B17" s="142"/>
      <c r="C17" s="142"/>
      <c r="D17" s="142"/>
      <c r="E17" s="142"/>
    </row>
    <row r="18" spans="1:5" ht="15.75">
      <c r="A18" s="142"/>
      <c r="B18" s="142"/>
      <c r="C18" s="142"/>
      <c r="D18" s="142"/>
      <c r="E18" s="142"/>
    </row>
    <row r="19" spans="1:5" ht="15.75">
      <c r="A19" s="1033" t="s">
        <v>806</v>
      </c>
      <c r="B19" s="142"/>
      <c r="C19" s="142"/>
      <c r="D19" s="142"/>
      <c r="E19" s="142"/>
    </row>
    <row r="20" spans="1:5" ht="15.75">
      <c r="A20" s="142"/>
      <c r="B20" s="142"/>
      <c r="C20" s="142"/>
      <c r="D20" s="1123" t="s">
        <v>1162</v>
      </c>
      <c r="E20" s="1123"/>
    </row>
    <row r="21" spans="1:5" ht="31.5">
      <c r="A21" s="1034" t="s">
        <v>5</v>
      </c>
      <c r="B21" s="1035" t="s">
        <v>1163</v>
      </c>
      <c r="C21" s="1035" t="s">
        <v>1164</v>
      </c>
      <c r="D21" s="1035" t="s">
        <v>1165</v>
      </c>
      <c r="E21" s="1035" t="s">
        <v>1166</v>
      </c>
    </row>
    <row r="22" spans="1:5" ht="30">
      <c r="A22" s="940" t="s">
        <v>1172</v>
      </c>
      <c r="B22" s="1029">
        <v>1000</v>
      </c>
      <c r="C22" s="1029">
        <v>0</v>
      </c>
      <c r="D22" s="1029">
        <v>0</v>
      </c>
      <c r="E22" s="1036">
        <v>0</v>
      </c>
    </row>
    <row r="23" spans="1:5" ht="15.75">
      <c r="A23" s="1037" t="s">
        <v>1173</v>
      </c>
      <c r="B23" s="1029"/>
      <c r="C23" s="1029"/>
      <c r="D23" s="1029"/>
      <c r="E23" s="1036">
        <v>0</v>
      </c>
    </row>
    <row r="24" spans="1:5" ht="49.5" customHeight="1">
      <c r="A24" s="940" t="s">
        <v>1174</v>
      </c>
      <c r="B24" s="1029"/>
      <c r="C24" s="1029"/>
      <c r="D24" s="1029"/>
      <c r="E24" s="1036">
        <v>0</v>
      </c>
    </row>
    <row r="25" spans="1:5" ht="60">
      <c r="A25" s="940" t="s">
        <v>1175</v>
      </c>
      <c r="B25" s="1029"/>
      <c r="C25" s="1029"/>
      <c r="D25" s="1029"/>
      <c r="E25" s="1036">
        <v>0</v>
      </c>
    </row>
    <row r="26" spans="1:5" ht="15.75">
      <c r="A26" s="1037" t="s">
        <v>1176</v>
      </c>
      <c r="B26" s="1029"/>
      <c r="C26" s="1029"/>
      <c r="D26" s="1029"/>
      <c r="E26" s="1036">
        <v>0</v>
      </c>
    </row>
    <row r="27" spans="1:5" ht="15.75">
      <c r="A27" s="1038" t="s">
        <v>1177</v>
      </c>
      <c r="B27" s="1029"/>
      <c r="C27" s="1029"/>
      <c r="D27" s="1029"/>
      <c r="E27" s="1036">
        <v>0</v>
      </c>
    </row>
    <row r="28" spans="1:5" ht="75">
      <c r="A28" s="1038" t="s">
        <v>1178</v>
      </c>
      <c r="B28" s="1039"/>
      <c r="C28" s="1029"/>
      <c r="D28" s="1029"/>
      <c r="E28" s="1036">
        <v>0</v>
      </c>
    </row>
    <row r="29" spans="1:5" ht="45">
      <c r="A29" s="940" t="s">
        <v>1179</v>
      </c>
      <c r="B29" s="1029"/>
      <c r="C29" s="1029"/>
      <c r="D29" s="1029"/>
      <c r="E29" s="1036">
        <v>0</v>
      </c>
    </row>
    <row r="30" spans="1:5" ht="15.75">
      <c r="A30" s="1004" t="s">
        <v>1180</v>
      </c>
      <c r="B30" s="1029">
        <f>SUM(B22:B29)</f>
        <v>1000</v>
      </c>
      <c r="C30" s="1029">
        <f>SUM(C22:C29)</f>
        <v>0</v>
      </c>
      <c r="D30" s="1029">
        <f>SUM(D22:D29)</f>
        <v>0</v>
      </c>
      <c r="E30" s="1036">
        <v>0</v>
      </c>
    </row>
    <row r="31" spans="1:5" ht="15.75">
      <c r="A31" s="142"/>
      <c r="B31" s="142"/>
      <c r="C31" s="142"/>
      <c r="D31" s="142"/>
      <c r="E31" s="142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</sheetData>
  <sheetProtection/>
  <mergeCells count="5">
    <mergeCell ref="D2:E2"/>
    <mergeCell ref="A4:E4"/>
    <mergeCell ref="A5:E6"/>
    <mergeCell ref="D9:E9"/>
    <mergeCell ref="D20:E2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81">
      <selection activeCell="F94" sqref="F94"/>
    </sheetView>
  </sheetViews>
  <sheetFormatPr defaultColWidth="9.140625" defaultRowHeight="12.75"/>
  <cols>
    <col min="1" max="1" width="27.00390625" style="0" customWidth="1"/>
    <col min="2" max="2" width="12.00390625" style="0" customWidth="1"/>
    <col min="3" max="3" width="12.421875" style="0" customWidth="1"/>
    <col min="4" max="4" width="10.8515625" style="0" customWidth="1"/>
    <col min="5" max="5" width="12.7109375" style="0" customWidth="1"/>
    <col min="6" max="6" width="13.00390625" style="0" customWidth="1"/>
  </cols>
  <sheetData>
    <row r="1" spans="1:6" ht="15">
      <c r="A1" s="140"/>
      <c r="B1" s="140"/>
      <c r="C1" s="140"/>
      <c r="D1" s="140"/>
      <c r="E1" s="1045" t="s">
        <v>103</v>
      </c>
      <c r="F1" s="1045"/>
    </row>
    <row r="2" spans="1:6" ht="15.75">
      <c r="A2" s="1"/>
      <c r="B2" s="1"/>
      <c r="C2" s="1"/>
      <c r="D2" s="1"/>
      <c r="E2" s="142"/>
      <c r="F2" s="142"/>
    </row>
    <row r="3" spans="1:6" ht="15.75">
      <c r="A3" s="1046" t="s">
        <v>104</v>
      </c>
      <c r="B3" s="1046"/>
      <c r="C3" s="1046"/>
      <c r="D3" s="1046"/>
      <c r="E3" s="1046"/>
      <c r="F3" s="1046"/>
    </row>
    <row r="4" spans="1:6" ht="15.75">
      <c r="A4" s="1046" t="s">
        <v>105</v>
      </c>
      <c r="B4" s="1046"/>
      <c r="C4" s="1046"/>
      <c r="D4" s="1046"/>
      <c r="E4" s="1046"/>
      <c r="F4" s="1046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44" t="s">
        <v>80</v>
      </c>
    </row>
    <row r="7" spans="1:6" ht="15.75" customHeight="1">
      <c r="A7" s="145" t="s">
        <v>34</v>
      </c>
      <c r="B7" s="1047" t="s">
        <v>106</v>
      </c>
      <c r="C7" s="1047" t="s">
        <v>107</v>
      </c>
      <c r="D7" s="1047" t="s">
        <v>108</v>
      </c>
      <c r="E7" s="1047" t="s">
        <v>109</v>
      </c>
      <c r="F7" s="1048" t="s">
        <v>110</v>
      </c>
    </row>
    <row r="8" spans="1:6" ht="21" customHeight="1">
      <c r="A8" s="146" t="s">
        <v>38</v>
      </c>
      <c r="B8" s="1047"/>
      <c r="C8" s="1047"/>
      <c r="D8" s="1047"/>
      <c r="E8" s="1047"/>
      <c r="F8" s="1048"/>
    </row>
    <row r="9" spans="1:6" ht="12.75">
      <c r="A9" s="147" t="s">
        <v>42</v>
      </c>
      <c r="B9" s="148"/>
      <c r="C9" s="149"/>
      <c r="D9" s="149"/>
      <c r="E9" s="150"/>
      <c r="F9" s="150"/>
    </row>
    <row r="10" spans="1:6" ht="12.75">
      <c r="A10" s="151" t="s">
        <v>43</v>
      </c>
      <c r="B10" s="152">
        <v>74232</v>
      </c>
      <c r="C10" s="153">
        <v>159959</v>
      </c>
      <c r="D10" s="27">
        <v>339073</v>
      </c>
      <c r="E10" s="27">
        <v>143465</v>
      </c>
      <c r="F10" s="27">
        <v>201017</v>
      </c>
    </row>
    <row r="11" spans="1:6" ht="12.75">
      <c r="A11" s="151" t="s">
        <v>44</v>
      </c>
      <c r="B11" s="152">
        <v>18873</v>
      </c>
      <c r="C11" s="153">
        <v>41597</v>
      </c>
      <c r="D11" s="27">
        <v>88698</v>
      </c>
      <c r="E11" s="153">
        <v>37973</v>
      </c>
      <c r="F11" s="153">
        <v>52365</v>
      </c>
    </row>
    <row r="12" spans="1:6" ht="12.75">
      <c r="A12" s="151" t="s">
        <v>45</v>
      </c>
      <c r="B12" s="152">
        <v>113321</v>
      </c>
      <c r="C12" s="153">
        <v>10684</v>
      </c>
      <c r="D12" s="27">
        <v>17612</v>
      </c>
      <c r="E12" s="153">
        <v>8814</v>
      </c>
      <c r="F12" s="153">
        <v>22632</v>
      </c>
    </row>
    <row r="13" spans="1:6" ht="12.75">
      <c r="A13" s="151" t="s">
        <v>111</v>
      </c>
      <c r="B13" s="152"/>
      <c r="C13" s="153"/>
      <c r="D13" s="27"/>
      <c r="E13" s="153"/>
      <c r="F13" s="153"/>
    </row>
    <row r="14" spans="1:6" ht="12.75">
      <c r="A14" s="151" t="s">
        <v>47</v>
      </c>
      <c r="B14" s="152">
        <v>0</v>
      </c>
      <c r="C14" s="153">
        <v>0</v>
      </c>
      <c r="D14" s="27">
        <v>0</v>
      </c>
      <c r="E14" s="153">
        <v>0</v>
      </c>
      <c r="F14" s="153">
        <v>358</v>
      </c>
    </row>
    <row r="15" spans="1:6" ht="12.75">
      <c r="A15" s="154" t="s">
        <v>86</v>
      </c>
      <c r="B15" s="155">
        <v>0</v>
      </c>
      <c r="C15" s="153">
        <v>0</v>
      </c>
      <c r="D15" s="27">
        <v>0</v>
      </c>
      <c r="E15" s="153">
        <v>0</v>
      </c>
      <c r="F15" s="153">
        <v>0</v>
      </c>
    </row>
    <row r="16" spans="1:6" ht="12.75">
      <c r="A16" s="154" t="s">
        <v>87</v>
      </c>
      <c r="B16" s="155"/>
      <c r="C16" s="153"/>
      <c r="D16" s="27"/>
      <c r="E16" s="153"/>
      <c r="F16" s="153"/>
    </row>
    <row r="17" spans="1:6" ht="12.75">
      <c r="A17" s="156" t="s">
        <v>88</v>
      </c>
      <c r="B17" s="155">
        <v>0</v>
      </c>
      <c r="C17" s="27">
        <v>0</v>
      </c>
      <c r="D17" s="27">
        <v>0</v>
      </c>
      <c r="E17" s="27">
        <v>0</v>
      </c>
      <c r="F17" s="27">
        <v>0</v>
      </c>
    </row>
    <row r="18" spans="1:6" ht="12.75">
      <c r="A18" s="157"/>
      <c r="B18" s="158"/>
      <c r="C18" s="159"/>
      <c r="D18" s="159"/>
      <c r="E18" s="159"/>
      <c r="F18" s="159"/>
    </row>
    <row r="19" spans="1:6" s="112" customFormat="1" ht="12.75">
      <c r="A19" s="160" t="s">
        <v>89</v>
      </c>
      <c r="B19" s="161">
        <f>SUM(B10:B15)</f>
        <v>206426</v>
      </c>
      <c r="C19" s="161">
        <f>SUM(C10:C15)</f>
        <v>212240</v>
      </c>
      <c r="D19" s="161">
        <f>SUM(D10:D15)</f>
        <v>445383</v>
      </c>
      <c r="E19" s="161">
        <f>SUM(E10:E15)</f>
        <v>190252</v>
      </c>
      <c r="F19" s="161">
        <f>SUM(F10:F15)</f>
        <v>276372</v>
      </c>
    </row>
    <row r="20" spans="1:6" ht="12.75">
      <c r="A20" s="162"/>
      <c r="B20" s="150"/>
      <c r="C20" s="163"/>
      <c r="D20" s="150"/>
      <c r="E20" s="164"/>
      <c r="F20" s="159"/>
    </row>
    <row r="21" spans="1:6" ht="12.75">
      <c r="A21" s="165" t="s">
        <v>51</v>
      </c>
      <c r="B21" s="153"/>
      <c r="C21" s="166"/>
      <c r="D21" s="153"/>
      <c r="E21" s="152"/>
      <c r="F21" s="153"/>
    </row>
    <row r="22" spans="1:6" ht="12.75">
      <c r="A22" s="151" t="s">
        <v>52</v>
      </c>
      <c r="B22" s="153">
        <v>0</v>
      </c>
      <c r="C22" s="166">
        <v>0</v>
      </c>
      <c r="D22" s="27">
        <v>0</v>
      </c>
      <c r="E22" s="152">
        <f>'4_sz_ melléklet'!B15</f>
        <v>4500</v>
      </c>
      <c r="F22" s="153">
        <f>'4_sz_ melléklet'!B19</f>
        <v>7000</v>
      </c>
    </row>
    <row r="23" spans="1:6" ht="12.75">
      <c r="A23" s="151" t="s">
        <v>90</v>
      </c>
      <c r="B23" s="153">
        <v>0</v>
      </c>
      <c r="C23" s="166">
        <v>0</v>
      </c>
      <c r="D23" s="27">
        <v>0</v>
      </c>
      <c r="E23" s="152">
        <f>'3_sz_ melléklet'!B16</f>
        <v>2500</v>
      </c>
      <c r="F23" s="153">
        <v>0</v>
      </c>
    </row>
    <row r="24" spans="1:6" ht="12.75">
      <c r="A24" s="151" t="s">
        <v>54</v>
      </c>
      <c r="B24" s="153">
        <v>0</v>
      </c>
      <c r="C24" s="166">
        <v>0</v>
      </c>
      <c r="D24" s="27">
        <v>0</v>
      </c>
      <c r="E24" s="152">
        <v>0</v>
      </c>
      <c r="F24" s="153">
        <v>0</v>
      </c>
    </row>
    <row r="25" spans="1:6" ht="12.75">
      <c r="A25" s="154" t="s">
        <v>112</v>
      </c>
      <c r="B25" s="27">
        <f>-B13</f>
        <v>0</v>
      </c>
      <c r="C25" s="27">
        <f>-C13</f>
        <v>0</v>
      </c>
      <c r="D25" s="27">
        <f>-D13</f>
        <v>0</v>
      </c>
      <c r="E25" s="27">
        <f>-E13</f>
        <v>0</v>
      </c>
      <c r="F25" s="27">
        <f>-F13</f>
        <v>0</v>
      </c>
    </row>
    <row r="26" spans="1:6" ht="12.75">
      <c r="A26" s="157"/>
      <c r="B26" s="159"/>
      <c r="C26" s="167"/>
      <c r="D26" s="27"/>
      <c r="E26" s="158"/>
      <c r="F26" s="159"/>
    </row>
    <row r="27" spans="1:6" ht="12.75">
      <c r="A27" s="160" t="s">
        <v>91</v>
      </c>
      <c r="B27" s="41">
        <f>B22+B23+B24+B25</f>
        <v>0</v>
      </c>
      <c r="C27" s="41">
        <f>C22+C23+C24+C25</f>
        <v>0</v>
      </c>
      <c r="D27" s="41">
        <f>D22+D23+D24+D25</f>
        <v>0</v>
      </c>
      <c r="E27" s="41">
        <f>E22+E23+E24+E25</f>
        <v>7000</v>
      </c>
      <c r="F27" s="41">
        <f>F22+F23+F24+F25</f>
        <v>7000</v>
      </c>
    </row>
    <row r="28" spans="1:6" ht="12.75">
      <c r="A28" s="162"/>
      <c r="B28" s="158"/>
      <c r="C28" s="150"/>
      <c r="D28" s="150"/>
      <c r="E28" s="168"/>
      <c r="F28" s="150"/>
    </row>
    <row r="29" spans="1:6" ht="12.75">
      <c r="A29" s="169" t="s">
        <v>92</v>
      </c>
      <c r="B29" s="158"/>
      <c r="C29" s="159"/>
      <c r="D29" s="159"/>
      <c r="E29" s="168"/>
      <c r="F29" s="159"/>
    </row>
    <row r="30" spans="1:6" ht="12.75">
      <c r="A30" s="156" t="s">
        <v>58</v>
      </c>
      <c r="B30" s="155">
        <v>0</v>
      </c>
      <c r="C30" s="27">
        <v>0</v>
      </c>
      <c r="D30" s="27">
        <v>0</v>
      </c>
      <c r="E30" s="170">
        <v>0</v>
      </c>
      <c r="F30" s="27">
        <v>0</v>
      </c>
    </row>
    <row r="31" spans="1:6" ht="12.75">
      <c r="A31" s="171" t="s">
        <v>59</v>
      </c>
      <c r="B31" s="158">
        <v>0</v>
      </c>
      <c r="C31" s="172">
        <v>0</v>
      </c>
      <c r="D31" s="172">
        <v>0</v>
      </c>
      <c r="E31" s="168">
        <v>0</v>
      </c>
      <c r="F31" s="172">
        <v>0</v>
      </c>
    </row>
    <row r="32" spans="1:6" ht="12.75">
      <c r="A32" s="160" t="s">
        <v>93</v>
      </c>
      <c r="B32" s="161">
        <f>B30+B31</f>
        <v>0</v>
      </c>
      <c r="C32" s="161">
        <f>C30+C31</f>
        <v>0</v>
      </c>
      <c r="D32" s="161">
        <f>D30+D31</f>
        <v>0</v>
      </c>
      <c r="E32" s="161">
        <f>E30+E31</f>
        <v>0</v>
      </c>
      <c r="F32" s="161">
        <f>F30+F31</f>
        <v>0</v>
      </c>
    </row>
    <row r="33" spans="1:6" ht="12.75">
      <c r="A33" s="162"/>
      <c r="B33" s="158"/>
      <c r="C33" s="150"/>
      <c r="D33" s="159"/>
      <c r="E33" s="159"/>
      <c r="F33" s="159"/>
    </row>
    <row r="34" spans="1:6" ht="12.75">
      <c r="A34" s="173" t="s">
        <v>94</v>
      </c>
      <c r="B34" s="158"/>
      <c r="C34" s="159"/>
      <c r="D34" s="159"/>
      <c r="E34" s="159"/>
      <c r="F34" s="159"/>
    </row>
    <row r="35" spans="1:6" ht="12.75">
      <c r="A35" s="156" t="s">
        <v>58</v>
      </c>
      <c r="B35" s="155">
        <v>0</v>
      </c>
      <c r="C35" s="27">
        <v>0</v>
      </c>
      <c r="D35" s="27">
        <v>0</v>
      </c>
      <c r="E35" s="27">
        <v>0</v>
      </c>
      <c r="F35" s="27">
        <v>0</v>
      </c>
    </row>
    <row r="36" spans="1:6" ht="12.75">
      <c r="A36" s="174" t="s">
        <v>59</v>
      </c>
      <c r="B36" s="175">
        <v>0</v>
      </c>
      <c r="C36" s="176">
        <v>0</v>
      </c>
      <c r="D36" s="37">
        <v>0</v>
      </c>
      <c r="E36" s="37">
        <v>0</v>
      </c>
      <c r="F36" s="37">
        <v>0</v>
      </c>
    </row>
    <row r="37" spans="1:6" ht="12.75">
      <c r="A37" s="160" t="s">
        <v>95</v>
      </c>
      <c r="B37" s="161">
        <f>B35+B36</f>
        <v>0</v>
      </c>
      <c r="C37" s="161">
        <f>C35+C36</f>
        <v>0</v>
      </c>
      <c r="D37" s="161">
        <f>D35+D36</f>
        <v>0</v>
      </c>
      <c r="E37" s="161">
        <f>E35+E36</f>
        <v>0</v>
      </c>
      <c r="F37" s="161">
        <f>F35+F36</f>
        <v>0</v>
      </c>
    </row>
    <row r="38" spans="1:6" ht="12.75">
      <c r="A38" s="162"/>
      <c r="B38" s="158"/>
      <c r="C38" s="158"/>
      <c r="D38" s="159"/>
      <c r="E38" s="159"/>
      <c r="F38" s="159"/>
    </row>
    <row r="39" spans="1:6" ht="12.75">
      <c r="A39" s="165" t="s">
        <v>63</v>
      </c>
      <c r="B39" s="152"/>
      <c r="C39" s="152"/>
      <c r="D39" s="153"/>
      <c r="E39" s="153"/>
      <c r="F39" s="153"/>
    </row>
    <row r="40" spans="1:6" ht="12.75">
      <c r="A40" s="151" t="s">
        <v>96</v>
      </c>
      <c r="B40" s="152">
        <v>0</v>
      </c>
      <c r="C40" s="153">
        <v>0</v>
      </c>
      <c r="D40" s="153">
        <v>0</v>
      </c>
      <c r="E40" s="153">
        <v>0</v>
      </c>
      <c r="F40" s="153">
        <v>0</v>
      </c>
    </row>
    <row r="41" spans="1:6" ht="12.75">
      <c r="A41" s="177" t="s">
        <v>97</v>
      </c>
      <c r="B41" s="158">
        <v>0</v>
      </c>
      <c r="C41" s="172">
        <v>0</v>
      </c>
      <c r="D41" s="172">
        <v>0</v>
      </c>
      <c r="E41" s="172">
        <v>0</v>
      </c>
      <c r="F41" s="172">
        <v>0</v>
      </c>
    </row>
    <row r="42" spans="1:6" ht="12.75">
      <c r="A42" s="162" t="s">
        <v>98</v>
      </c>
      <c r="B42" s="178">
        <f>B40+B41</f>
        <v>0</v>
      </c>
      <c r="C42" s="178">
        <f>C40+C41</f>
        <v>0</v>
      </c>
      <c r="D42" s="178">
        <f>D40+D41</f>
        <v>0</v>
      </c>
      <c r="E42" s="178">
        <f>E40+E41</f>
        <v>0</v>
      </c>
      <c r="F42" s="178">
        <f>F40+F41</f>
        <v>0</v>
      </c>
    </row>
    <row r="43" spans="1:6" ht="12.75">
      <c r="A43" s="162"/>
      <c r="B43" s="164"/>
      <c r="C43" s="150"/>
      <c r="D43" s="164"/>
      <c r="E43" s="150"/>
      <c r="F43" s="150"/>
    </row>
    <row r="44" spans="1:6" ht="12.75">
      <c r="A44" s="8" t="s">
        <v>67</v>
      </c>
      <c r="B44" s="179"/>
      <c r="C44" s="180"/>
      <c r="D44" s="181"/>
      <c r="E44" s="170"/>
      <c r="F44" s="27"/>
    </row>
    <row r="45" spans="1:6" ht="12.75">
      <c r="A45" s="182" t="s">
        <v>68</v>
      </c>
      <c r="B45" s="183">
        <v>0</v>
      </c>
      <c r="C45" s="183">
        <v>0</v>
      </c>
      <c r="D45" s="153">
        <v>0</v>
      </c>
      <c r="E45" s="166">
        <v>0</v>
      </c>
      <c r="F45" s="153">
        <v>0</v>
      </c>
    </row>
    <row r="46" spans="1:6" ht="12.75">
      <c r="A46" s="16" t="s">
        <v>69</v>
      </c>
      <c r="B46" s="179">
        <v>0</v>
      </c>
      <c r="C46" s="184">
        <v>0</v>
      </c>
      <c r="D46" s="159">
        <v>0</v>
      </c>
      <c r="E46" s="168">
        <v>0</v>
      </c>
      <c r="F46" s="159">
        <v>0</v>
      </c>
    </row>
    <row r="47" spans="1:6" ht="12.75">
      <c r="A47" s="160" t="s">
        <v>70</v>
      </c>
      <c r="B47" s="185">
        <f>B45+B46</f>
        <v>0</v>
      </c>
      <c r="C47" s="185">
        <f>C45+C46</f>
        <v>0</v>
      </c>
      <c r="D47" s="185">
        <f>D45+D46</f>
        <v>0</v>
      </c>
      <c r="E47" s="185">
        <f>E45+E46</f>
        <v>0</v>
      </c>
      <c r="F47" s="41">
        <f>F45+F46</f>
        <v>0</v>
      </c>
    </row>
    <row r="48" spans="1:6" ht="12.75">
      <c r="A48" s="40"/>
      <c r="B48" s="186"/>
      <c r="C48" s="184"/>
      <c r="D48" s="159"/>
      <c r="E48" s="168"/>
      <c r="F48" s="159"/>
    </row>
    <row r="49" spans="1:6" s="112" customFormat="1" ht="12.75">
      <c r="A49" s="187" t="s">
        <v>113</v>
      </c>
      <c r="B49" s="188">
        <f>B47+B42+B37+B32+B27+B19</f>
        <v>206426</v>
      </c>
      <c r="C49" s="188">
        <f>C47+C42+C37+C32+C27+C19</f>
        <v>212240</v>
      </c>
      <c r="D49" s="188">
        <f>D47+D42+D37+D32+D27+D19</f>
        <v>445383</v>
      </c>
      <c r="E49" s="188">
        <f>E47+E42+E37+E32+E27+E19</f>
        <v>197252</v>
      </c>
      <c r="F49" s="188">
        <f>F47+F42+F37+F32+F27+F19</f>
        <v>283372</v>
      </c>
    </row>
    <row r="50" spans="1:6" ht="12.75">
      <c r="A50" s="189"/>
      <c r="B50" s="190"/>
      <c r="C50" s="184"/>
      <c r="D50" s="159"/>
      <c r="E50" s="168"/>
      <c r="F50" s="159"/>
    </row>
    <row r="51" spans="1:6" ht="12.75">
      <c r="A51" s="169" t="s">
        <v>114</v>
      </c>
      <c r="B51" s="184">
        <v>0</v>
      </c>
      <c r="C51" s="186">
        <v>0</v>
      </c>
      <c r="D51" s="191">
        <v>0</v>
      </c>
      <c r="E51" s="192">
        <v>0</v>
      </c>
      <c r="F51" s="191">
        <v>0</v>
      </c>
    </row>
    <row r="52" spans="1:6" ht="12.75">
      <c r="A52" s="193"/>
      <c r="B52" s="186"/>
      <c r="C52" s="184"/>
      <c r="D52" s="159"/>
      <c r="E52" s="168"/>
      <c r="F52" s="159"/>
    </row>
    <row r="53" spans="1:6" ht="12.75">
      <c r="A53" s="194" t="s">
        <v>102</v>
      </c>
      <c r="B53" s="195">
        <f>B49+B51</f>
        <v>206426</v>
      </c>
      <c r="C53" s="195">
        <f>C49+C51</f>
        <v>212240</v>
      </c>
      <c r="D53" s="195">
        <f>D49+D51</f>
        <v>445383</v>
      </c>
      <c r="E53" s="195">
        <f>E49+E51</f>
        <v>197252</v>
      </c>
      <c r="F53" s="188">
        <f>F49+F51</f>
        <v>283372</v>
      </c>
    </row>
    <row r="54" spans="1:6" ht="12.75">
      <c r="A54" s="196"/>
      <c r="B54" s="197"/>
      <c r="C54" s="197"/>
      <c r="D54" s="197"/>
      <c r="E54" s="197"/>
      <c r="F54" s="197"/>
    </row>
    <row r="55" spans="1:6" ht="12.75">
      <c r="A55" s="196"/>
      <c r="B55" s="196"/>
      <c r="C55" s="198"/>
      <c r="D55" s="198"/>
      <c r="E55" s="198"/>
      <c r="F55" s="198"/>
    </row>
    <row r="56" spans="1:6" ht="12.75">
      <c r="A56" s="1044">
        <v>2</v>
      </c>
      <c r="B56" s="1044"/>
      <c r="C56" s="1044"/>
      <c r="D56" s="1044"/>
      <c r="E56" s="1044"/>
      <c r="F56" s="1044"/>
    </row>
    <row r="57" spans="1:6" ht="15">
      <c r="A57" s="1045" t="s">
        <v>115</v>
      </c>
      <c r="B57" s="1045"/>
      <c r="C57" s="1045"/>
      <c r="D57" s="1045"/>
      <c r="E57" s="1045"/>
      <c r="F57" s="1045"/>
    </row>
    <row r="58" spans="1:6" ht="15.75">
      <c r="A58" s="1046" t="s">
        <v>116</v>
      </c>
      <c r="B58" s="1046"/>
      <c r="C58" s="1046"/>
      <c r="D58" s="1046"/>
      <c r="E58" s="1046"/>
      <c r="F58" s="1046"/>
    </row>
    <row r="59" spans="1:6" ht="15.75">
      <c r="A59" s="1046" t="s">
        <v>105</v>
      </c>
      <c r="B59" s="1046"/>
      <c r="C59" s="1046"/>
      <c r="D59" s="1046"/>
      <c r="E59" s="1046"/>
      <c r="F59" s="1046"/>
    </row>
    <row r="60" spans="1:6" ht="12.75">
      <c r="A60" s="1"/>
      <c r="B60" s="1"/>
      <c r="C60" s="1"/>
      <c r="D60" s="1"/>
      <c r="E60" s="1"/>
      <c r="F60" s="144" t="s">
        <v>80</v>
      </c>
    </row>
    <row r="61" spans="1:6" ht="63" customHeight="1">
      <c r="A61" s="200" t="s">
        <v>117</v>
      </c>
      <c r="B61" s="201" t="s">
        <v>118</v>
      </c>
      <c r="C61" s="202" t="s">
        <v>119</v>
      </c>
      <c r="D61" s="203" t="s">
        <v>120</v>
      </c>
      <c r="E61" s="202" t="s">
        <v>121</v>
      </c>
      <c r="F61" s="199"/>
    </row>
    <row r="62" spans="1:6" ht="15">
      <c r="A62" s="147" t="s">
        <v>42</v>
      </c>
      <c r="B62" s="149"/>
      <c r="C62" s="204"/>
      <c r="D62" s="205"/>
      <c r="E62" s="205"/>
      <c r="F62" s="141"/>
    </row>
    <row r="63" spans="1:6" ht="15.75">
      <c r="A63" s="151" t="s">
        <v>43</v>
      </c>
      <c r="B63" s="153">
        <v>77682</v>
      </c>
      <c r="C63" s="179">
        <f aca="true" t="shared" si="0" ref="C63:C70">B63+F10+E10+D10+C10+B10</f>
        <v>995428</v>
      </c>
      <c r="D63" s="206">
        <v>510</v>
      </c>
      <c r="E63" s="206">
        <f>D63+C63</f>
        <v>995938</v>
      </c>
      <c r="F63" s="143"/>
    </row>
    <row r="64" spans="1:6" ht="15.75">
      <c r="A64" s="151" t="s">
        <v>44</v>
      </c>
      <c r="B64" s="153">
        <v>20252</v>
      </c>
      <c r="C64" s="179">
        <f t="shared" si="0"/>
        <v>259758</v>
      </c>
      <c r="D64" s="206">
        <v>137</v>
      </c>
      <c r="E64" s="206">
        <f aca="true" t="shared" si="1" ref="E64:E69">D64+C64</f>
        <v>259895</v>
      </c>
      <c r="F64" s="143"/>
    </row>
    <row r="65" spans="1:6" ht="12.75">
      <c r="A65" s="151" t="s">
        <v>45</v>
      </c>
      <c r="B65" s="153">
        <v>188856</v>
      </c>
      <c r="C65" s="179">
        <f t="shared" si="0"/>
        <v>361919</v>
      </c>
      <c r="D65" s="206">
        <v>724</v>
      </c>
      <c r="E65" s="206">
        <f t="shared" si="1"/>
        <v>362643</v>
      </c>
      <c r="F65" s="144"/>
    </row>
    <row r="66" spans="1:6" ht="12.75">
      <c r="A66" s="151" t="s">
        <v>111</v>
      </c>
      <c r="B66" s="153"/>
      <c r="C66" s="179">
        <f t="shared" si="0"/>
        <v>0</v>
      </c>
      <c r="D66" s="206"/>
      <c r="E66" s="206">
        <f t="shared" si="1"/>
        <v>0</v>
      </c>
      <c r="F66" s="144"/>
    </row>
    <row r="67" spans="1:6" ht="12.75">
      <c r="A67" s="151" t="s">
        <v>47</v>
      </c>
      <c r="B67" s="153"/>
      <c r="C67" s="179">
        <f t="shared" si="0"/>
        <v>358</v>
      </c>
      <c r="D67" s="206"/>
      <c r="E67" s="206">
        <f t="shared" si="1"/>
        <v>358</v>
      </c>
      <c r="F67" s="1"/>
    </row>
    <row r="68" spans="1:6" ht="12.75">
      <c r="A68" s="154" t="s">
        <v>86</v>
      </c>
      <c r="B68" s="153">
        <v>0</v>
      </c>
      <c r="C68" s="179">
        <f t="shared" si="0"/>
        <v>0</v>
      </c>
      <c r="D68" s="206">
        <v>0</v>
      </c>
      <c r="E68" s="206">
        <f t="shared" si="1"/>
        <v>0</v>
      </c>
      <c r="F68" s="1"/>
    </row>
    <row r="69" spans="1:6" ht="12.75">
      <c r="A69" s="154" t="s">
        <v>87</v>
      </c>
      <c r="B69" s="153"/>
      <c r="C69" s="179">
        <f t="shared" si="0"/>
        <v>0</v>
      </c>
      <c r="D69" s="206"/>
      <c r="E69" s="206">
        <f t="shared" si="1"/>
        <v>0</v>
      </c>
      <c r="F69" s="1"/>
    </row>
    <row r="70" spans="1:6" ht="12.75">
      <c r="A70" s="156" t="s">
        <v>88</v>
      </c>
      <c r="B70" s="27">
        <v>0</v>
      </c>
      <c r="C70" s="179">
        <f t="shared" si="0"/>
        <v>0</v>
      </c>
      <c r="D70" s="206">
        <v>0</v>
      </c>
      <c r="E70" s="206"/>
      <c r="F70" s="1"/>
    </row>
    <row r="71" spans="1:6" ht="5.25" customHeight="1">
      <c r="A71" s="157"/>
      <c r="B71" s="159"/>
      <c r="C71" s="207"/>
      <c r="D71" s="208"/>
      <c r="E71" s="208"/>
      <c r="F71" s="1"/>
    </row>
    <row r="72" spans="1:6" s="112" customFormat="1" ht="12.75">
      <c r="A72" s="160" t="s">
        <v>89</v>
      </c>
      <c r="B72" s="161">
        <f>SUM(B63:B68)</f>
        <v>286790</v>
      </c>
      <c r="C72" s="161">
        <f>SUM(C63:C68)</f>
        <v>1617463</v>
      </c>
      <c r="D72" s="161">
        <f>SUM(D63:D68)</f>
        <v>1371</v>
      </c>
      <c r="E72" s="161">
        <f>SUM(E63:E68)</f>
        <v>1618834</v>
      </c>
      <c r="F72" s="1"/>
    </row>
    <row r="73" spans="1:6" ht="7.5" customHeight="1">
      <c r="A73" s="147"/>
      <c r="B73" s="204"/>
      <c r="C73" s="204"/>
      <c r="D73" s="205"/>
      <c r="E73" s="205"/>
      <c r="F73" s="1"/>
    </row>
    <row r="74" spans="1:6" ht="12.75">
      <c r="A74" s="165" t="s">
        <v>51</v>
      </c>
      <c r="B74" s="183"/>
      <c r="C74" s="183"/>
      <c r="D74" s="209"/>
      <c r="E74" s="209"/>
      <c r="F74" s="1"/>
    </row>
    <row r="75" spans="1:6" ht="12.75">
      <c r="A75" s="151" t="s">
        <v>52</v>
      </c>
      <c r="B75" s="183">
        <v>0</v>
      </c>
      <c r="C75" s="179">
        <f>B75+F22+E22+D22+C22+B22</f>
        <v>11500</v>
      </c>
      <c r="D75" s="206">
        <v>0</v>
      </c>
      <c r="E75" s="206">
        <f>D75+C75</f>
        <v>11500</v>
      </c>
      <c r="F75" s="1"/>
    </row>
    <row r="76" spans="1:6" ht="12.75">
      <c r="A76" s="151" t="s">
        <v>90</v>
      </c>
      <c r="B76" s="183">
        <v>0</v>
      </c>
      <c r="C76" s="179">
        <f>B76+F23+E23+D23+C23+B23</f>
        <v>2500</v>
      </c>
      <c r="D76" s="206">
        <v>0</v>
      </c>
      <c r="E76" s="206">
        <f>D76+C76</f>
        <v>2500</v>
      </c>
      <c r="F76" s="1"/>
    </row>
    <row r="77" spans="1:6" ht="12.75">
      <c r="A77" s="151" t="s">
        <v>54</v>
      </c>
      <c r="B77" s="183">
        <v>0</v>
      </c>
      <c r="C77" s="179">
        <f>B77+F24+E24+D24+C24+B24</f>
        <v>0</v>
      </c>
      <c r="D77" s="206">
        <v>0</v>
      </c>
      <c r="E77" s="206">
        <f>D77+C77</f>
        <v>0</v>
      </c>
      <c r="F77" s="1"/>
    </row>
    <row r="78" spans="1:6" ht="12.75">
      <c r="A78" s="154" t="s">
        <v>112</v>
      </c>
      <c r="B78" s="183">
        <f>-B66</f>
        <v>0</v>
      </c>
      <c r="C78" s="183">
        <f>-C66</f>
        <v>0</v>
      </c>
      <c r="D78" s="183">
        <f>-D66</f>
        <v>0</v>
      </c>
      <c r="E78" s="27">
        <f>-E66</f>
        <v>0</v>
      </c>
      <c r="F78" s="1"/>
    </row>
    <row r="79" spans="1:6" ht="12.75">
      <c r="A79" s="157"/>
      <c r="B79" s="210"/>
      <c r="C79" s="207"/>
      <c r="D79" s="211"/>
      <c r="E79" s="206"/>
      <c r="F79" s="1"/>
    </row>
    <row r="80" spans="1:6" s="112" customFormat="1" ht="12.75">
      <c r="A80" s="160" t="s">
        <v>91</v>
      </c>
      <c r="B80" s="161">
        <f>B75+B76+B77+B78</f>
        <v>0</v>
      </c>
      <c r="C80" s="41">
        <f>SUM(C75:C79)</f>
        <v>14000</v>
      </c>
      <c r="D80" s="188">
        <f>SUM(D75:D78)</f>
        <v>0</v>
      </c>
      <c r="E80" s="188">
        <f>SUM(E75:E78)</f>
        <v>14000</v>
      </c>
      <c r="F80" s="1"/>
    </row>
    <row r="81" spans="1:6" ht="12.75">
      <c r="A81" s="147"/>
      <c r="B81" s="204"/>
      <c r="C81" s="149"/>
      <c r="D81" s="212"/>
      <c r="E81" s="205"/>
      <c r="F81" s="1"/>
    </row>
    <row r="82" spans="1:6" ht="12.75">
      <c r="A82" s="169" t="s">
        <v>92</v>
      </c>
      <c r="B82" s="184"/>
      <c r="C82" s="153"/>
      <c r="D82" s="213"/>
      <c r="E82" s="214"/>
      <c r="F82" s="1"/>
    </row>
    <row r="83" spans="1:6" ht="12.75">
      <c r="A83" s="156" t="s">
        <v>58</v>
      </c>
      <c r="B83" s="179">
        <v>0</v>
      </c>
      <c r="C83" s="27">
        <f>B83+F30+E30+D30+C30+B30</f>
        <v>0</v>
      </c>
      <c r="D83" s="215">
        <v>0</v>
      </c>
      <c r="E83" s="214">
        <f>SUM(C83:D83)</f>
        <v>0</v>
      </c>
      <c r="F83" s="1"/>
    </row>
    <row r="84" spans="1:6" ht="12.75">
      <c r="A84" s="171" t="s">
        <v>59</v>
      </c>
      <c r="B84" s="210">
        <v>0</v>
      </c>
      <c r="C84" s="27">
        <f>B84+F31+E31+D31+C31+B31</f>
        <v>0</v>
      </c>
      <c r="D84" s="216">
        <v>0</v>
      </c>
      <c r="E84" s="214">
        <f>SUM(C84:D84)</f>
        <v>0</v>
      </c>
      <c r="F84" s="1"/>
    </row>
    <row r="85" spans="1:6" ht="12.75">
      <c r="A85" s="160" t="s">
        <v>93</v>
      </c>
      <c r="B85" s="161">
        <f>B83+B84</f>
        <v>0</v>
      </c>
      <c r="C85" s="41">
        <f>SUM(C83:C84)</f>
        <v>0</v>
      </c>
      <c r="D85" s="188">
        <f>D83+D84</f>
        <v>0</v>
      </c>
      <c r="E85" s="188">
        <f>E83+E84</f>
        <v>0</v>
      </c>
      <c r="F85" s="1"/>
    </row>
    <row r="86" spans="1:6" ht="12.75">
      <c r="A86" s="147"/>
      <c r="B86" s="204"/>
      <c r="C86" s="149"/>
      <c r="D86" s="212"/>
      <c r="E86" s="205"/>
      <c r="F86" s="1"/>
    </row>
    <row r="87" spans="1:6" ht="12.75">
      <c r="A87" s="173" t="s">
        <v>94</v>
      </c>
      <c r="B87" s="184"/>
      <c r="C87" s="153"/>
      <c r="D87" s="216"/>
      <c r="E87" s="214"/>
      <c r="F87" s="1"/>
    </row>
    <row r="88" spans="1:6" ht="12.75">
      <c r="A88" s="156" t="s">
        <v>58</v>
      </c>
      <c r="B88" s="179">
        <v>0</v>
      </c>
      <c r="C88" s="27">
        <f>B88+F35+E35+D35+C35+B35</f>
        <v>0</v>
      </c>
      <c r="D88" s="217">
        <v>0</v>
      </c>
      <c r="E88" s="206">
        <f>SUM(C88:D88)</f>
        <v>0</v>
      </c>
      <c r="F88" s="1"/>
    </row>
    <row r="89" spans="1:6" ht="12.75">
      <c r="A89" s="174" t="s">
        <v>59</v>
      </c>
      <c r="B89" s="218">
        <v>0</v>
      </c>
      <c r="C89" s="27">
        <f>B89+F36+E36+D36+C36+B36</f>
        <v>0</v>
      </c>
      <c r="D89" s="217">
        <v>0</v>
      </c>
      <c r="E89" s="208">
        <f>SUM(C89:D89)</f>
        <v>0</v>
      </c>
      <c r="F89" s="1"/>
    </row>
    <row r="90" spans="1:6" ht="12.75">
      <c r="A90" s="160" t="s">
        <v>95</v>
      </c>
      <c r="B90" s="161">
        <f>B88+B89</f>
        <v>0</v>
      </c>
      <c r="C90" s="41">
        <f>SUM(C88:C89)</f>
        <v>0</v>
      </c>
      <c r="D90" s="188">
        <f>D88+D89</f>
        <v>0</v>
      </c>
      <c r="E90" s="188">
        <f>E88+E89</f>
        <v>0</v>
      </c>
      <c r="F90" s="1"/>
    </row>
    <row r="91" spans="1:6" ht="12.75">
      <c r="A91" s="147"/>
      <c r="B91" s="219"/>
      <c r="C91" s="204"/>
      <c r="D91" s="205"/>
      <c r="E91" s="205"/>
      <c r="F91" s="1"/>
    </row>
    <row r="92" spans="1:6" ht="12.75">
      <c r="A92" s="165" t="s">
        <v>63</v>
      </c>
      <c r="B92" s="166"/>
      <c r="C92" s="183"/>
      <c r="D92" s="214"/>
      <c r="E92" s="214"/>
      <c r="F92" s="1"/>
    </row>
    <row r="93" spans="1:6" ht="12.75">
      <c r="A93" s="151" t="s">
        <v>96</v>
      </c>
      <c r="B93" s="183">
        <v>0</v>
      </c>
      <c r="C93" s="179">
        <f>B93+F40+E40+D40+C40+B40</f>
        <v>0</v>
      </c>
      <c r="D93" s="214">
        <v>0</v>
      </c>
      <c r="E93" s="214">
        <f>SUM(C93:D93)</f>
        <v>0</v>
      </c>
      <c r="F93" s="1"/>
    </row>
    <row r="94" spans="1:6" ht="12.75">
      <c r="A94" s="177" t="s">
        <v>97</v>
      </c>
      <c r="B94" s="210">
        <v>0</v>
      </c>
      <c r="C94" s="179">
        <f>B94+F41+E41+D41+C41+B41</f>
        <v>0</v>
      </c>
      <c r="D94" s="214">
        <v>0</v>
      </c>
      <c r="E94" s="209">
        <f>SUM(C94:D94)</f>
        <v>0</v>
      </c>
      <c r="F94" s="1"/>
    </row>
    <row r="95" spans="1:6" ht="12.75">
      <c r="A95" s="162" t="s">
        <v>98</v>
      </c>
      <c r="B95" s="178">
        <f>B93+B94</f>
        <v>0</v>
      </c>
      <c r="C95" s="185">
        <f>SUM(C93:C94)</f>
        <v>0</v>
      </c>
      <c r="D95" s="188">
        <f>D93+D94</f>
        <v>0</v>
      </c>
      <c r="E95" s="188">
        <f>E93+E94</f>
        <v>0</v>
      </c>
      <c r="F95" s="1"/>
    </row>
    <row r="96" spans="1:6" ht="12.75">
      <c r="A96" s="160"/>
      <c r="B96" s="191"/>
      <c r="C96" s="184"/>
      <c r="D96" s="220"/>
      <c r="E96" s="205"/>
      <c r="F96" s="1"/>
    </row>
    <row r="97" spans="1:6" ht="12.75">
      <c r="A97" s="40" t="s">
        <v>67</v>
      </c>
      <c r="B97" s="190"/>
      <c r="C97" s="191"/>
      <c r="D97" s="220"/>
      <c r="E97" s="205"/>
      <c r="F97" s="1"/>
    </row>
    <row r="98" spans="1:6" ht="12.75">
      <c r="A98" s="182" t="s">
        <v>68</v>
      </c>
      <c r="B98" s="183">
        <v>0</v>
      </c>
      <c r="C98" s="183">
        <f>B98+F45+E45+D45+C45+B45</f>
        <v>0</v>
      </c>
      <c r="D98" s="220">
        <v>0</v>
      </c>
      <c r="E98" s="205">
        <f>SUM(C98:D98)</f>
        <v>0</v>
      </c>
      <c r="F98" s="1"/>
    </row>
    <row r="99" spans="1:6" ht="12.75">
      <c r="A99" s="16" t="s">
        <v>69</v>
      </c>
      <c r="B99" s="184">
        <v>0</v>
      </c>
      <c r="C99" s="183">
        <f>B99+F46+E46+D46+C46+B46</f>
        <v>0</v>
      </c>
      <c r="D99" s="213">
        <v>0</v>
      </c>
      <c r="E99" s="214">
        <f>SUM(C99:D99)</f>
        <v>0</v>
      </c>
      <c r="F99" s="1"/>
    </row>
    <row r="100" spans="1:6" ht="12.75">
      <c r="A100" s="160" t="s">
        <v>70</v>
      </c>
      <c r="B100" s="185">
        <f>B98+B99</f>
        <v>0</v>
      </c>
      <c r="C100" s="41">
        <f>SUM(C98:C99)</f>
        <v>0</v>
      </c>
      <c r="D100" s="221">
        <f>D98+D99</f>
        <v>0</v>
      </c>
      <c r="E100" s="222">
        <f>E98+E99</f>
        <v>0</v>
      </c>
      <c r="F100" s="1"/>
    </row>
    <row r="101" spans="1:6" ht="8.25" customHeight="1">
      <c r="A101" s="40"/>
      <c r="B101" s="184"/>
      <c r="C101" s="184"/>
      <c r="D101" s="220"/>
      <c r="E101" s="205"/>
      <c r="F101" s="1"/>
    </row>
    <row r="102" spans="1:6" s="112" customFormat="1" ht="12.75">
      <c r="A102" s="187" t="s">
        <v>113</v>
      </c>
      <c r="B102" s="185">
        <f>B100+B95+B90+B85+B80+B72</f>
        <v>286790</v>
      </c>
      <c r="C102" s="41">
        <f>B102+F49+E49+D49+C49+B49</f>
        <v>1631463</v>
      </c>
      <c r="D102" s="221">
        <f>D100+D95+D90+D85+D80+D72</f>
        <v>1371</v>
      </c>
      <c r="E102" s="222">
        <f>D102+C102</f>
        <v>1632834</v>
      </c>
      <c r="F102" s="1"/>
    </row>
    <row r="103" spans="1:6" ht="9" customHeight="1">
      <c r="A103" s="189"/>
      <c r="B103" s="184"/>
      <c r="C103" s="184"/>
      <c r="D103" s="220"/>
      <c r="E103" s="205"/>
      <c r="F103" s="1"/>
    </row>
    <row r="104" spans="1:6" ht="12.75">
      <c r="A104" s="169" t="s">
        <v>114</v>
      </c>
      <c r="B104" s="186">
        <v>0</v>
      </c>
      <c r="C104" s="191">
        <f>B104+F51+E51+D51+C51+B51</f>
        <v>0</v>
      </c>
      <c r="D104" s="220">
        <v>0</v>
      </c>
      <c r="E104" s="205">
        <f>SUM(C104:D104)</f>
        <v>0</v>
      </c>
      <c r="F104" s="1"/>
    </row>
    <row r="105" spans="1:6" ht="8.25" customHeight="1">
      <c r="A105" s="193"/>
      <c r="B105" s="184"/>
      <c r="C105" s="184"/>
      <c r="D105" s="220"/>
      <c r="E105" s="205"/>
      <c r="F105" s="1"/>
    </row>
    <row r="106" spans="1:6" s="112" customFormat="1" ht="12.75">
      <c r="A106" s="194" t="s">
        <v>102</v>
      </c>
      <c r="B106" s="185">
        <f>B102+B104</f>
        <v>286790</v>
      </c>
      <c r="C106" s="185">
        <f>C102+C104</f>
        <v>1631463</v>
      </c>
      <c r="D106" s="195">
        <f>D104+D102</f>
        <v>1371</v>
      </c>
      <c r="E106" s="188">
        <f>E104+E102</f>
        <v>1632834</v>
      </c>
      <c r="F106" s="1"/>
    </row>
  </sheetData>
  <sheetProtection/>
  <mergeCells count="12">
    <mergeCell ref="E7:E8"/>
    <mergeCell ref="F7:F8"/>
    <mergeCell ref="A56:F56"/>
    <mergeCell ref="A57:F57"/>
    <mergeCell ref="A58:F58"/>
    <mergeCell ref="A59:F59"/>
    <mergeCell ref="E1:F1"/>
    <mergeCell ref="A3:F3"/>
    <mergeCell ref="A4:F4"/>
    <mergeCell ref="B7:B8"/>
    <mergeCell ref="C7:C8"/>
    <mergeCell ref="D7:D8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1"/>
  <sheetViews>
    <sheetView zoomScalePageLayoutView="0" workbookViewId="0" topLeftCell="A78">
      <selection activeCell="J88" sqref="J88"/>
    </sheetView>
  </sheetViews>
  <sheetFormatPr defaultColWidth="9.140625" defaultRowHeight="12.75"/>
  <cols>
    <col min="1" max="1" width="30.140625" style="0" customWidth="1"/>
    <col min="2" max="2" width="10.7109375" style="0" customWidth="1"/>
    <col min="3" max="4" width="10.8515625" style="0" customWidth="1"/>
    <col min="5" max="5" width="11.140625" style="0" customWidth="1"/>
    <col min="6" max="6" width="11.00390625" style="0" customWidth="1"/>
  </cols>
  <sheetData>
    <row r="1" spans="1:5" ht="14.25">
      <c r="A1" s="1043" t="s">
        <v>122</v>
      </c>
      <c r="B1" s="1043"/>
      <c r="C1" s="1043"/>
      <c r="D1" s="1043"/>
      <c r="E1" s="1043"/>
    </row>
    <row r="2" spans="1:6" ht="15.75">
      <c r="A2" s="1050" t="s">
        <v>123</v>
      </c>
      <c r="B2" s="1050"/>
      <c r="C2" s="1050"/>
      <c r="D2" s="1050"/>
      <c r="E2" s="1050"/>
      <c r="F2" s="1050"/>
    </row>
    <row r="3" spans="1:6" ht="15.75">
      <c r="A3" s="1042" t="s">
        <v>124</v>
      </c>
      <c r="B3" s="1042"/>
      <c r="C3" s="1042"/>
      <c r="D3" s="1042"/>
      <c r="E3" s="1042"/>
      <c r="F3" s="1042"/>
    </row>
    <row r="4" ht="12.75">
      <c r="E4" s="49" t="s">
        <v>80</v>
      </c>
    </row>
    <row r="5" spans="1:6" ht="42" customHeight="1">
      <c r="A5" s="50" t="s">
        <v>125</v>
      </c>
      <c r="B5" s="223" t="s">
        <v>126</v>
      </c>
      <c r="C5" s="224" t="s">
        <v>127</v>
      </c>
      <c r="D5" s="223" t="s">
        <v>128</v>
      </c>
      <c r="E5" s="223" t="s">
        <v>129</v>
      </c>
      <c r="F5" s="223" t="s">
        <v>130</v>
      </c>
    </row>
    <row r="6" spans="1:6" ht="12.75">
      <c r="A6" s="64" t="s">
        <v>42</v>
      </c>
      <c r="B6" s="225"/>
      <c r="C6" s="225"/>
      <c r="D6" s="225"/>
      <c r="E6" s="226"/>
      <c r="F6" s="225"/>
    </row>
    <row r="7" spans="1:6" ht="12.75">
      <c r="A7" s="227" t="s">
        <v>43</v>
      </c>
      <c r="B7" s="68">
        <v>28375</v>
      </c>
      <c r="C7" s="57">
        <v>146330</v>
      </c>
      <c r="D7" s="68">
        <v>10861</v>
      </c>
      <c r="E7" s="69">
        <v>2028</v>
      </c>
      <c r="F7" s="57">
        <v>10110</v>
      </c>
    </row>
    <row r="8" spans="1:6" ht="12.75">
      <c r="A8" s="59" t="s">
        <v>44</v>
      </c>
      <c r="B8" s="68">
        <v>7737</v>
      </c>
      <c r="C8" s="57">
        <v>39632</v>
      </c>
      <c r="D8" s="68">
        <v>2987</v>
      </c>
      <c r="E8" s="69">
        <v>538</v>
      </c>
      <c r="F8" s="57">
        <v>2714</v>
      </c>
    </row>
    <row r="9" spans="1:6" ht="12.75">
      <c r="A9" s="59" t="s">
        <v>45</v>
      </c>
      <c r="B9" s="68">
        <v>3327</v>
      </c>
      <c r="C9" s="57">
        <v>123158</v>
      </c>
      <c r="D9" s="68">
        <v>965</v>
      </c>
      <c r="E9" s="69">
        <v>805</v>
      </c>
      <c r="F9" s="57">
        <v>179</v>
      </c>
    </row>
    <row r="10" spans="1:6" ht="12.75">
      <c r="A10" s="59" t="s">
        <v>131</v>
      </c>
      <c r="B10" s="68">
        <v>-235</v>
      </c>
      <c r="C10" s="57"/>
      <c r="D10" s="68"/>
      <c r="E10" s="69"/>
      <c r="F10" s="57"/>
    </row>
    <row r="11" spans="1:6" ht="12.75">
      <c r="A11" s="59" t="s">
        <v>47</v>
      </c>
      <c r="B11" s="68"/>
      <c r="C11" s="57">
        <v>0</v>
      </c>
      <c r="D11" s="68">
        <v>0</v>
      </c>
      <c r="E11" s="69">
        <v>0</v>
      </c>
      <c r="F11" s="57">
        <v>0</v>
      </c>
    </row>
    <row r="12" spans="1:6" ht="12.75">
      <c r="A12" s="228" t="s">
        <v>48</v>
      </c>
      <c r="B12" s="68"/>
      <c r="C12" s="57">
        <v>0</v>
      </c>
      <c r="D12" s="68">
        <v>0</v>
      </c>
      <c r="E12" s="69">
        <v>0</v>
      </c>
      <c r="F12" s="57">
        <v>0</v>
      </c>
    </row>
    <row r="13" spans="1:6" ht="12.75">
      <c r="A13" s="229" t="s">
        <v>132</v>
      </c>
      <c r="B13" s="78">
        <f>B12</f>
        <v>0</v>
      </c>
      <c r="C13" s="78">
        <f>C12</f>
        <v>0</v>
      </c>
      <c r="D13" s="78">
        <f>D12</f>
        <v>0</v>
      </c>
      <c r="E13" s="78">
        <f>E12</f>
        <v>0</v>
      </c>
      <c r="F13" s="78">
        <f>F12</f>
        <v>0</v>
      </c>
    </row>
    <row r="14" spans="1:6" s="112" customFormat="1" ht="12.75">
      <c r="A14" s="111" t="s">
        <v>133</v>
      </c>
      <c r="B14" s="63">
        <f>SUM(B7:B12)</f>
        <v>39204</v>
      </c>
      <c r="C14" s="81">
        <f>SUM(C7:C12)</f>
        <v>309120</v>
      </c>
      <c r="D14" s="63">
        <f>SUM(D7:D12)</f>
        <v>14813</v>
      </c>
      <c r="E14" s="63">
        <f>SUM(E7:E12)</f>
        <v>3371</v>
      </c>
      <c r="F14" s="63">
        <f>SUM(F7:F12)</f>
        <v>13003</v>
      </c>
    </row>
    <row r="15" spans="1:6" ht="20.25" customHeight="1">
      <c r="A15" s="67" t="s">
        <v>51</v>
      </c>
      <c r="B15" s="68"/>
      <c r="C15" s="115"/>
      <c r="D15" s="68"/>
      <c r="E15" s="230"/>
      <c r="F15" s="68"/>
    </row>
    <row r="16" spans="1:6" ht="12.75">
      <c r="A16" s="59" t="s">
        <v>52</v>
      </c>
      <c r="B16" s="68">
        <v>0</v>
      </c>
      <c r="C16" s="76">
        <v>0</v>
      </c>
      <c r="D16" s="68">
        <v>0</v>
      </c>
      <c r="E16" s="230"/>
      <c r="F16" s="57">
        <v>0</v>
      </c>
    </row>
    <row r="17" spans="1:6" ht="12.75">
      <c r="A17" s="59" t="s">
        <v>53</v>
      </c>
      <c r="B17" s="68">
        <v>0</v>
      </c>
      <c r="C17" s="76"/>
      <c r="D17" s="68">
        <v>0</v>
      </c>
      <c r="E17" s="230">
        <v>0</v>
      </c>
      <c r="F17" s="57">
        <v>0</v>
      </c>
    </row>
    <row r="18" spans="1:6" ht="12.75">
      <c r="A18" s="59" t="s">
        <v>54</v>
      </c>
      <c r="B18" s="68">
        <v>0</v>
      </c>
      <c r="C18" s="76">
        <f>1_g_h_sz_melléklet!B39</f>
        <v>1500</v>
      </c>
      <c r="D18" s="68">
        <v>0</v>
      </c>
      <c r="E18" s="230">
        <v>0</v>
      </c>
      <c r="F18" s="57">
        <v>0</v>
      </c>
    </row>
    <row r="19" spans="1:6" ht="12.75">
      <c r="A19" s="231" t="s">
        <v>112</v>
      </c>
      <c r="B19" s="84">
        <f>-B10</f>
        <v>235</v>
      </c>
      <c r="C19" s="84">
        <f>-C10</f>
        <v>0</v>
      </c>
      <c r="D19" s="84">
        <f>-D10</f>
        <v>0</v>
      </c>
      <c r="E19" s="84">
        <f>-E10</f>
        <v>0</v>
      </c>
      <c r="F19" s="84">
        <f>-F10</f>
        <v>0</v>
      </c>
    </row>
    <row r="20" spans="1:6" s="112" customFormat="1" ht="12.75">
      <c r="A20" s="111" t="s">
        <v>91</v>
      </c>
      <c r="B20" s="63">
        <f>B16+B17+B18+B19</f>
        <v>235</v>
      </c>
      <c r="C20" s="63">
        <f>C16+C17+C18+C19</f>
        <v>1500</v>
      </c>
      <c r="D20" s="63">
        <f>D16+D17+D18+D19</f>
        <v>0</v>
      </c>
      <c r="E20" s="63">
        <f>E16+E17+E18+E19</f>
        <v>0</v>
      </c>
      <c r="F20" s="63">
        <f>F16+F17+F18+F19</f>
        <v>0</v>
      </c>
    </row>
    <row r="21" spans="1:6" ht="12.75">
      <c r="A21" s="117"/>
      <c r="B21" s="84"/>
      <c r="C21" s="71"/>
      <c r="D21" s="84"/>
      <c r="E21" s="73"/>
      <c r="F21" s="84"/>
    </row>
    <row r="22" spans="1:6" ht="12.75">
      <c r="A22" s="117" t="s">
        <v>57</v>
      </c>
      <c r="B22" s="84"/>
      <c r="C22" s="71"/>
      <c r="D22" s="84"/>
      <c r="E22" s="73"/>
      <c r="F22" s="84"/>
    </row>
    <row r="23" spans="1:6" ht="12.75">
      <c r="A23" s="232" t="s">
        <v>58</v>
      </c>
      <c r="B23" s="57">
        <v>0</v>
      </c>
      <c r="C23" s="75">
        <f>1_e_f_sz_melléklet!C9+1_e_f_sz_melléklet!C11</f>
        <v>34912</v>
      </c>
      <c r="D23" s="57">
        <v>0</v>
      </c>
      <c r="E23" s="76">
        <v>0</v>
      </c>
      <c r="F23" s="57">
        <v>0</v>
      </c>
    </row>
    <row r="24" spans="1:6" ht="12.75">
      <c r="A24" s="233" t="s">
        <v>59</v>
      </c>
      <c r="B24" s="84">
        <v>0</v>
      </c>
      <c r="C24" s="71">
        <v>0</v>
      </c>
      <c r="D24" s="84">
        <v>0</v>
      </c>
      <c r="E24" s="73">
        <v>0</v>
      </c>
      <c r="F24" s="78">
        <v>0</v>
      </c>
    </row>
    <row r="25" spans="1:6" ht="12.75">
      <c r="A25" s="62" t="s">
        <v>134</v>
      </c>
      <c r="B25" s="63">
        <f>B23+B24</f>
        <v>0</v>
      </c>
      <c r="C25" s="63">
        <f>C23+C24</f>
        <v>34912</v>
      </c>
      <c r="D25" s="63">
        <f>D23+D24</f>
        <v>0</v>
      </c>
      <c r="E25" s="63">
        <f>E23+E24</f>
        <v>0</v>
      </c>
      <c r="F25" s="63">
        <f>F23+F24</f>
        <v>0</v>
      </c>
    </row>
    <row r="26" spans="1:6" ht="12.75">
      <c r="A26" s="117"/>
      <c r="B26" s="84"/>
      <c r="C26" s="71"/>
      <c r="D26" s="84"/>
      <c r="E26" s="84"/>
      <c r="F26" s="73"/>
    </row>
    <row r="27" spans="1:6" ht="12.75">
      <c r="A27" s="82" t="s">
        <v>94</v>
      </c>
      <c r="B27" s="68"/>
      <c r="C27" s="230"/>
      <c r="D27" s="68"/>
      <c r="E27" s="68"/>
      <c r="F27" s="115"/>
    </row>
    <row r="28" spans="1:6" ht="12.75">
      <c r="A28" s="74" t="s">
        <v>58</v>
      </c>
      <c r="B28" s="68">
        <v>0</v>
      </c>
      <c r="C28" s="230">
        <v>0</v>
      </c>
      <c r="D28" s="68">
        <v>0</v>
      </c>
      <c r="E28" s="68"/>
      <c r="F28" s="76"/>
    </row>
    <row r="29" spans="1:6" ht="12.75">
      <c r="A29" s="234" t="s">
        <v>59</v>
      </c>
      <c r="B29" s="84">
        <v>0</v>
      </c>
      <c r="C29" s="71">
        <v>0</v>
      </c>
      <c r="D29" s="84">
        <v>0</v>
      </c>
      <c r="E29" s="84">
        <v>0</v>
      </c>
      <c r="F29" s="79"/>
    </row>
    <row r="30" spans="1:6" ht="12.75">
      <c r="A30" s="62" t="s">
        <v>95</v>
      </c>
      <c r="B30" s="63">
        <f>B28+B29</f>
        <v>0</v>
      </c>
      <c r="C30" s="63">
        <f>C28+C29</f>
        <v>0</v>
      </c>
      <c r="D30" s="63">
        <f>D28+D29</f>
        <v>0</v>
      </c>
      <c r="E30" s="63">
        <f>E28+E29</f>
        <v>0</v>
      </c>
      <c r="F30" s="63">
        <f>F28+F29</f>
        <v>0</v>
      </c>
    </row>
    <row r="31" spans="1:6" ht="20.25" customHeight="1">
      <c r="A31" s="64" t="s">
        <v>63</v>
      </c>
      <c r="B31" s="68"/>
      <c r="C31" s="68"/>
      <c r="D31" s="68"/>
      <c r="E31" s="230"/>
      <c r="F31" s="68"/>
    </row>
    <row r="32" spans="1:6" ht="12.75">
      <c r="A32" s="77" t="s">
        <v>96</v>
      </c>
      <c r="B32" s="84">
        <v>0</v>
      </c>
      <c r="C32" s="84">
        <v>0</v>
      </c>
      <c r="D32" s="84">
        <v>0</v>
      </c>
      <c r="E32" s="71">
        <v>0</v>
      </c>
      <c r="F32" s="57">
        <v>0</v>
      </c>
    </row>
    <row r="33" spans="1:6" ht="12.75">
      <c r="A33" s="228" t="s">
        <v>135</v>
      </c>
      <c r="B33" s="57">
        <v>0</v>
      </c>
      <c r="C33" s="57">
        <v>0</v>
      </c>
      <c r="D33" s="57">
        <v>0</v>
      </c>
      <c r="E33" s="75">
        <v>0</v>
      </c>
      <c r="F33" s="78">
        <v>0</v>
      </c>
    </row>
    <row r="34" spans="1:6" ht="12.75">
      <c r="A34" s="62" t="s">
        <v>98</v>
      </c>
      <c r="B34" s="63">
        <f>B33+B32</f>
        <v>0</v>
      </c>
      <c r="C34" s="63">
        <f>C33+C32</f>
        <v>0</v>
      </c>
      <c r="D34" s="63">
        <f>D33+D32</f>
        <v>0</v>
      </c>
      <c r="E34" s="63">
        <f>E33+E32</f>
        <v>0</v>
      </c>
      <c r="F34" s="63">
        <f>F33+F32</f>
        <v>0</v>
      </c>
    </row>
    <row r="35" spans="1:6" ht="19.5" customHeight="1">
      <c r="A35" s="67" t="s">
        <v>67</v>
      </c>
      <c r="B35" s="130"/>
      <c r="C35" s="89"/>
      <c r="D35" s="235"/>
      <c r="E35" s="130"/>
      <c r="F35" s="68"/>
    </row>
    <row r="36" spans="1:6" ht="12.75">
      <c r="A36" s="56" t="s">
        <v>136</v>
      </c>
      <c r="B36" s="230">
        <v>0</v>
      </c>
      <c r="C36" s="68">
        <v>0</v>
      </c>
      <c r="D36" s="69">
        <v>0</v>
      </c>
      <c r="E36" s="230">
        <v>0</v>
      </c>
      <c r="F36" s="57">
        <v>0</v>
      </c>
    </row>
    <row r="37" spans="1:6" ht="12.75">
      <c r="A37" s="56" t="s">
        <v>137</v>
      </c>
      <c r="B37" s="75">
        <v>0</v>
      </c>
      <c r="C37" s="57">
        <v>0</v>
      </c>
      <c r="D37" s="58">
        <v>0</v>
      </c>
      <c r="E37" s="75">
        <v>0</v>
      </c>
      <c r="F37" s="57">
        <v>0</v>
      </c>
    </row>
    <row r="38" spans="1:6" ht="12.75">
      <c r="A38" s="111" t="s">
        <v>70</v>
      </c>
      <c r="B38" s="63">
        <f>B37+B36</f>
        <v>0</v>
      </c>
      <c r="C38" s="63">
        <f>C37+C36</f>
        <v>0</v>
      </c>
      <c r="D38" s="63">
        <f>D37+D36</f>
        <v>0</v>
      </c>
      <c r="E38" s="63">
        <f>E37+E36</f>
        <v>0</v>
      </c>
      <c r="F38" s="63">
        <f>F37+F36</f>
        <v>0</v>
      </c>
    </row>
    <row r="39" spans="1:6" ht="12.75">
      <c r="A39" s="117"/>
      <c r="B39" s="72"/>
      <c r="C39" s="72"/>
      <c r="D39" s="72"/>
      <c r="E39" s="236"/>
      <c r="F39" s="84"/>
    </row>
    <row r="40" spans="1:6" ht="12.75">
      <c r="A40" s="237" t="s">
        <v>138</v>
      </c>
      <c r="B40" s="238"/>
      <c r="C40" s="238"/>
      <c r="D40" s="239"/>
      <c r="E40" s="239"/>
      <c r="F40" s="239"/>
    </row>
    <row r="41" spans="1:6" s="112" customFormat="1" ht="12.75">
      <c r="A41" s="240" t="s">
        <v>99</v>
      </c>
      <c r="B41" s="241">
        <f>B38+B34+B30+B25+B20+B14</f>
        <v>39439</v>
      </c>
      <c r="C41" s="241">
        <f>C38+C34+C30+C25+C20+C14</f>
        <v>345532</v>
      </c>
      <c r="D41" s="241">
        <f>D38+D34+D30+D25+D20+D14</f>
        <v>14813</v>
      </c>
      <c r="E41" s="241">
        <f>E38+E34+E30+E25+E20+E14</f>
        <v>3371</v>
      </c>
      <c r="F41" s="241">
        <f>F38+F34+F30+F25+F20+F14</f>
        <v>13003</v>
      </c>
    </row>
    <row r="42" spans="1:6" ht="12.75">
      <c r="A42" s="242"/>
      <c r="B42" s="243"/>
      <c r="C42" s="243"/>
      <c r="D42" s="89"/>
      <c r="E42" s="131"/>
      <c r="F42" s="131"/>
    </row>
    <row r="43" spans="1:6" ht="12.75">
      <c r="A43" s="244" t="s">
        <v>100</v>
      </c>
      <c r="B43" s="245"/>
      <c r="C43" s="245"/>
      <c r="D43" s="57"/>
      <c r="E43" s="76"/>
      <c r="F43" s="76"/>
    </row>
    <row r="44" spans="1:6" ht="12.75">
      <c r="A44" s="90" t="s">
        <v>73</v>
      </c>
      <c r="B44" s="245">
        <v>0</v>
      </c>
      <c r="C44" s="245">
        <v>0</v>
      </c>
      <c r="D44" s="57">
        <v>0</v>
      </c>
      <c r="E44" s="76">
        <v>0</v>
      </c>
      <c r="F44" s="76">
        <v>0</v>
      </c>
    </row>
    <row r="45" spans="1:6" ht="12.75">
      <c r="A45" s="135" t="s">
        <v>101</v>
      </c>
      <c r="B45" s="246">
        <v>292</v>
      </c>
      <c r="C45" s="246"/>
      <c r="D45" s="78">
        <v>0</v>
      </c>
      <c r="E45" s="79">
        <v>0</v>
      </c>
      <c r="F45" s="79">
        <v>0</v>
      </c>
    </row>
    <row r="46" spans="1:6" s="112" customFormat="1" ht="12.75">
      <c r="A46" s="111" t="s">
        <v>75</v>
      </c>
      <c r="B46" s="127">
        <f>SUM(B44:B45)</f>
        <v>292</v>
      </c>
      <c r="C46" s="127">
        <f>SUM(C44:C45)</f>
        <v>0</v>
      </c>
      <c r="D46" s="127">
        <v>0</v>
      </c>
      <c r="E46" s="127">
        <f>SUM(E44:E45)</f>
        <v>0</v>
      </c>
      <c r="F46" s="94">
        <f>SUM(F44:F45)</f>
        <v>0</v>
      </c>
    </row>
    <row r="47" spans="1:6" ht="12.75">
      <c r="A47" s="111"/>
      <c r="B47" s="98"/>
      <c r="C47" s="98"/>
      <c r="D47" s="98"/>
      <c r="E47" s="247"/>
      <c r="F47" s="248"/>
    </row>
    <row r="48" spans="1:6" s="112" customFormat="1" ht="27" customHeight="1">
      <c r="A48" s="249" t="s">
        <v>139</v>
      </c>
      <c r="B48" s="94">
        <f>B41+B46</f>
        <v>39731</v>
      </c>
      <c r="C48" s="94">
        <f>C41+C46</f>
        <v>345532</v>
      </c>
      <c r="D48" s="94">
        <f>D41+D46</f>
        <v>14813</v>
      </c>
      <c r="E48" s="94">
        <f>E41+E46</f>
        <v>3371</v>
      </c>
      <c r="F48" s="94">
        <f>F41+F46</f>
        <v>13003</v>
      </c>
    </row>
    <row r="50" ht="15.75" customHeight="1"/>
    <row r="51" spans="1:6" ht="12.75">
      <c r="A51" s="1051">
        <v>2</v>
      </c>
      <c r="B51" s="1051"/>
      <c r="C51" s="1051"/>
      <c r="D51" s="1051"/>
      <c r="E51" s="1051"/>
      <c r="F51" s="1051"/>
    </row>
    <row r="52" spans="1:5" ht="14.25">
      <c r="A52" s="1043" t="s">
        <v>122</v>
      </c>
      <c r="B52" s="1043"/>
      <c r="C52" s="1043"/>
      <c r="D52" s="1043"/>
      <c r="E52" s="1043"/>
    </row>
    <row r="53" spans="1:6" ht="15.75">
      <c r="A53" s="1050" t="s">
        <v>123</v>
      </c>
      <c r="B53" s="1050"/>
      <c r="C53" s="1050"/>
      <c r="D53" s="1050"/>
      <c r="E53" s="1050"/>
      <c r="F53" s="1050"/>
    </row>
    <row r="54" spans="1:6" ht="15.75">
      <c r="A54" s="1042" t="s">
        <v>124</v>
      </c>
      <c r="B54" s="1042"/>
      <c r="C54" s="1042"/>
      <c r="D54" s="1042"/>
      <c r="E54" s="1042"/>
      <c r="F54" s="1042"/>
    </row>
    <row r="55" ht="12.75">
      <c r="E55" s="49" t="s">
        <v>80</v>
      </c>
    </row>
    <row r="56" spans="1:6" ht="39" customHeight="1">
      <c r="A56" s="50" t="s">
        <v>125</v>
      </c>
      <c r="B56" s="250" t="s">
        <v>140</v>
      </c>
      <c r="C56" s="224" t="s">
        <v>141</v>
      </c>
      <c r="D56" s="223" t="s">
        <v>142</v>
      </c>
      <c r="E56" s="223" t="s">
        <v>143</v>
      </c>
      <c r="F56" s="223" t="s">
        <v>144</v>
      </c>
    </row>
    <row r="57" spans="1:6" ht="12.75">
      <c r="A57" s="64" t="s">
        <v>42</v>
      </c>
      <c r="B57" s="89"/>
      <c r="C57" s="89"/>
      <c r="D57" s="89"/>
      <c r="E57" s="235"/>
      <c r="F57" s="89"/>
    </row>
    <row r="58" spans="1:6" ht="12.75">
      <c r="A58" s="227" t="s">
        <v>43</v>
      </c>
      <c r="B58" s="68">
        <v>48954</v>
      </c>
      <c r="C58" s="57"/>
      <c r="D58" s="68"/>
      <c r="E58" s="69"/>
      <c r="F58" s="57"/>
    </row>
    <row r="59" spans="1:6" ht="12.75">
      <c r="A59" s="59" t="s">
        <v>44</v>
      </c>
      <c r="B59" s="68">
        <v>13266</v>
      </c>
      <c r="C59" s="57"/>
      <c r="D59" s="68"/>
      <c r="E59" s="69"/>
      <c r="F59" s="57"/>
    </row>
    <row r="60" spans="1:6" ht="12.75">
      <c r="A60" s="59" t="s">
        <v>45</v>
      </c>
      <c r="B60" s="68">
        <v>1153</v>
      </c>
      <c r="C60" s="251"/>
      <c r="D60" s="68"/>
      <c r="E60" s="69"/>
      <c r="F60" s="57">
        <v>134756</v>
      </c>
    </row>
    <row r="61" spans="1:6" ht="12.75">
      <c r="A61" s="59" t="s">
        <v>145</v>
      </c>
      <c r="B61" s="68"/>
      <c r="C61" s="57"/>
      <c r="D61" s="68"/>
      <c r="E61" s="69"/>
      <c r="F61" s="57">
        <v>-90203</v>
      </c>
    </row>
    <row r="62" spans="1:6" ht="12.75">
      <c r="A62" s="59" t="s">
        <v>47</v>
      </c>
      <c r="B62" s="68"/>
      <c r="C62" s="57"/>
      <c r="D62" s="68"/>
      <c r="E62" s="69"/>
      <c r="F62" s="57"/>
    </row>
    <row r="63" spans="1:6" ht="12.75">
      <c r="A63" s="228" t="s">
        <v>48</v>
      </c>
      <c r="B63" s="68"/>
      <c r="C63" s="57"/>
      <c r="D63" s="68"/>
      <c r="E63" s="69"/>
      <c r="F63" s="57"/>
    </row>
    <row r="64" spans="1:6" ht="12.75">
      <c r="A64" s="229" t="s">
        <v>146</v>
      </c>
      <c r="B64" s="57">
        <f>B63</f>
        <v>0</v>
      </c>
      <c r="C64" s="57">
        <f>C63</f>
        <v>0</v>
      </c>
      <c r="D64" s="57">
        <f>D63</f>
        <v>0</v>
      </c>
      <c r="E64" s="57">
        <f>E63</f>
        <v>0</v>
      </c>
      <c r="F64" s="57">
        <f>F63</f>
        <v>0</v>
      </c>
    </row>
    <row r="65" spans="1:6" s="112" customFormat="1" ht="12.75">
      <c r="A65" s="62" t="s">
        <v>133</v>
      </c>
      <c r="B65" s="63">
        <f>SUM(B58:B63)</f>
        <v>63373</v>
      </c>
      <c r="C65" s="63">
        <f>SUM(C58:C63)</f>
        <v>0</v>
      </c>
      <c r="D65" s="63">
        <f>SUM(D58:D63)</f>
        <v>0</v>
      </c>
      <c r="E65" s="63">
        <f>SUM(E58:E63)</f>
        <v>0</v>
      </c>
      <c r="F65" s="63">
        <f>SUM(F58:F63)</f>
        <v>44553</v>
      </c>
    </row>
    <row r="66" spans="1:6" ht="12.75">
      <c r="A66" s="114"/>
      <c r="B66" s="89"/>
      <c r="C66" s="131"/>
      <c r="D66" s="89"/>
      <c r="E66" s="235"/>
      <c r="F66" s="68"/>
    </row>
    <row r="67" spans="1:6" ht="12.75">
      <c r="A67" s="67" t="s">
        <v>51</v>
      </c>
      <c r="B67" s="68"/>
      <c r="C67" s="115"/>
      <c r="D67" s="68"/>
      <c r="E67" s="230"/>
      <c r="F67" s="57"/>
    </row>
    <row r="68" spans="1:6" ht="12.75">
      <c r="A68" s="59" t="s">
        <v>52</v>
      </c>
      <c r="B68" s="68">
        <v>0</v>
      </c>
      <c r="C68" s="76">
        <f>'4_sz_ melléklet'!B44</f>
        <v>0</v>
      </c>
      <c r="D68" s="68">
        <v>0</v>
      </c>
      <c r="E68" s="230">
        <v>0</v>
      </c>
      <c r="F68" s="57">
        <f>'4_sz_ melléklet'!B34</f>
        <v>335088</v>
      </c>
    </row>
    <row r="69" spans="1:6" ht="12.75">
      <c r="A69" s="59" t="s">
        <v>53</v>
      </c>
      <c r="B69" s="68">
        <v>0</v>
      </c>
      <c r="C69" s="76"/>
      <c r="D69" s="68">
        <v>0</v>
      </c>
      <c r="E69" s="230">
        <v>0</v>
      </c>
      <c r="F69" s="57">
        <v>0</v>
      </c>
    </row>
    <row r="70" spans="1:6" ht="12.75">
      <c r="A70" s="59" t="s">
        <v>54</v>
      </c>
      <c r="B70" s="68"/>
      <c r="C70" s="76"/>
      <c r="D70" s="68"/>
      <c r="E70" s="230"/>
      <c r="F70" s="57">
        <v>0</v>
      </c>
    </row>
    <row r="71" spans="1:6" ht="12.75">
      <c r="A71" s="231" t="s">
        <v>112</v>
      </c>
      <c r="B71" s="83">
        <f>-B61</f>
        <v>0</v>
      </c>
      <c r="C71" s="83">
        <f>-C61</f>
        <v>0</v>
      </c>
      <c r="D71" s="83">
        <f>-D61</f>
        <v>0</v>
      </c>
      <c r="E71" s="83">
        <f>-E61</f>
        <v>0</v>
      </c>
      <c r="F71" s="83">
        <f>-F61</f>
        <v>90203</v>
      </c>
    </row>
    <row r="72" spans="1:6" ht="12.75">
      <c r="A72" s="252"/>
      <c r="B72" s="84"/>
      <c r="C72" s="73"/>
      <c r="D72" s="84"/>
      <c r="E72" s="71"/>
      <c r="F72" s="84"/>
    </row>
    <row r="73" spans="1:6" s="112" customFormat="1" ht="12.75">
      <c r="A73" s="62" t="s">
        <v>91</v>
      </c>
      <c r="B73" s="63">
        <f>SUM(B68:B71)</f>
        <v>0</v>
      </c>
      <c r="C73" s="63">
        <f>SUM(C68:C71)</f>
        <v>0</v>
      </c>
      <c r="D73" s="63">
        <f>SUM(D68:D71)</f>
        <v>0</v>
      </c>
      <c r="E73" s="63">
        <f>SUM(E68:E71)</f>
        <v>0</v>
      </c>
      <c r="F73" s="63">
        <f>SUM(F68:F71)</f>
        <v>425291</v>
      </c>
    </row>
    <row r="74" spans="1:6" ht="8.25" customHeight="1">
      <c r="A74" s="117"/>
      <c r="B74" s="84"/>
      <c r="C74" s="71"/>
      <c r="D74" s="84"/>
      <c r="E74" s="73"/>
      <c r="F74" s="84"/>
    </row>
    <row r="75" spans="1:6" ht="12.75">
      <c r="A75" s="117" t="s">
        <v>57</v>
      </c>
      <c r="B75" s="84"/>
      <c r="C75" s="71"/>
      <c r="D75" s="84"/>
      <c r="E75" s="73"/>
      <c r="F75" s="84"/>
    </row>
    <row r="76" spans="1:6" ht="12.75">
      <c r="A76" s="232" t="s">
        <v>58</v>
      </c>
      <c r="B76" s="57">
        <v>0</v>
      </c>
      <c r="C76" s="75"/>
      <c r="D76" s="57"/>
      <c r="E76" s="76">
        <v>0</v>
      </c>
      <c r="F76" s="57"/>
    </row>
    <row r="77" spans="1:6" ht="12.75">
      <c r="A77" s="233" t="s">
        <v>59</v>
      </c>
      <c r="B77" s="84">
        <v>0</v>
      </c>
      <c r="C77" s="71">
        <v>0</v>
      </c>
      <c r="D77" s="84">
        <v>0</v>
      </c>
      <c r="E77" s="73">
        <v>0</v>
      </c>
      <c r="F77" s="78">
        <v>0</v>
      </c>
    </row>
    <row r="78" spans="1:6" s="112" customFormat="1" ht="12.75">
      <c r="A78" s="62" t="s">
        <v>134</v>
      </c>
      <c r="B78" s="63">
        <f>B76+B77</f>
        <v>0</v>
      </c>
      <c r="C78" s="63">
        <f>C76+C77</f>
        <v>0</v>
      </c>
      <c r="D78" s="63">
        <f>D76+D77</f>
        <v>0</v>
      </c>
      <c r="E78" s="63">
        <f>E76+E77</f>
        <v>0</v>
      </c>
      <c r="F78" s="63">
        <f>F76+F77</f>
        <v>0</v>
      </c>
    </row>
    <row r="79" spans="1:6" ht="12.75">
      <c r="A79" s="117"/>
      <c r="B79" s="84"/>
      <c r="C79" s="71"/>
      <c r="D79" s="84"/>
      <c r="E79" s="84"/>
      <c r="F79" s="73"/>
    </row>
    <row r="80" spans="1:6" ht="12.75">
      <c r="A80" s="82" t="s">
        <v>94</v>
      </c>
      <c r="B80" s="68"/>
      <c r="C80" s="230"/>
      <c r="D80" s="68"/>
      <c r="E80" s="68"/>
      <c r="F80" s="115"/>
    </row>
    <row r="81" spans="1:6" ht="12.75">
      <c r="A81" s="74" t="s">
        <v>58</v>
      </c>
      <c r="B81" s="68">
        <v>0</v>
      </c>
      <c r="C81" s="230">
        <f>1_e_f_sz_melléklet!C24+1_e_f_sz_melléklet!C26+1_e_f_sz_melléklet!C27+1_e_f_sz_melléklet!C28+1_e_f_sz_melléklet!C29+1_e_f_sz_melléklet!C35+1_e_f_sz_melléklet!C25</f>
        <v>133303</v>
      </c>
      <c r="D81" s="68"/>
      <c r="E81" s="68">
        <f>1_e_f_sz_melléklet!C30+1_e_f_sz_melléklet!C31</f>
        <v>9550</v>
      </c>
      <c r="F81" s="76"/>
    </row>
    <row r="82" spans="1:6" ht="12.75">
      <c r="A82" s="234" t="s">
        <v>59</v>
      </c>
      <c r="B82" s="84">
        <v>0</v>
      </c>
      <c r="C82" s="71">
        <v>0</v>
      </c>
      <c r="D82" s="84">
        <f>1_e_f_sz_melléklet!C47</f>
        <v>5000</v>
      </c>
      <c r="E82" s="84">
        <v>0</v>
      </c>
      <c r="F82" s="79"/>
    </row>
    <row r="83" spans="1:6" s="112" customFormat="1" ht="12.75">
      <c r="A83" s="62" t="s">
        <v>95</v>
      </c>
      <c r="B83" s="63">
        <f>B81+B82</f>
        <v>0</v>
      </c>
      <c r="C83" s="63">
        <f>C81+C82</f>
        <v>133303</v>
      </c>
      <c r="D83" s="63">
        <f>D81+D82</f>
        <v>5000</v>
      </c>
      <c r="E83" s="63">
        <f>E81+E82</f>
        <v>9550</v>
      </c>
      <c r="F83" s="63">
        <f>F81+F82</f>
        <v>0</v>
      </c>
    </row>
    <row r="84" spans="1:6" ht="18" customHeight="1">
      <c r="A84" s="64" t="s">
        <v>63</v>
      </c>
      <c r="B84" s="68"/>
      <c r="C84" s="68"/>
      <c r="D84" s="68"/>
      <c r="E84" s="230"/>
      <c r="F84" s="68"/>
    </row>
    <row r="85" spans="1:6" ht="12.75">
      <c r="A85" s="77" t="s">
        <v>96</v>
      </c>
      <c r="B85" s="84">
        <v>0</v>
      </c>
      <c r="C85" s="84">
        <v>0</v>
      </c>
      <c r="D85" s="84">
        <f>1_g_h_sz_melléklet!B10</f>
        <v>1000</v>
      </c>
      <c r="E85" s="71">
        <v>0</v>
      </c>
      <c r="F85" s="57"/>
    </row>
    <row r="86" spans="1:6" ht="12.75">
      <c r="A86" s="228" t="s">
        <v>135</v>
      </c>
      <c r="B86" s="57">
        <v>0</v>
      </c>
      <c r="C86" s="57">
        <v>0</v>
      </c>
      <c r="D86" s="57">
        <f>1_g_h_sz_melléklet!B15</f>
        <v>5000</v>
      </c>
      <c r="E86" s="75">
        <v>0</v>
      </c>
      <c r="F86" s="78"/>
    </row>
    <row r="87" spans="1:6" s="112" customFormat="1" ht="12.75">
      <c r="A87" s="62" t="s">
        <v>98</v>
      </c>
      <c r="B87" s="63">
        <f>B85+B86</f>
        <v>0</v>
      </c>
      <c r="C87" s="63">
        <f>C85+C86</f>
        <v>0</v>
      </c>
      <c r="D87" s="63">
        <f>D85+D86</f>
        <v>6000</v>
      </c>
      <c r="E87" s="63">
        <f>E85+E86</f>
        <v>0</v>
      </c>
      <c r="F87" s="63">
        <f>F85+F86</f>
        <v>0</v>
      </c>
    </row>
    <row r="88" spans="1:6" ht="17.25" customHeight="1">
      <c r="A88" s="67" t="s">
        <v>67</v>
      </c>
      <c r="B88" s="130"/>
      <c r="C88" s="89"/>
      <c r="D88" s="235"/>
      <c r="E88" s="130"/>
      <c r="F88" s="68"/>
    </row>
    <row r="89" spans="1:6" ht="12.75">
      <c r="A89" s="56" t="s">
        <v>136</v>
      </c>
      <c r="B89" s="230"/>
      <c r="C89" s="68"/>
      <c r="D89" s="69"/>
      <c r="E89" s="230"/>
      <c r="F89" s="57">
        <v>0</v>
      </c>
    </row>
    <row r="90" spans="1:6" ht="12.75">
      <c r="A90" s="56" t="s">
        <v>137</v>
      </c>
      <c r="B90" s="75"/>
      <c r="C90" s="57"/>
      <c r="D90" s="58"/>
      <c r="E90" s="75"/>
      <c r="F90" s="57">
        <v>0</v>
      </c>
    </row>
    <row r="91" spans="1:6" s="112" customFormat="1" ht="12.75">
      <c r="A91" s="111" t="s">
        <v>70</v>
      </c>
      <c r="B91" s="63">
        <f>B89+B90</f>
        <v>0</v>
      </c>
      <c r="C91" s="63">
        <f>C89+C90</f>
        <v>0</v>
      </c>
      <c r="D91" s="63">
        <f>D89+D90</f>
        <v>0</v>
      </c>
      <c r="E91" s="63">
        <f>E89+E90</f>
        <v>0</v>
      </c>
      <c r="F91" s="63">
        <f>F89+F90</f>
        <v>0</v>
      </c>
    </row>
    <row r="92" spans="1:6" ht="12.75">
      <c r="A92" s="117"/>
      <c r="B92" s="72"/>
      <c r="C92" s="72"/>
      <c r="D92" s="72"/>
      <c r="E92" s="236"/>
      <c r="F92" s="84"/>
    </row>
    <row r="93" spans="1:6" ht="12.75">
      <c r="A93" s="237" t="s">
        <v>147</v>
      </c>
      <c r="B93" s="238"/>
      <c r="C93" s="238"/>
      <c r="D93" s="72"/>
      <c r="E93" s="236"/>
      <c r="F93" s="72"/>
    </row>
    <row r="94" spans="1:6" s="112" customFormat="1" ht="12.75">
      <c r="A94" s="240" t="s">
        <v>99</v>
      </c>
      <c r="B94" s="241">
        <f>B91+B87+B83+B78+B73+B65</f>
        <v>63373</v>
      </c>
      <c r="C94" s="241">
        <f>C91+C87+C83+C78+C73+C65</f>
        <v>133303</v>
      </c>
      <c r="D94" s="241">
        <f>D91+D87+D83+D78+D73+D65</f>
        <v>11000</v>
      </c>
      <c r="E94" s="241">
        <f>E91+E87+E83+E78+E73+E65</f>
        <v>9550</v>
      </c>
      <c r="F94" s="241">
        <f>F91+F87+F83+F78+F73+F65</f>
        <v>469844</v>
      </c>
    </row>
    <row r="95" spans="1:6" ht="12.75">
      <c r="A95" s="253"/>
      <c r="B95" s="243"/>
      <c r="C95" s="254"/>
      <c r="D95" s="235"/>
      <c r="E95" s="89"/>
      <c r="F95" s="131"/>
    </row>
    <row r="96" spans="1:6" ht="12.75">
      <c r="A96" s="244" t="s">
        <v>100</v>
      </c>
      <c r="B96" s="245"/>
      <c r="C96" s="255"/>
      <c r="D96" s="58"/>
      <c r="E96" s="57"/>
      <c r="F96" s="76"/>
    </row>
    <row r="97" spans="1:6" ht="12.75">
      <c r="A97" s="90" t="s">
        <v>73</v>
      </c>
      <c r="B97" s="245">
        <v>0</v>
      </c>
      <c r="C97" s="255"/>
      <c r="D97" s="58">
        <v>0</v>
      </c>
      <c r="E97" s="57">
        <v>0</v>
      </c>
      <c r="F97" s="76">
        <v>0</v>
      </c>
    </row>
    <row r="98" spans="1:6" ht="12.75">
      <c r="A98" s="135" t="s">
        <v>101</v>
      </c>
      <c r="B98" s="246"/>
      <c r="C98" s="256">
        <v>0</v>
      </c>
      <c r="D98" s="61">
        <v>0</v>
      </c>
      <c r="E98" s="78">
        <v>0</v>
      </c>
      <c r="F98" s="79">
        <v>2940</v>
      </c>
    </row>
    <row r="99" spans="1:6" s="112" customFormat="1" ht="12.75">
      <c r="A99" s="111" t="s">
        <v>114</v>
      </c>
      <c r="B99" s="80">
        <f>B97+B98</f>
        <v>0</v>
      </c>
      <c r="C99" s="80">
        <f>C97+C98</f>
        <v>0</v>
      </c>
      <c r="D99" s="80">
        <f>D97+D98</f>
        <v>0</v>
      </c>
      <c r="E99" s="80">
        <f>E97+E98</f>
        <v>0</v>
      </c>
      <c r="F99" s="63">
        <f>F97+F98</f>
        <v>2940</v>
      </c>
    </row>
    <row r="100" spans="1:6" ht="12.75">
      <c r="A100" s="252"/>
      <c r="B100" s="84"/>
      <c r="C100" s="57"/>
      <c r="D100" s="87"/>
      <c r="E100" s="125"/>
      <c r="F100" s="84"/>
    </row>
    <row r="101" spans="1:6" s="112" customFormat="1" ht="12.75">
      <c r="A101" s="249" t="s">
        <v>139</v>
      </c>
      <c r="B101" s="94">
        <f>B99+B94</f>
        <v>63373</v>
      </c>
      <c r="C101" s="94">
        <f>C99+C94</f>
        <v>133303</v>
      </c>
      <c r="D101" s="94">
        <f>D99+D94</f>
        <v>11000</v>
      </c>
      <c r="E101" s="94">
        <f>E99+E94</f>
        <v>9550</v>
      </c>
      <c r="F101" s="94">
        <f>F99+F94</f>
        <v>472784</v>
      </c>
    </row>
    <row r="102" spans="1:6" s="112" customFormat="1" ht="12.75">
      <c r="A102" s="257"/>
      <c r="B102" s="258"/>
      <c r="C102" s="258"/>
      <c r="D102" s="258"/>
      <c r="E102" s="258"/>
      <c r="F102" s="258"/>
    </row>
    <row r="103" spans="1:6" s="112" customFormat="1" ht="12.75">
      <c r="A103" s="257"/>
      <c r="B103" s="258"/>
      <c r="C103" s="258"/>
      <c r="D103" s="258"/>
      <c r="E103" s="258"/>
      <c r="F103" s="258"/>
    </row>
    <row r="104" spans="1:6" ht="12.75">
      <c r="A104" s="1051">
        <v>3</v>
      </c>
      <c r="B104" s="1051"/>
      <c r="C104" s="1051"/>
      <c r="D104" s="1051"/>
      <c r="E104" s="1051"/>
      <c r="F104" s="1051"/>
    </row>
    <row r="106" spans="1:5" ht="14.25">
      <c r="A106" s="1043" t="s">
        <v>148</v>
      </c>
      <c r="B106" s="1043"/>
      <c r="C106" s="1043"/>
      <c r="D106" s="1043"/>
      <c r="E106" s="1043"/>
    </row>
    <row r="107" spans="1:6" ht="15.75">
      <c r="A107" s="1050" t="s">
        <v>123</v>
      </c>
      <c r="B107" s="1050"/>
      <c r="C107" s="1050"/>
      <c r="D107" s="1050"/>
      <c r="E107" s="1050"/>
      <c r="F107" s="1050"/>
    </row>
    <row r="108" spans="1:6" ht="15.75">
      <c r="A108" s="1042" t="s">
        <v>124</v>
      </c>
      <c r="B108" s="1042"/>
      <c r="C108" s="1042"/>
      <c r="D108" s="1042"/>
      <c r="E108" s="1042"/>
      <c r="F108" s="1042"/>
    </row>
    <row r="109" ht="12.75">
      <c r="E109" s="49" t="s">
        <v>80</v>
      </c>
    </row>
    <row r="110" spans="1:6" ht="40.5" customHeight="1">
      <c r="A110" s="50" t="s">
        <v>125</v>
      </c>
      <c r="B110" s="223" t="s">
        <v>149</v>
      </c>
      <c r="C110" s="259" t="s">
        <v>150</v>
      </c>
      <c r="D110" s="223" t="s">
        <v>151</v>
      </c>
      <c r="E110" s="223" t="s">
        <v>152</v>
      </c>
      <c r="F110" s="223" t="s">
        <v>153</v>
      </c>
    </row>
    <row r="111" spans="1:6" ht="12.75">
      <c r="A111" s="64" t="s">
        <v>42</v>
      </c>
      <c r="B111" s="89"/>
      <c r="C111" s="89"/>
      <c r="D111" s="89"/>
      <c r="E111" s="235"/>
      <c r="F111" s="89"/>
    </row>
    <row r="112" spans="1:6" ht="12.75">
      <c r="A112" s="227" t="s">
        <v>43</v>
      </c>
      <c r="B112" s="68">
        <v>2615</v>
      </c>
      <c r="C112" s="57">
        <v>150000</v>
      </c>
      <c r="D112" s="68"/>
      <c r="E112" s="69"/>
      <c r="F112" s="57"/>
    </row>
    <row r="113" spans="1:6" ht="12.75">
      <c r="A113" s="59" t="s">
        <v>44</v>
      </c>
      <c r="B113" s="68">
        <v>681</v>
      </c>
      <c r="C113" s="57">
        <v>41421</v>
      </c>
      <c r="D113" s="68"/>
      <c r="E113" s="69"/>
      <c r="F113" s="57"/>
    </row>
    <row r="114" spans="1:6" ht="12.75">
      <c r="A114" s="59" t="s">
        <v>45</v>
      </c>
      <c r="B114" s="68">
        <v>206</v>
      </c>
      <c r="C114" s="57">
        <v>375</v>
      </c>
      <c r="D114" s="68">
        <v>33750</v>
      </c>
      <c r="E114" s="69">
        <v>1375</v>
      </c>
      <c r="F114" s="57">
        <v>41400</v>
      </c>
    </row>
    <row r="115" spans="1:6" ht="12.75">
      <c r="A115" s="59" t="s">
        <v>154</v>
      </c>
      <c r="B115" s="68"/>
      <c r="C115" s="57"/>
      <c r="D115" s="68"/>
      <c r="E115" s="69"/>
      <c r="F115" s="57"/>
    </row>
    <row r="116" spans="1:6" ht="12.75">
      <c r="A116" s="59" t="s">
        <v>47</v>
      </c>
      <c r="B116" s="68"/>
      <c r="C116" s="57"/>
      <c r="D116" s="68"/>
      <c r="E116" s="69"/>
      <c r="F116" s="57"/>
    </row>
    <row r="117" spans="1:6" ht="12.75">
      <c r="A117" s="228" t="s">
        <v>48</v>
      </c>
      <c r="B117" s="68"/>
      <c r="C117" s="57"/>
      <c r="D117" s="68"/>
      <c r="E117" s="69"/>
      <c r="F117" s="57"/>
    </row>
    <row r="118" spans="1:6" ht="12.75">
      <c r="A118" s="229" t="s">
        <v>155</v>
      </c>
      <c r="B118" s="78">
        <f>B117</f>
        <v>0</v>
      </c>
      <c r="C118" s="78">
        <f>C117</f>
        <v>0</v>
      </c>
      <c r="D118" s="78">
        <f>D117</f>
        <v>0</v>
      </c>
      <c r="E118" s="78">
        <f>E117</f>
        <v>0</v>
      </c>
      <c r="F118" s="78">
        <f>F117</f>
        <v>0</v>
      </c>
    </row>
    <row r="119" spans="1:6" s="112" customFormat="1" ht="12.75">
      <c r="A119" s="111" t="s">
        <v>133</v>
      </c>
      <c r="B119" s="63">
        <f>SUM(B112:B117)</f>
        <v>3502</v>
      </c>
      <c r="C119" s="63">
        <f>SUM(C112:C117)</f>
        <v>191796</v>
      </c>
      <c r="D119" s="63">
        <f>SUM(D112:D117)</f>
        <v>33750</v>
      </c>
      <c r="E119" s="63">
        <f>SUM(E112:E117)</f>
        <v>1375</v>
      </c>
      <c r="F119" s="63">
        <f>SUM(F112:F117)</f>
        <v>41400</v>
      </c>
    </row>
    <row r="120" spans="1:6" ht="12.75">
      <c r="A120" s="114"/>
      <c r="B120" s="84"/>
      <c r="C120" s="115"/>
      <c r="D120" s="68"/>
      <c r="E120" s="69"/>
      <c r="F120" s="68"/>
    </row>
    <row r="121" spans="1:6" ht="12.75">
      <c r="A121" s="67" t="s">
        <v>51</v>
      </c>
      <c r="B121" s="57"/>
      <c r="C121" s="115"/>
      <c r="D121" s="68"/>
      <c r="E121" s="230"/>
      <c r="F121" s="57"/>
    </row>
    <row r="122" spans="1:6" ht="12.75">
      <c r="A122" s="59" t="s">
        <v>52</v>
      </c>
      <c r="B122" s="68">
        <v>0</v>
      </c>
      <c r="C122" s="76">
        <v>0</v>
      </c>
      <c r="D122" s="68">
        <v>0</v>
      </c>
      <c r="E122" s="230">
        <v>0</v>
      </c>
      <c r="F122" s="57">
        <f>'4_sz_ melléklet'!B37</f>
        <v>438</v>
      </c>
    </row>
    <row r="123" spans="1:6" ht="12.75">
      <c r="A123" s="59" t="s">
        <v>53</v>
      </c>
      <c r="B123" s="68">
        <v>0</v>
      </c>
      <c r="C123" s="76"/>
      <c r="D123" s="68">
        <v>0</v>
      </c>
      <c r="E123" s="230">
        <f>'3_sz_ melléklet'!B33</f>
        <v>15000</v>
      </c>
      <c r="F123" s="57">
        <v>0</v>
      </c>
    </row>
    <row r="124" spans="1:6" ht="12.75">
      <c r="A124" s="59" t="s">
        <v>54</v>
      </c>
      <c r="B124" s="68">
        <v>0</v>
      </c>
      <c r="C124" s="76">
        <v>0</v>
      </c>
      <c r="D124" s="68">
        <v>0</v>
      </c>
      <c r="E124" s="230">
        <v>0</v>
      </c>
      <c r="F124" s="57">
        <v>0</v>
      </c>
    </row>
    <row r="125" spans="1:6" ht="12.75">
      <c r="A125" s="231" t="s">
        <v>112</v>
      </c>
      <c r="B125" s="68">
        <f>-B115</f>
        <v>0</v>
      </c>
      <c r="C125" s="68">
        <f>-C115</f>
        <v>0</v>
      </c>
      <c r="D125" s="68">
        <f>-D115</f>
        <v>0</v>
      </c>
      <c r="E125" s="68">
        <f>-E115</f>
        <v>0</v>
      </c>
      <c r="F125" s="68">
        <f>-F115</f>
        <v>0</v>
      </c>
    </row>
    <row r="126" spans="1:6" ht="12.75">
      <c r="A126" s="252"/>
      <c r="B126" s="84"/>
      <c r="C126" s="73"/>
      <c r="D126" s="84"/>
      <c r="E126" s="71"/>
      <c r="F126" s="78"/>
    </row>
    <row r="127" spans="1:6" s="112" customFormat="1" ht="12.75">
      <c r="A127" s="62" t="s">
        <v>91</v>
      </c>
      <c r="B127" s="63">
        <f>B122+B123+B124+B125+B126</f>
        <v>0</v>
      </c>
      <c r="C127" s="260">
        <f>C122+C123+C124+C125+C126</f>
        <v>0</v>
      </c>
      <c r="D127" s="260">
        <f>D122+D123+D124+D125+D126</f>
        <v>0</v>
      </c>
      <c r="E127" s="260">
        <f>E122+E123+E124+E125+E126</f>
        <v>15000</v>
      </c>
      <c r="F127" s="260">
        <f>F122+F123+F124+F125+F126</f>
        <v>438</v>
      </c>
    </row>
    <row r="128" spans="1:6" ht="12.75">
      <c r="A128" s="117"/>
      <c r="B128" s="71"/>
      <c r="C128" s="72"/>
      <c r="D128" s="236"/>
      <c r="E128" s="72"/>
      <c r="F128" s="113"/>
    </row>
    <row r="129" spans="1:6" ht="12.75">
      <c r="A129" s="117" t="s">
        <v>57</v>
      </c>
      <c r="B129" s="71"/>
      <c r="C129" s="84"/>
      <c r="D129" s="71"/>
      <c r="E129" s="84"/>
      <c r="F129" s="73"/>
    </row>
    <row r="130" spans="1:6" ht="12.75">
      <c r="A130" s="232" t="s">
        <v>58</v>
      </c>
      <c r="B130" s="75">
        <v>0</v>
      </c>
      <c r="C130" s="57">
        <v>0</v>
      </c>
      <c r="D130" s="75">
        <v>0</v>
      </c>
      <c r="E130" s="57">
        <v>0</v>
      </c>
      <c r="F130" s="76">
        <v>0</v>
      </c>
    </row>
    <row r="131" spans="1:6" ht="12.75">
      <c r="A131" s="233" t="s">
        <v>59</v>
      </c>
      <c r="B131" s="71">
        <v>0</v>
      </c>
      <c r="C131" s="98">
        <v>0</v>
      </c>
      <c r="D131" s="247">
        <v>0</v>
      </c>
      <c r="E131" s="98">
        <v>0</v>
      </c>
      <c r="F131" s="261">
        <v>0</v>
      </c>
    </row>
    <row r="132" spans="1:6" ht="12.75">
      <c r="A132" s="62" t="s">
        <v>134</v>
      </c>
      <c r="B132" s="63">
        <f>B130+B131</f>
        <v>0</v>
      </c>
      <c r="C132" s="63">
        <f>C130+C131</f>
        <v>0</v>
      </c>
      <c r="D132" s="63">
        <f>D130+D131</f>
        <v>0</v>
      </c>
      <c r="E132" s="63">
        <f>E130+E131</f>
        <v>0</v>
      </c>
      <c r="F132" s="63">
        <f>F130+F131</f>
        <v>0</v>
      </c>
    </row>
    <row r="133" spans="1:6" ht="9" customHeight="1">
      <c r="A133" s="117"/>
      <c r="B133" s="84"/>
      <c r="C133" s="71"/>
      <c r="D133" s="84"/>
      <c r="E133" s="84"/>
      <c r="F133" s="73"/>
    </row>
    <row r="134" spans="1:6" ht="12.75">
      <c r="A134" s="82" t="s">
        <v>94</v>
      </c>
      <c r="B134" s="68"/>
      <c r="C134" s="230"/>
      <c r="D134" s="68"/>
      <c r="E134" s="68"/>
      <c r="F134" s="115"/>
    </row>
    <row r="135" spans="1:6" ht="12.75">
      <c r="A135" s="74" t="s">
        <v>58</v>
      </c>
      <c r="B135" s="68">
        <v>0</v>
      </c>
      <c r="C135" s="230">
        <v>0</v>
      </c>
      <c r="D135" s="68">
        <v>0</v>
      </c>
      <c r="E135" s="68">
        <v>0</v>
      </c>
      <c r="F135" s="76">
        <v>0</v>
      </c>
    </row>
    <row r="136" spans="1:6" ht="12.75">
      <c r="A136" s="234" t="s">
        <v>59</v>
      </c>
      <c r="B136" s="84">
        <v>0</v>
      </c>
      <c r="C136" s="71">
        <v>0</v>
      </c>
      <c r="D136" s="84">
        <v>0</v>
      </c>
      <c r="E136" s="84">
        <v>0</v>
      </c>
      <c r="F136" s="79">
        <v>0</v>
      </c>
    </row>
    <row r="137" spans="1:6" s="112" customFormat="1" ht="12.75">
      <c r="A137" s="62" t="s">
        <v>95</v>
      </c>
      <c r="B137" s="63">
        <f>B135+B136</f>
        <v>0</v>
      </c>
      <c r="C137" s="63">
        <f>C135+C136</f>
        <v>0</v>
      </c>
      <c r="D137" s="63">
        <f>D135+D136</f>
        <v>0</v>
      </c>
      <c r="E137" s="63">
        <f>E135+E136</f>
        <v>0</v>
      </c>
      <c r="F137" s="63">
        <f>F135+F136</f>
        <v>0</v>
      </c>
    </row>
    <row r="138" spans="1:6" ht="18.75" customHeight="1">
      <c r="A138" s="64" t="s">
        <v>63</v>
      </c>
      <c r="B138" s="68"/>
      <c r="C138" s="68"/>
      <c r="D138" s="68"/>
      <c r="E138" s="230"/>
      <c r="F138" s="68"/>
    </row>
    <row r="139" spans="1:6" ht="12.75">
      <c r="A139" s="77" t="s">
        <v>96</v>
      </c>
      <c r="B139" s="84">
        <v>0</v>
      </c>
      <c r="C139" s="84">
        <v>0</v>
      </c>
      <c r="D139" s="84">
        <v>0</v>
      </c>
      <c r="E139" s="71">
        <v>0</v>
      </c>
      <c r="F139" s="57">
        <v>0</v>
      </c>
    </row>
    <row r="140" spans="1:6" ht="12.75">
      <c r="A140" s="228" t="s">
        <v>135</v>
      </c>
      <c r="B140" s="57">
        <v>0</v>
      </c>
      <c r="C140" s="57">
        <v>0</v>
      </c>
      <c r="D140" s="57">
        <v>0</v>
      </c>
      <c r="E140" s="75">
        <v>0</v>
      </c>
      <c r="F140" s="78">
        <v>0</v>
      </c>
    </row>
    <row r="141" spans="1:6" s="112" customFormat="1" ht="12.75">
      <c r="A141" s="62" t="s">
        <v>98</v>
      </c>
      <c r="B141" s="63">
        <f>B139+B140</f>
        <v>0</v>
      </c>
      <c r="C141" s="63">
        <f>C139+C140</f>
        <v>0</v>
      </c>
      <c r="D141" s="63">
        <f>D139+D140</f>
        <v>0</v>
      </c>
      <c r="E141" s="63">
        <f>E139+E140</f>
        <v>0</v>
      </c>
      <c r="F141" s="63">
        <f>F139+F140</f>
        <v>0</v>
      </c>
    </row>
    <row r="142" spans="1:6" ht="19.5" customHeight="1">
      <c r="A142" s="67" t="s">
        <v>67</v>
      </c>
      <c r="B142" s="130"/>
      <c r="C142" s="89"/>
      <c r="D142" s="235"/>
      <c r="E142" s="130"/>
      <c r="F142" s="68"/>
    </row>
    <row r="143" spans="1:6" ht="12.75">
      <c r="A143" s="56" t="s">
        <v>136</v>
      </c>
      <c r="B143" s="230">
        <v>0</v>
      </c>
      <c r="C143" s="68">
        <v>0</v>
      </c>
      <c r="D143" s="69">
        <v>0</v>
      </c>
      <c r="E143" s="230">
        <v>0</v>
      </c>
      <c r="F143" s="57">
        <v>0</v>
      </c>
    </row>
    <row r="144" spans="1:6" ht="12.75">
      <c r="A144" s="56" t="s">
        <v>137</v>
      </c>
      <c r="B144" s="75">
        <v>0</v>
      </c>
      <c r="C144" s="57">
        <v>0</v>
      </c>
      <c r="D144" s="58">
        <v>0</v>
      </c>
      <c r="E144" s="75">
        <v>0</v>
      </c>
      <c r="F144" s="57">
        <v>0</v>
      </c>
    </row>
    <row r="145" spans="1:6" ht="12.75">
      <c r="A145" s="111" t="s">
        <v>70</v>
      </c>
      <c r="B145" s="87"/>
      <c r="C145" s="87"/>
      <c r="D145" s="87"/>
      <c r="E145" s="125"/>
      <c r="F145" s="87"/>
    </row>
    <row r="146" spans="1:6" ht="12.75">
      <c r="A146" s="117"/>
      <c r="B146" s="72"/>
      <c r="C146" s="72"/>
      <c r="D146" s="72"/>
      <c r="E146" s="236"/>
      <c r="F146" s="84"/>
    </row>
    <row r="147" spans="1:6" ht="12.75">
      <c r="A147" s="237" t="s">
        <v>147</v>
      </c>
      <c r="B147" s="238"/>
      <c r="C147" s="238"/>
      <c r="D147" s="72"/>
      <c r="E147" s="236"/>
      <c r="F147" s="72"/>
    </row>
    <row r="148" spans="1:6" s="112" customFormat="1" ht="12.75">
      <c r="A148" s="240" t="s">
        <v>99</v>
      </c>
      <c r="B148" s="262">
        <f>B141+B137+B132+B127+B119</f>
        <v>3502</v>
      </c>
      <c r="C148" s="262">
        <f>C141+C137+C132+C127+C119</f>
        <v>191796</v>
      </c>
      <c r="D148" s="262">
        <f>D141+D137+D132+D127+D119</f>
        <v>33750</v>
      </c>
      <c r="E148" s="262">
        <f>E141+E137+E132+E127+E119</f>
        <v>16375</v>
      </c>
      <c r="F148" s="262">
        <f>F141+F137+F132+F127+F119</f>
        <v>41838</v>
      </c>
    </row>
    <row r="149" spans="1:6" ht="12.75">
      <c r="A149" s="263" t="s">
        <v>100</v>
      </c>
      <c r="B149" s="254"/>
      <c r="C149" s="264"/>
      <c r="D149" s="265"/>
      <c r="E149" s="264"/>
      <c r="F149" s="265"/>
    </row>
    <row r="150" spans="1:6" ht="12.75">
      <c r="A150" s="90" t="s">
        <v>73</v>
      </c>
      <c r="B150" s="255"/>
      <c r="C150" s="266">
        <f>C144+C140+C135+C130+C122</f>
        <v>0</v>
      </c>
      <c r="D150" s="267">
        <v>0</v>
      </c>
      <c r="E150" s="266">
        <f>E144+E140+E135+E130+E122</f>
        <v>0</v>
      </c>
      <c r="F150" s="267">
        <v>0</v>
      </c>
    </row>
    <row r="151" spans="1:6" ht="12.75">
      <c r="A151" s="135" t="s">
        <v>101</v>
      </c>
      <c r="B151" s="268">
        <v>0</v>
      </c>
      <c r="C151" s="269">
        <v>0</v>
      </c>
      <c r="D151" s="270">
        <v>0</v>
      </c>
      <c r="E151" s="269">
        <v>0</v>
      </c>
      <c r="F151" s="270">
        <f>F145+F141+F136+F131+F123</f>
        <v>0</v>
      </c>
    </row>
    <row r="152" spans="1:6" s="112" customFormat="1" ht="12.75">
      <c r="A152" s="111" t="s">
        <v>114</v>
      </c>
      <c r="B152" s="63">
        <f>B150+B151</f>
        <v>0</v>
      </c>
      <c r="C152" s="63">
        <f>C150+C151</f>
        <v>0</v>
      </c>
      <c r="D152" s="63">
        <f>D150+D151</f>
        <v>0</v>
      </c>
      <c r="E152" s="63">
        <f>E150+E151</f>
        <v>0</v>
      </c>
      <c r="F152" s="63">
        <f>F150+F151</f>
        <v>0</v>
      </c>
    </row>
    <row r="153" spans="1:6" ht="12.75">
      <c r="A153" s="252"/>
      <c r="B153" s="84"/>
      <c r="C153" s="271"/>
      <c r="D153" s="271"/>
      <c r="E153" s="271"/>
      <c r="F153" s="271"/>
    </row>
    <row r="154" spans="1:6" s="112" customFormat="1" ht="12.75">
      <c r="A154" s="249" t="s">
        <v>139</v>
      </c>
      <c r="B154" s="94">
        <f>B148+B152</f>
        <v>3502</v>
      </c>
      <c r="C154" s="262">
        <f>C148+C144+C139+C134+C126</f>
        <v>191796</v>
      </c>
      <c r="D154" s="262">
        <f>D148+D144+D139+D134+D126</f>
        <v>33750</v>
      </c>
      <c r="E154" s="262">
        <f>E148+E144+E139+E134+E126</f>
        <v>16375</v>
      </c>
      <c r="F154" s="262">
        <f>F148+F144+F139+F134+F126</f>
        <v>41838</v>
      </c>
    </row>
    <row r="155" spans="1:6" s="112" customFormat="1" ht="12.75">
      <c r="A155" s="257"/>
      <c r="B155" s="258"/>
      <c r="C155" s="272"/>
      <c r="D155" s="272"/>
      <c r="E155" s="272"/>
      <c r="F155" s="272"/>
    </row>
    <row r="156" spans="1:6" ht="12.75">
      <c r="A156" s="1051">
        <v>4</v>
      </c>
      <c r="B156" s="1051"/>
      <c r="C156" s="1051"/>
      <c r="D156" s="1051"/>
      <c r="E156" s="1051"/>
      <c r="F156" s="1051"/>
    </row>
    <row r="157" spans="1:5" ht="14.25">
      <c r="A157" s="1043" t="s">
        <v>122</v>
      </c>
      <c r="B157" s="1043"/>
      <c r="C157" s="1043"/>
      <c r="D157" s="1043"/>
      <c r="E157" s="1043"/>
    </row>
    <row r="158" spans="1:6" ht="15.75">
      <c r="A158" s="1042" t="s">
        <v>123</v>
      </c>
      <c r="B158" s="1042"/>
      <c r="C158" s="1042"/>
      <c r="D158" s="1042"/>
      <c r="E158" s="1042"/>
      <c r="F158" s="1042"/>
    </row>
    <row r="159" spans="1:6" ht="15.75">
      <c r="A159" s="1042" t="s">
        <v>124</v>
      </c>
      <c r="B159" s="1042"/>
      <c r="C159" s="1042"/>
      <c r="D159" s="1042"/>
      <c r="E159" s="1042"/>
      <c r="F159" s="1042"/>
    </row>
    <row r="160" ht="12.75">
      <c r="E160" s="49" t="s">
        <v>80</v>
      </c>
    </row>
    <row r="161" spans="1:6" ht="52.5" customHeight="1">
      <c r="A161" s="50" t="s">
        <v>125</v>
      </c>
      <c r="B161" s="224" t="s">
        <v>156</v>
      </c>
      <c r="C161" s="273" t="s">
        <v>157</v>
      </c>
      <c r="D161" s="223" t="s">
        <v>158</v>
      </c>
      <c r="E161" s="274" t="s">
        <v>159</v>
      </c>
      <c r="F161" s="273" t="s">
        <v>160</v>
      </c>
    </row>
    <row r="162" spans="1:6" ht="15.75" customHeight="1">
      <c r="A162" s="64" t="s">
        <v>42</v>
      </c>
      <c r="B162" s="89"/>
      <c r="C162" s="89"/>
      <c r="D162" s="89"/>
      <c r="E162" s="235"/>
      <c r="F162" s="89"/>
    </row>
    <row r="163" spans="1:6" ht="12.75">
      <c r="A163" s="227" t="s">
        <v>43</v>
      </c>
      <c r="B163" s="68">
        <v>6534</v>
      </c>
      <c r="C163" s="57"/>
      <c r="D163" s="68"/>
      <c r="E163" s="69"/>
      <c r="F163" s="57"/>
    </row>
    <row r="164" spans="1:6" ht="12.75">
      <c r="A164" s="59" t="s">
        <v>44</v>
      </c>
      <c r="B164" s="68">
        <v>1281</v>
      </c>
      <c r="C164" s="57"/>
      <c r="D164" s="68"/>
      <c r="E164" s="69">
        <v>10512</v>
      </c>
      <c r="F164" s="57"/>
    </row>
    <row r="165" spans="1:6" ht="12.75">
      <c r="A165" s="59" t="s">
        <v>45</v>
      </c>
      <c r="B165" s="68">
        <v>16977</v>
      </c>
      <c r="C165" s="57">
        <v>2643</v>
      </c>
      <c r="D165" s="68">
        <v>37736</v>
      </c>
      <c r="E165" s="69">
        <v>7900</v>
      </c>
      <c r="F165" s="57"/>
    </row>
    <row r="166" spans="1:6" ht="12.75">
      <c r="A166" s="59" t="s">
        <v>161</v>
      </c>
      <c r="B166" s="68"/>
      <c r="C166" s="57"/>
      <c r="D166" s="68"/>
      <c r="E166" s="69"/>
      <c r="F166" s="57"/>
    </row>
    <row r="167" spans="1:6" ht="12.75">
      <c r="A167" s="59" t="s">
        <v>47</v>
      </c>
      <c r="B167" s="68"/>
      <c r="C167" s="57"/>
      <c r="D167" s="68"/>
      <c r="E167" s="69"/>
      <c r="F167" s="57"/>
    </row>
    <row r="168" spans="1:6" ht="12.75">
      <c r="A168" s="228" t="s">
        <v>48</v>
      </c>
      <c r="B168" s="68"/>
      <c r="C168" s="57"/>
      <c r="D168" s="68"/>
      <c r="E168" s="69">
        <v>244481</v>
      </c>
      <c r="F168" s="57"/>
    </row>
    <row r="169" spans="1:6" ht="12.75">
      <c r="A169" s="229" t="s">
        <v>155</v>
      </c>
      <c r="B169" s="57"/>
      <c r="C169" s="57"/>
      <c r="D169" s="57"/>
      <c r="E169" s="57">
        <v>244481</v>
      </c>
      <c r="F169" s="57"/>
    </row>
    <row r="170" spans="1:6" s="112" customFormat="1" ht="12.75">
      <c r="A170" s="62" t="s">
        <v>133</v>
      </c>
      <c r="B170" s="63">
        <f>SUM(B163:B168)</f>
        <v>24792</v>
      </c>
      <c r="C170" s="63">
        <f>SUM(C163:C168)</f>
        <v>2643</v>
      </c>
      <c r="D170" s="63">
        <f>SUM(D163:D168)</f>
        <v>37736</v>
      </c>
      <c r="E170" s="63">
        <f>SUM(E163:E168)</f>
        <v>262893</v>
      </c>
      <c r="F170" s="63">
        <f>SUM(F163:F168)</f>
        <v>0</v>
      </c>
    </row>
    <row r="171" spans="1:6" ht="8.25" customHeight="1">
      <c r="A171" s="114"/>
      <c r="B171" s="89"/>
      <c r="C171" s="131"/>
      <c r="D171" s="89"/>
      <c r="E171" s="235"/>
      <c r="F171" s="68"/>
    </row>
    <row r="172" spans="1:6" ht="12.75">
      <c r="A172" s="67" t="s">
        <v>51</v>
      </c>
      <c r="B172" s="68"/>
      <c r="C172" s="115"/>
      <c r="D172" s="68"/>
      <c r="E172" s="230"/>
      <c r="F172" s="57"/>
    </row>
    <row r="173" spans="1:6" ht="12.75">
      <c r="A173" s="59" t="s">
        <v>52</v>
      </c>
      <c r="B173" s="68">
        <v>0</v>
      </c>
      <c r="C173" s="76">
        <v>0</v>
      </c>
      <c r="D173" s="68">
        <f>'4_sz_ melléklet'!B50</f>
        <v>55206</v>
      </c>
      <c r="E173" s="230">
        <v>0</v>
      </c>
      <c r="F173" s="57">
        <f>'4_sz_ melléklet'!B47</f>
        <v>97430</v>
      </c>
    </row>
    <row r="174" spans="1:6" ht="12.75">
      <c r="A174" s="59" t="s">
        <v>53</v>
      </c>
      <c r="B174" s="68">
        <v>0</v>
      </c>
      <c r="C174" s="76">
        <v>0</v>
      </c>
      <c r="D174" s="68">
        <f>'3_sz_ melléklet'!B26</f>
        <v>44865</v>
      </c>
      <c r="E174" s="230">
        <v>0</v>
      </c>
      <c r="F174" s="57">
        <v>0</v>
      </c>
    </row>
    <row r="175" spans="1:6" ht="12.75">
      <c r="A175" s="59" t="s">
        <v>54</v>
      </c>
      <c r="B175" s="68">
        <v>0</v>
      </c>
      <c r="C175" s="76">
        <v>0</v>
      </c>
      <c r="D175" s="68">
        <v>0</v>
      </c>
      <c r="E175" s="230">
        <v>0</v>
      </c>
      <c r="F175" s="57">
        <v>0</v>
      </c>
    </row>
    <row r="176" spans="1:6" ht="12.75">
      <c r="A176" s="228" t="s">
        <v>112</v>
      </c>
      <c r="B176" s="68">
        <f>-B166</f>
        <v>0</v>
      </c>
      <c r="C176" s="68">
        <f>-C166</f>
        <v>0</v>
      </c>
      <c r="D176" s="68">
        <f>-D166</f>
        <v>0</v>
      </c>
      <c r="E176" s="68">
        <f>-E166</f>
        <v>0</v>
      </c>
      <c r="F176" s="68">
        <f>-F166</f>
        <v>0</v>
      </c>
    </row>
    <row r="177" spans="1:6" ht="7.5" customHeight="1">
      <c r="A177" s="252"/>
      <c r="B177" s="84"/>
      <c r="C177" s="73"/>
      <c r="D177" s="84"/>
      <c r="E177" s="71"/>
      <c r="F177" s="78"/>
    </row>
    <row r="178" spans="1:6" ht="12.75">
      <c r="A178" s="62" t="s">
        <v>91</v>
      </c>
      <c r="B178" s="63">
        <f>B173+B174+B175+B176</f>
        <v>0</v>
      </c>
      <c r="C178" s="63">
        <f>C173+C174+C175+C176</f>
        <v>0</v>
      </c>
      <c r="D178" s="63">
        <f>D173+D174+D175+D176</f>
        <v>100071</v>
      </c>
      <c r="E178" s="63">
        <f>E173+E174+E175+E176</f>
        <v>0</v>
      </c>
      <c r="F178" s="63">
        <f>F173+F174+F175+F176</f>
        <v>97430</v>
      </c>
    </row>
    <row r="179" spans="1:6" ht="6" customHeight="1">
      <c r="A179" s="117"/>
      <c r="B179" s="84"/>
      <c r="C179" s="71"/>
      <c r="D179" s="84"/>
      <c r="E179" s="73"/>
      <c r="F179" s="84"/>
    </row>
    <row r="180" spans="1:6" ht="12.75">
      <c r="A180" s="117" t="s">
        <v>57</v>
      </c>
      <c r="B180" s="84"/>
      <c r="C180" s="71"/>
      <c r="D180" s="84"/>
      <c r="E180" s="73"/>
      <c r="F180" s="84"/>
    </row>
    <row r="181" spans="1:6" ht="12.75">
      <c r="A181" s="232" t="s">
        <v>58</v>
      </c>
      <c r="B181" s="57">
        <v>0</v>
      </c>
      <c r="C181" s="75">
        <v>0</v>
      </c>
      <c r="D181" s="57">
        <v>0</v>
      </c>
      <c r="E181" s="76">
        <v>0</v>
      </c>
      <c r="F181" s="57">
        <v>0</v>
      </c>
    </row>
    <row r="182" spans="1:6" ht="12.75">
      <c r="A182" s="233" t="s">
        <v>59</v>
      </c>
      <c r="B182" s="84">
        <v>0</v>
      </c>
      <c r="C182" s="71">
        <v>0</v>
      </c>
      <c r="D182" s="84">
        <v>0</v>
      </c>
      <c r="E182" s="73">
        <v>0</v>
      </c>
      <c r="F182" s="78">
        <v>0</v>
      </c>
    </row>
    <row r="183" spans="1:6" ht="12.75">
      <c r="A183" s="62" t="s">
        <v>134</v>
      </c>
      <c r="B183" s="63">
        <f>B181+B182</f>
        <v>0</v>
      </c>
      <c r="C183" s="63">
        <f>C181+C182</f>
        <v>0</v>
      </c>
      <c r="D183" s="63">
        <f>D181+D182</f>
        <v>0</v>
      </c>
      <c r="E183" s="63">
        <f>E181+E182</f>
        <v>0</v>
      </c>
      <c r="F183" s="63">
        <f>F181+F182</f>
        <v>0</v>
      </c>
    </row>
    <row r="184" spans="1:6" ht="12.75">
      <c r="A184" s="117"/>
      <c r="B184" s="84"/>
      <c r="C184" s="71"/>
      <c r="D184" s="84"/>
      <c r="E184" s="84"/>
      <c r="F184" s="73"/>
    </row>
    <row r="185" spans="1:6" ht="12.75">
      <c r="A185" s="82" t="s">
        <v>94</v>
      </c>
      <c r="B185" s="68"/>
      <c r="C185" s="230"/>
      <c r="D185" s="68"/>
      <c r="E185" s="68"/>
      <c r="F185" s="115"/>
    </row>
    <row r="186" spans="1:6" ht="12.75">
      <c r="A186" s="74" t="s">
        <v>58</v>
      </c>
      <c r="B186" s="68">
        <v>0</v>
      </c>
      <c r="C186" s="230">
        <v>0</v>
      </c>
      <c r="D186" s="68">
        <v>0</v>
      </c>
      <c r="E186" s="68">
        <v>0</v>
      </c>
      <c r="F186" s="76">
        <f>1_e_f_sz_melléklet!C37+1_e_f_sz_melléklet!C38+1_e_f_sz_melléklet!C39</f>
        <v>11220</v>
      </c>
    </row>
    <row r="187" spans="1:6" ht="12.75">
      <c r="A187" s="234" t="s">
        <v>59</v>
      </c>
      <c r="B187" s="84">
        <v>0</v>
      </c>
      <c r="C187" s="71">
        <v>0</v>
      </c>
      <c r="D187" s="84">
        <v>0</v>
      </c>
      <c r="E187" s="84">
        <v>0</v>
      </c>
      <c r="F187" s="79">
        <f>1_e_f_sz_melléklet!C43+1_e_f_sz_melléklet!C44+1_e_f_sz_melléklet!C45+1_e_f_sz_melléklet!C46</f>
        <v>65051</v>
      </c>
    </row>
    <row r="188" spans="1:6" ht="12.75">
      <c r="A188" s="62" t="s">
        <v>95</v>
      </c>
      <c r="B188" s="63">
        <f>B186+B187</f>
        <v>0</v>
      </c>
      <c r="C188" s="63">
        <f>C186+C187</f>
        <v>0</v>
      </c>
      <c r="D188" s="63">
        <f>D186+D187</f>
        <v>0</v>
      </c>
      <c r="E188" s="63">
        <f>E186+E187</f>
        <v>0</v>
      </c>
      <c r="F188" s="63">
        <f>F186+F187</f>
        <v>76271</v>
      </c>
    </row>
    <row r="189" spans="1:6" ht="18" customHeight="1">
      <c r="A189" s="64" t="s">
        <v>63</v>
      </c>
      <c r="B189" s="68"/>
      <c r="C189" s="68"/>
      <c r="D189" s="68"/>
      <c r="E189" s="230"/>
      <c r="F189" s="68"/>
    </row>
    <row r="190" spans="1:6" ht="12.75">
      <c r="A190" s="77" t="s">
        <v>96</v>
      </c>
      <c r="B190" s="84">
        <v>0</v>
      </c>
      <c r="C190" s="84">
        <v>0</v>
      </c>
      <c r="D190" s="84">
        <v>0</v>
      </c>
      <c r="E190" s="71">
        <v>0</v>
      </c>
      <c r="F190" s="57">
        <v>0</v>
      </c>
    </row>
    <row r="191" spans="1:6" ht="12.75">
      <c r="A191" s="228" t="s">
        <v>135</v>
      </c>
      <c r="B191" s="57">
        <v>0</v>
      </c>
      <c r="C191" s="57">
        <v>0</v>
      </c>
      <c r="D191" s="57">
        <v>0</v>
      </c>
      <c r="E191" s="75">
        <v>0</v>
      </c>
      <c r="F191" s="78">
        <v>0</v>
      </c>
    </row>
    <row r="192" spans="1:6" ht="15" customHeight="1">
      <c r="A192" s="62" t="s">
        <v>98</v>
      </c>
      <c r="B192" s="63">
        <f>B190+B191</f>
        <v>0</v>
      </c>
      <c r="C192" s="63">
        <f>C190+C191</f>
        <v>0</v>
      </c>
      <c r="D192" s="63">
        <f>D190+D191</f>
        <v>0</v>
      </c>
      <c r="E192" s="63">
        <f>E190+E191</f>
        <v>0</v>
      </c>
      <c r="F192" s="63">
        <f>F190+F191</f>
        <v>0</v>
      </c>
    </row>
    <row r="193" spans="1:6" ht="17.25" customHeight="1">
      <c r="A193" s="67" t="s">
        <v>67</v>
      </c>
      <c r="B193" s="130"/>
      <c r="C193" s="89"/>
      <c r="D193" s="235"/>
      <c r="E193" s="130"/>
      <c r="F193" s="68"/>
    </row>
    <row r="194" spans="1:6" ht="12.75">
      <c r="A194" s="56" t="s">
        <v>136</v>
      </c>
      <c r="B194" s="230">
        <v>0</v>
      </c>
      <c r="C194" s="68">
        <v>0</v>
      </c>
      <c r="D194" s="69">
        <v>0</v>
      </c>
      <c r="E194" s="230">
        <v>0</v>
      </c>
      <c r="F194" s="57">
        <v>0</v>
      </c>
    </row>
    <row r="195" spans="1:6" ht="12.75">
      <c r="A195" s="56" t="s">
        <v>137</v>
      </c>
      <c r="B195" s="75">
        <v>0</v>
      </c>
      <c r="C195" s="57">
        <v>0</v>
      </c>
      <c r="D195" s="58">
        <v>0</v>
      </c>
      <c r="E195" s="75">
        <v>0</v>
      </c>
      <c r="F195" s="57">
        <v>0</v>
      </c>
    </row>
    <row r="196" spans="1:6" ht="12.75">
      <c r="A196" s="111" t="s">
        <v>70</v>
      </c>
      <c r="B196" s="63">
        <f>B194+B195</f>
        <v>0</v>
      </c>
      <c r="C196" s="63">
        <f>C194+C195</f>
        <v>0</v>
      </c>
      <c r="D196" s="63">
        <f>D194+D195</f>
        <v>0</v>
      </c>
      <c r="E196" s="63">
        <f>E194+E195</f>
        <v>0</v>
      </c>
      <c r="F196" s="63">
        <f>F194+F195</f>
        <v>0</v>
      </c>
    </row>
    <row r="197" spans="1:6" ht="12.75">
      <c r="A197" s="117"/>
      <c r="B197" s="72"/>
      <c r="C197" s="72"/>
      <c r="D197" s="72"/>
      <c r="E197" s="236"/>
      <c r="F197" s="84"/>
    </row>
    <row r="198" spans="1:6" ht="12.75">
      <c r="A198" s="237" t="s">
        <v>147</v>
      </c>
      <c r="B198" s="238"/>
      <c r="C198" s="238"/>
      <c r="D198" s="72"/>
      <c r="E198" s="236"/>
      <c r="F198" s="72"/>
    </row>
    <row r="199" spans="1:6" s="112" customFormat="1" ht="12.75">
      <c r="A199" s="240" t="s">
        <v>99</v>
      </c>
      <c r="B199" s="241">
        <f>B196+B192+B188+B183+B178+B170</f>
        <v>24792</v>
      </c>
      <c r="C199" s="241">
        <f>C196+C192+C188+C183+C178+C170</f>
        <v>2643</v>
      </c>
      <c r="D199" s="241">
        <f>D196+D192+D188+D183+D178+D170</f>
        <v>137807</v>
      </c>
      <c r="E199" s="241">
        <f>E196+E192+E188+E183+E178+E170</f>
        <v>262893</v>
      </c>
      <c r="F199" s="241">
        <f>F196+F192+F188+F183+F178+F170</f>
        <v>173701</v>
      </c>
    </row>
    <row r="200" spans="1:6" ht="12.75">
      <c r="A200" s="275"/>
      <c r="B200" s="276"/>
      <c r="C200" s="277"/>
      <c r="D200" s="84"/>
      <c r="E200" s="72"/>
      <c r="F200" s="73"/>
    </row>
    <row r="201" spans="1:6" ht="12.75">
      <c r="A201" s="278" t="s">
        <v>100</v>
      </c>
      <c r="B201" s="255"/>
      <c r="C201" s="245"/>
      <c r="D201" s="57"/>
      <c r="E201" s="57"/>
      <c r="F201" s="76"/>
    </row>
    <row r="202" spans="1:6" ht="12.75">
      <c r="A202" s="90" t="s">
        <v>73</v>
      </c>
      <c r="B202" s="255">
        <v>0</v>
      </c>
      <c r="C202" s="245">
        <v>0</v>
      </c>
      <c r="D202" s="57">
        <v>0</v>
      </c>
      <c r="E202" s="57">
        <v>0</v>
      </c>
      <c r="F202" s="76">
        <v>0</v>
      </c>
    </row>
    <row r="203" spans="1:6" ht="12.75">
      <c r="A203" s="135" t="s">
        <v>101</v>
      </c>
      <c r="B203" s="256">
        <v>0</v>
      </c>
      <c r="C203" s="246">
        <v>0</v>
      </c>
      <c r="D203" s="78">
        <v>0</v>
      </c>
      <c r="E203" s="78">
        <v>0</v>
      </c>
      <c r="F203" s="79">
        <v>0</v>
      </c>
    </row>
    <row r="204" spans="1:6" ht="12.75">
      <c r="A204" s="111" t="s">
        <v>114</v>
      </c>
      <c r="B204" s="63">
        <f>B202+B203</f>
        <v>0</v>
      </c>
      <c r="C204" s="63">
        <f>C202+C203</f>
        <v>0</v>
      </c>
      <c r="D204" s="63">
        <f>D202+D203</f>
        <v>0</v>
      </c>
      <c r="E204" s="63">
        <f>E202+E203</f>
        <v>0</v>
      </c>
      <c r="F204" s="63">
        <f>F202+F203</f>
        <v>0</v>
      </c>
    </row>
    <row r="205" spans="1:6" ht="12.75">
      <c r="A205" s="252"/>
      <c r="B205" s="84"/>
      <c r="C205" s="57"/>
      <c r="D205" s="87"/>
      <c r="E205" s="125"/>
      <c r="F205" s="84"/>
    </row>
    <row r="206" spans="1:6" s="112" customFormat="1" ht="12.75">
      <c r="A206" s="249" t="s">
        <v>139</v>
      </c>
      <c r="B206" s="94">
        <f>B199+B204</f>
        <v>24792</v>
      </c>
      <c r="C206" s="94">
        <f>C199+C204</f>
        <v>2643</v>
      </c>
      <c r="D206" s="94">
        <f>D199+D204</f>
        <v>137807</v>
      </c>
      <c r="E206" s="94">
        <f>E199+E204</f>
        <v>262893</v>
      </c>
      <c r="F206" s="94">
        <f>F199+F204</f>
        <v>173701</v>
      </c>
    </row>
    <row r="207" spans="1:6" s="112" customFormat="1" ht="12.75">
      <c r="A207" s="279"/>
      <c r="B207" s="279"/>
      <c r="C207" s="279"/>
      <c r="D207" s="279"/>
      <c r="E207" s="279"/>
      <c r="F207" s="279"/>
    </row>
    <row r="208" spans="1:6" ht="12.75">
      <c r="A208" s="1049">
        <v>5</v>
      </c>
      <c r="B208" s="1049"/>
      <c r="C208" s="1049"/>
      <c r="D208" s="1049"/>
      <c r="E208" s="1049"/>
      <c r="F208" s="1049"/>
    </row>
    <row r="210" spans="1:5" ht="14.25">
      <c r="A210" s="1043" t="s">
        <v>148</v>
      </c>
      <c r="B210" s="1043"/>
      <c r="C210" s="1043"/>
      <c r="D210" s="1043"/>
      <c r="E210" s="1043"/>
    </row>
    <row r="211" spans="1:6" ht="15.75">
      <c r="A211" s="1050" t="s">
        <v>123</v>
      </c>
      <c r="B211" s="1050"/>
      <c r="C211" s="1050"/>
      <c r="D211" s="1050"/>
      <c r="E211" s="1050"/>
      <c r="F211" s="1050"/>
    </row>
    <row r="212" spans="1:6" ht="15.75">
      <c r="A212" s="1042" t="s">
        <v>124</v>
      </c>
      <c r="B212" s="1042"/>
      <c r="C212" s="1042"/>
      <c r="D212" s="1042"/>
      <c r="E212" s="1042"/>
      <c r="F212" s="1042"/>
    </row>
    <row r="213" ht="12.75">
      <c r="E213" s="49" t="s">
        <v>80</v>
      </c>
    </row>
    <row r="214" spans="1:6" ht="54.75" customHeight="1">
      <c r="A214" s="50" t="s">
        <v>125</v>
      </c>
      <c r="B214" s="224" t="s">
        <v>162</v>
      </c>
      <c r="C214" s="250" t="s">
        <v>163</v>
      </c>
      <c r="D214" s="223" t="s">
        <v>164</v>
      </c>
      <c r="E214" s="223" t="s">
        <v>165</v>
      </c>
      <c r="F214" s="223" t="s">
        <v>166</v>
      </c>
    </row>
    <row r="215" spans="1:6" ht="12.75">
      <c r="A215" s="64" t="s">
        <v>42</v>
      </c>
      <c r="B215" s="89"/>
      <c r="C215" s="89"/>
      <c r="D215" s="89"/>
      <c r="E215" s="235"/>
      <c r="F215" s="89"/>
    </row>
    <row r="216" spans="1:6" ht="12.75">
      <c r="A216" s="227" t="s">
        <v>43</v>
      </c>
      <c r="B216" s="68">
        <v>150</v>
      </c>
      <c r="C216" s="57"/>
      <c r="D216" s="68"/>
      <c r="E216" s="69"/>
      <c r="F216" s="57">
        <v>177</v>
      </c>
    </row>
    <row r="217" spans="1:6" ht="12.75">
      <c r="A217" s="59" t="s">
        <v>44</v>
      </c>
      <c r="B217" s="68">
        <v>36</v>
      </c>
      <c r="C217" s="57"/>
      <c r="D217" s="68"/>
      <c r="E217" s="69"/>
      <c r="F217" s="57">
        <v>18</v>
      </c>
    </row>
    <row r="218" spans="1:6" ht="12.75">
      <c r="A218" s="59" t="s">
        <v>45</v>
      </c>
      <c r="B218" s="68">
        <v>11204</v>
      </c>
      <c r="C218" s="57">
        <v>4897</v>
      </c>
      <c r="D218" s="68">
        <v>17219</v>
      </c>
      <c r="E218" s="69">
        <v>1041</v>
      </c>
      <c r="F218" s="57">
        <v>1436</v>
      </c>
    </row>
    <row r="219" spans="1:6" ht="12.75">
      <c r="A219" s="59" t="s">
        <v>167</v>
      </c>
      <c r="B219" s="68"/>
      <c r="C219" s="57">
        <v>-4897</v>
      </c>
      <c r="D219" s="68">
        <v>-3268</v>
      </c>
      <c r="E219" s="69"/>
      <c r="F219" s="57"/>
    </row>
    <row r="220" spans="1:6" ht="12.75">
      <c r="A220" s="59" t="s">
        <v>47</v>
      </c>
      <c r="B220" s="68"/>
      <c r="C220" s="57"/>
      <c r="D220" s="68"/>
      <c r="E220" s="69"/>
      <c r="F220" s="57"/>
    </row>
    <row r="221" spans="1:6" ht="12.75">
      <c r="A221" s="228" t="s">
        <v>48</v>
      </c>
      <c r="B221" s="68"/>
      <c r="C221" s="57"/>
      <c r="D221" s="68"/>
      <c r="E221" s="69"/>
      <c r="F221" s="57"/>
    </row>
    <row r="222" spans="1:6" ht="12.75">
      <c r="A222" s="229" t="s">
        <v>155</v>
      </c>
      <c r="B222" s="68"/>
      <c r="C222" s="57"/>
      <c r="D222" s="57"/>
      <c r="E222" s="57"/>
      <c r="F222" s="57"/>
    </row>
    <row r="223" spans="1:6" s="112" customFormat="1" ht="12.75">
      <c r="A223" s="62" t="s">
        <v>133</v>
      </c>
      <c r="B223" s="63">
        <f>SUM(B216:B221)</f>
        <v>11390</v>
      </c>
      <c r="C223" s="63">
        <f>SUM(C216:C221)</f>
        <v>0</v>
      </c>
      <c r="D223" s="63">
        <f>SUM(D216:D221)</f>
        <v>13951</v>
      </c>
      <c r="E223" s="63">
        <f>SUM(E216:E221)</f>
        <v>1041</v>
      </c>
      <c r="F223" s="63">
        <f>SUM(F216:F221)</f>
        <v>1631</v>
      </c>
    </row>
    <row r="224" spans="1:6" ht="7.5" customHeight="1">
      <c r="A224" s="114"/>
      <c r="B224" s="89"/>
      <c r="C224" s="131"/>
      <c r="D224" s="89"/>
      <c r="E224" s="235"/>
      <c r="F224" s="68"/>
    </row>
    <row r="225" spans="1:6" ht="12.75">
      <c r="A225" s="67" t="s">
        <v>51</v>
      </c>
      <c r="B225" s="68"/>
      <c r="C225" s="115"/>
      <c r="D225" s="68"/>
      <c r="E225" s="230"/>
      <c r="F225" s="57"/>
    </row>
    <row r="226" spans="1:6" ht="12.75">
      <c r="A226" s="59" t="s">
        <v>52</v>
      </c>
      <c r="B226" s="68">
        <v>0</v>
      </c>
      <c r="C226" s="76">
        <f>'4_sz_ melléklet'!B41</f>
        <v>0</v>
      </c>
      <c r="D226" s="68">
        <v>0</v>
      </c>
      <c r="E226" s="230">
        <v>0</v>
      </c>
      <c r="F226" s="57">
        <f>'4_sz_ melléklet'!B41</f>
        <v>0</v>
      </c>
    </row>
    <row r="227" spans="1:6" ht="12.75">
      <c r="A227" s="59" t="s">
        <v>53</v>
      </c>
      <c r="B227" s="68">
        <v>0</v>
      </c>
      <c r="C227" s="76">
        <v>0</v>
      </c>
      <c r="D227" s="68">
        <f>'3_sz_ melléklet'!B30</f>
        <v>9860</v>
      </c>
      <c r="E227" s="230">
        <v>0</v>
      </c>
      <c r="F227" s="57">
        <v>0</v>
      </c>
    </row>
    <row r="228" spans="1:6" ht="12.75">
      <c r="A228" s="59" t="s">
        <v>54</v>
      </c>
      <c r="B228" s="68">
        <v>0</v>
      </c>
      <c r="C228" s="76">
        <v>0</v>
      </c>
      <c r="D228" s="68">
        <v>0</v>
      </c>
      <c r="E228" s="230">
        <v>0</v>
      </c>
      <c r="F228" s="57">
        <v>0</v>
      </c>
    </row>
    <row r="229" spans="1:6" ht="12.75">
      <c r="A229" s="231" t="s">
        <v>112</v>
      </c>
      <c r="B229" s="68">
        <f>-B219</f>
        <v>0</v>
      </c>
      <c r="C229" s="68">
        <f>-C219</f>
        <v>4897</v>
      </c>
      <c r="D229" s="68">
        <f>-D219</f>
        <v>3268</v>
      </c>
      <c r="E229" s="68">
        <f>-E219</f>
        <v>0</v>
      </c>
      <c r="F229" s="68">
        <f>-F219</f>
        <v>0</v>
      </c>
    </row>
    <row r="230" spans="1:6" ht="9" customHeight="1">
      <c r="A230" s="252"/>
      <c r="B230" s="84"/>
      <c r="C230" s="73"/>
      <c r="D230" s="84"/>
      <c r="E230" s="71"/>
      <c r="F230" s="78"/>
    </row>
    <row r="231" spans="1:6" s="112" customFormat="1" ht="12.75">
      <c r="A231" s="62" t="s">
        <v>91</v>
      </c>
      <c r="B231" s="63">
        <f>B226+B227+B228+B229</f>
        <v>0</v>
      </c>
      <c r="C231" s="63">
        <f>C226+C227+C228+C229</f>
        <v>4897</v>
      </c>
      <c r="D231" s="63">
        <f>D226+D227+D228+D229</f>
        <v>13128</v>
      </c>
      <c r="E231" s="63">
        <f>E226+E227+E228+E229</f>
        <v>0</v>
      </c>
      <c r="F231" s="63">
        <f>F226+F227+F228+F229</f>
        <v>0</v>
      </c>
    </row>
    <row r="232" spans="1:6" ht="6.75" customHeight="1">
      <c r="A232" s="117"/>
      <c r="B232" s="84"/>
      <c r="C232" s="71"/>
      <c r="D232" s="84"/>
      <c r="E232" s="73"/>
      <c r="F232" s="84"/>
    </row>
    <row r="233" spans="1:6" ht="12.75">
      <c r="A233" s="117" t="s">
        <v>57</v>
      </c>
      <c r="B233" s="84"/>
      <c r="C233" s="71"/>
      <c r="D233" s="84"/>
      <c r="E233" s="73"/>
      <c r="F233" s="84"/>
    </row>
    <row r="234" spans="1:6" ht="12.75">
      <c r="A234" s="232" t="s">
        <v>58</v>
      </c>
      <c r="B234" s="57">
        <v>0</v>
      </c>
      <c r="C234" s="75">
        <v>0</v>
      </c>
      <c r="D234" s="57"/>
      <c r="E234" s="76">
        <v>0</v>
      </c>
      <c r="F234" s="57">
        <v>0</v>
      </c>
    </row>
    <row r="235" spans="1:6" ht="12.75">
      <c r="A235" s="233" t="s">
        <v>59</v>
      </c>
      <c r="B235" s="84">
        <v>0</v>
      </c>
      <c r="C235" s="71">
        <v>0</v>
      </c>
      <c r="D235" s="84"/>
      <c r="E235" s="73">
        <v>0</v>
      </c>
      <c r="F235" s="78">
        <v>0</v>
      </c>
    </row>
    <row r="236" spans="1:6" ht="12.75">
      <c r="A236" s="62" t="s">
        <v>134</v>
      </c>
      <c r="B236" s="63">
        <f>B234+B235</f>
        <v>0</v>
      </c>
      <c r="C236" s="63">
        <f>C234+C235</f>
        <v>0</v>
      </c>
      <c r="D236" s="63">
        <f>D234+D235</f>
        <v>0</v>
      </c>
      <c r="E236" s="63">
        <f>E234+E235</f>
        <v>0</v>
      </c>
      <c r="F236" s="63">
        <f>F234+F235</f>
        <v>0</v>
      </c>
    </row>
    <row r="237" spans="1:6" ht="9" customHeight="1">
      <c r="A237" s="117"/>
      <c r="B237" s="84"/>
      <c r="C237" s="71"/>
      <c r="D237" s="84"/>
      <c r="E237" s="84"/>
      <c r="F237" s="73"/>
    </row>
    <row r="238" spans="1:6" ht="12.75">
      <c r="A238" s="82" t="s">
        <v>94</v>
      </c>
      <c r="B238" s="68"/>
      <c r="C238" s="230"/>
      <c r="D238" s="68"/>
      <c r="E238" s="68"/>
      <c r="F238" s="115"/>
    </row>
    <row r="239" spans="1:6" ht="12.75">
      <c r="A239" s="74" t="s">
        <v>58</v>
      </c>
      <c r="B239" s="68">
        <v>0</v>
      </c>
      <c r="C239" s="68"/>
      <c r="D239" s="68">
        <f>1_e_f_sz_melléklet!C41</f>
        <v>1000</v>
      </c>
      <c r="E239" s="68">
        <f>1_e_f_sz_melléklet!C33+1_e_f_sz_melléklet!C34</f>
        <v>55525</v>
      </c>
      <c r="F239" s="76">
        <f>1_e_f_sz_melléklet!C36</f>
        <v>277</v>
      </c>
    </row>
    <row r="240" spans="1:6" ht="12.75">
      <c r="A240" s="234" t="s">
        <v>59</v>
      </c>
      <c r="B240" s="84">
        <v>0</v>
      </c>
      <c r="C240" s="71"/>
      <c r="D240" s="84">
        <f>1_e_f_sz_melléklet!C49</f>
        <v>400</v>
      </c>
      <c r="E240" s="84">
        <f>1_e_f_sz_melléklet!C48</f>
        <v>16942</v>
      </c>
      <c r="F240" s="79">
        <v>0</v>
      </c>
    </row>
    <row r="241" spans="1:6" s="112" customFormat="1" ht="12" customHeight="1">
      <c r="A241" s="62" t="s">
        <v>95</v>
      </c>
      <c r="B241" s="63">
        <f>B239+B240</f>
        <v>0</v>
      </c>
      <c r="C241" s="63">
        <f>C239+C240</f>
        <v>0</v>
      </c>
      <c r="D241" s="63">
        <f>D239+D240</f>
        <v>1400</v>
      </c>
      <c r="E241" s="63">
        <f>E239+E240</f>
        <v>72467</v>
      </c>
      <c r="F241" s="63">
        <f>F239+F240</f>
        <v>277</v>
      </c>
    </row>
    <row r="242" spans="1:6" ht="18" customHeight="1">
      <c r="A242" s="64" t="s">
        <v>63</v>
      </c>
      <c r="B242" s="68"/>
      <c r="C242" s="68"/>
      <c r="D242" s="68"/>
      <c r="E242" s="230"/>
      <c r="F242" s="68"/>
    </row>
    <row r="243" spans="1:6" ht="12.75">
      <c r="A243" s="77" t="s">
        <v>96</v>
      </c>
      <c r="B243" s="84">
        <v>0</v>
      </c>
      <c r="C243" s="84">
        <v>0</v>
      </c>
      <c r="D243" s="84">
        <v>0</v>
      </c>
      <c r="E243" s="71">
        <v>0</v>
      </c>
      <c r="F243" s="57">
        <v>0</v>
      </c>
    </row>
    <row r="244" spans="1:6" ht="12.75">
      <c r="A244" s="228" t="s">
        <v>135</v>
      </c>
      <c r="B244" s="57">
        <v>0</v>
      </c>
      <c r="C244" s="57">
        <v>0</v>
      </c>
      <c r="D244" s="57">
        <f>1_g_h_sz_melléklet!B16</f>
        <v>0</v>
      </c>
      <c r="E244" s="75">
        <v>0</v>
      </c>
      <c r="F244" s="78">
        <v>0</v>
      </c>
    </row>
    <row r="245" spans="1:6" s="112" customFormat="1" ht="12.75">
      <c r="A245" s="62" t="s">
        <v>98</v>
      </c>
      <c r="B245" s="63">
        <f>B243+B244</f>
        <v>0</v>
      </c>
      <c r="C245" s="63">
        <f>C243+C244</f>
        <v>0</v>
      </c>
      <c r="D245" s="63">
        <f>D243+D244</f>
        <v>0</v>
      </c>
      <c r="E245" s="63">
        <f>E243+E244</f>
        <v>0</v>
      </c>
      <c r="F245" s="63">
        <f>F243+F244</f>
        <v>0</v>
      </c>
    </row>
    <row r="246" spans="1:6" ht="18" customHeight="1">
      <c r="A246" s="67" t="s">
        <v>67</v>
      </c>
      <c r="B246" s="130"/>
      <c r="C246" s="89"/>
      <c r="D246" s="235"/>
      <c r="E246" s="130"/>
      <c r="F246" s="68"/>
    </row>
    <row r="247" spans="1:6" ht="12.75">
      <c r="A247" s="56" t="s">
        <v>136</v>
      </c>
      <c r="B247" s="230">
        <v>0</v>
      </c>
      <c r="C247" s="68">
        <v>0</v>
      </c>
      <c r="D247" s="69">
        <v>0</v>
      </c>
      <c r="E247" s="230">
        <v>0</v>
      </c>
      <c r="F247" s="57">
        <v>0</v>
      </c>
    </row>
    <row r="248" spans="1:6" ht="12.75">
      <c r="A248" s="56" t="s">
        <v>137</v>
      </c>
      <c r="B248" s="75">
        <v>0</v>
      </c>
      <c r="C248" s="57">
        <v>0</v>
      </c>
      <c r="D248" s="58">
        <v>0</v>
      </c>
      <c r="E248" s="75">
        <v>0</v>
      </c>
      <c r="F248" s="57">
        <v>0</v>
      </c>
    </row>
    <row r="249" spans="1:6" ht="12.75">
      <c r="A249" s="111" t="s">
        <v>70</v>
      </c>
      <c r="B249" s="63">
        <f>B247+B248</f>
        <v>0</v>
      </c>
      <c r="C249" s="63">
        <f>C247+C248</f>
        <v>0</v>
      </c>
      <c r="D249" s="63">
        <f>D247+D248</f>
        <v>0</v>
      </c>
      <c r="E249" s="63">
        <f>E247+E248</f>
        <v>0</v>
      </c>
      <c r="F249" s="63">
        <f>F247+F248</f>
        <v>0</v>
      </c>
    </row>
    <row r="250" spans="1:6" ht="12.75">
      <c r="A250" s="117"/>
      <c r="B250" s="72"/>
      <c r="C250" s="72"/>
      <c r="D250" s="72"/>
      <c r="E250" s="236"/>
      <c r="F250" s="84"/>
    </row>
    <row r="251" spans="1:6" ht="12.75">
      <c r="A251" s="237" t="s">
        <v>147</v>
      </c>
      <c r="B251" s="238"/>
      <c r="C251" s="238"/>
      <c r="D251" s="72"/>
      <c r="E251" s="236"/>
      <c r="F251" s="72"/>
    </row>
    <row r="252" spans="1:6" s="112" customFormat="1" ht="12.75">
      <c r="A252" s="240" t="s">
        <v>99</v>
      </c>
      <c r="B252" s="241">
        <f>B249+B245+B241+B236+B231+B223</f>
        <v>11390</v>
      </c>
      <c r="C252" s="241">
        <f>C249+C245+C241+C236+C231+C223</f>
        <v>4897</v>
      </c>
      <c r="D252" s="241">
        <f>D249+D245+D241+D236+D231+D223</f>
        <v>28479</v>
      </c>
      <c r="E252" s="241">
        <f>E249+E245+E241+E236+E231+E223</f>
        <v>73508</v>
      </c>
      <c r="F252" s="241">
        <f>F249+F245+F241+F236+F231+F223</f>
        <v>1908</v>
      </c>
    </row>
    <row r="253" spans="1:6" ht="12.75">
      <c r="A253" s="275"/>
      <c r="B253" s="254"/>
      <c r="C253" s="254"/>
      <c r="D253" s="89"/>
      <c r="E253" s="130"/>
      <c r="F253" s="89"/>
    </row>
    <row r="254" spans="1:6" ht="12.75">
      <c r="A254" s="278" t="s">
        <v>100</v>
      </c>
      <c r="B254" s="96"/>
      <c r="C254" s="280"/>
      <c r="D254" s="68"/>
      <c r="E254" s="68"/>
      <c r="F254" s="115"/>
    </row>
    <row r="255" spans="1:6" ht="12.75">
      <c r="A255" s="90" t="s">
        <v>73</v>
      </c>
      <c r="B255" s="255">
        <v>0</v>
      </c>
      <c r="C255" s="245">
        <v>0</v>
      </c>
      <c r="D255" s="57">
        <v>0</v>
      </c>
      <c r="E255" s="57">
        <v>0</v>
      </c>
      <c r="F255" s="76">
        <v>0</v>
      </c>
    </row>
    <row r="256" spans="1:6" ht="12.75">
      <c r="A256" s="135" t="s">
        <v>101</v>
      </c>
      <c r="B256" s="256">
        <v>0</v>
      </c>
      <c r="C256" s="246">
        <v>8696</v>
      </c>
      <c r="D256" s="78">
        <v>2500</v>
      </c>
      <c r="E256" s="78">
        <v>0</v>
      </c>
      <c r="F256" s="79"/>
    </row>
    <row r="257" spans="1:6" s="112" customFormat="1" ht="12.75">
      <c r="A257" s="111" t="s">
        <v>114</v>
      </c>
      <c r="B257" s="63">
        <f>B255+B256</f>
        <v>0</v>
      </c>
      <c r="C257" s="63">
        <f>C255+C256</f>
        <v>8696</v>
      </c>
      <c r="D257" s="63">
        <f>D255+D256</f>
        <v>2500</v>
      </c>
      <c r="E257" s="63">
        <f>E255+E256</f>
        <v>0</v>
      </c>
      <c r="F257" s="63">
        <f>F255+F256</f>
        <v>0</v>
      </c>
    </row>
    <row r="258" spans="1:6" ht="12.75">
      <c r="A258" s="252"/>
      <c r="B258" s="84"/>
      <c r="C258" s="57"/>
      <c r="D258" s="87"/>
      <c r="E258" s="125"/>
      <c r="F258" s="84"/>
    </row>
    <row r="259" spans="1:6" s="112" customFormat="1" ht="12.75">
      <c r="A259" s="249" t="s">
        <v>139</v>
      </c>
      <c r="B259" s="94">
        <f>B252+B257</f>
        <v>11390</v>
      </c>
      <c r="C259" s="94">
        <f>C252+C257</f>
        <v>13593</v>
      </c>
      <c r="D259" s="94">
        <f>D252+D257</f>
        <v>30979</v>
      </c>
      <c r="E259" s="94">
        <f>E252+E257</f>
        <v>73508</v>
      </c>
      <c r="F259" s="94">
        <f>F252+F257</f>
        <v>1908</v>
      </c>
    </row>
    <row r="260" spans="1:6" s="112" customFormat="1" ht="12.75">
      <c r="A260" s="257"/>
      <c r="B260" s="258"/>
      <c r="C260" s="258"/>
      <c r="D260" s="258"/>
      <c r="E260" s="258"/>
      <c r="F260" s="258"/>
    </row>
    <row r="261" spans="1:6" ht="12.75">
      <c r="A261" s="1049">
        <v>6</v>
      </c>
      <c r="B261" s="1049"/>
      <c r="C261" s="1049"/>
      <c r="D261" s="1049"/>
      <c r="E261" s="1049"/>
      <c r="F261" s="1049"/>
    </row>
    <row r="263" spans="1:5" ht="14.25">
      <c r="A263" s="1043" t="s">
        <v>122</v>
      </c>
      <c r="B263" s="1043"/>
      <c r="C263" s="1043"/>
      <c r="D263" s="1043"/>
      <c r="E263" s="1043"/>
    </row>
    <row r="264" spans="1:6" ht="15.75">
      <c r="A264" s="1050" t="s">
        <v>123</v>
      </c>
      <c r="B264" s="1050"/>
      <c r="C264" s="1050"/>
      <c r="D264" s="1050"/>
      <c r="E264" s="1050"/>
      <c r="F264" s="1050"/>
    </row>
    <row r="265" spans="1:6" ht="15.75">
      <c r="A265" s="1042" t="s">
        <v>124</v>
      </c>
      <c r="B265" s="1042"/>
      <c r="C265" s="1042"/>
      <c r="D265" s="1042"/>
      <c r="E265" s="1042"/>
      <c r="F265" s="1042"/>
    </row>
    <row r="266" ht="12.75">
      <c r="E266" s="49" t="s">
        <v>80</v>
      </c>
    </row>
    <row r="267" spans="1:6" ht="51.75" customHeight="1">
      <c r="A267" s="50" t="s">
        <v>81</v>
      </c>
      <c r="B267" s="281" t="s">
        <v>168</v>
      </c>
      <c r="C267" s="282" t="s">
        <v>169</v>
      </c>
      <c r="D267" s="283" t="s">
        <v>170</v>
      </c>
      <c r="E267" s="284" t="s">
        <v>171</v>
      </c>
      <c r="F267" s="285" t="s">
        <v>172</v>
      </c>
    </row>
    <row r="268" spans="1:6" ht="12.75">
      <c r="A268" s="64" t="s">
        <v>42</v>
      </c>
      <c r="B268" s="89"/>
      <c r="C268" s="89"/>
      <c r="D268" s="89"/>
      <c r="E268" s="235"/>
      <c r="F268" s="89"/>
    </row>
    <row r="269" spans="1:6" ht="12.75">
      <c r="A269" s="227" t="s">
        <v>43</v>
      </c>
      <c r="B269" s="68">
        <f aca="true" t="shared" si="0" ref="B269:B275">F216+E216+D216+C216+B216+B163+C163+D163+E163+F163+B112+C112+D112+E112+F112+B58+C58+D58+E58+F58+B7+C7+D7+E7+F7</f>
        <v>406134</v>
      </c>
      <c r="C269" s="57"/>
      <c r="D269" s="68">
        <f>SUM(B269:C269)</f>
        <v>406134</v>
      </c>
      <c r="E269" s="69">
        <f>'1_c_sz_ melléklet'!C63</f>
        <v>995428</v>
      </c>
      <c r="F269" s="57">
        <f>SUM(D269:E269)</f>
        <v>1401562</v>
      </c>
    </row>
    <row r="270" spans="1:6" ht="12.75">
      <c r="A270" s="59" t="s">
        <v>44</v>
      </c>
      <c r="B270" s="68">
        <f t="shared" si="0"/>
        <v>120823</v>
      </c>
      <c r="C270" s="57"/>
      <c r="D270" s="68">
        <f aca="true" t="shared" si="1" ref="D270:D275">SUM(B270:C270)</f>
        <v>120823</v>
      </c>
      <c r="E270" s="69">
        <f>'1_c_sz_ melléklet'!C64</f>
        <v>259758</v>
      </c>
      <c r="F270" s="57">
        <f aca="true" t="shared" si="2" ref="F270:F275">SUM(D270:E270)</f>
        <v>380581</v>
      </c>
    </row>
    <row r="271" spans="1:6" ht="12.75">
      <c r="A271" s="59" t="s">
        <v>45</v>
      </c>
      <c r="B271" s="68">
        <f t="shared" si="0"/>
        <v>442502</v>
      </c>
      <c r="C271" s="57"/>
      <c r="D271" s="68">
        <f t="shared" si="1"/>
        <v>442502</v>
      </c>
      <c r="E271" s="69">
        <f>'1_c_sz_ melléklet'!C65</f>
        <v>361919</v>
      </c>
      <c r="F271" s="57">
        <f t="shared" si="2"/>
        <v>804421</v>
      </c>
    </row>
    <row r="272" spans="1:6" ht="12.75">
      <c r="A272" s="59" t="s">
        <v>173</v>
      </c>
      <c r="B272" s="68">
        <f t="shared" si="0"/>
        <v>-98603</v>
      </c>
      <c r="C272" s="57"/>
      <c r="D272" s="68">
        <f t="shared" si="1"/>
        <v>-98603</v>
      </c>
      <c r="E272" s="69">
        <f>'1_c_sz_ melléklet'!C66</f>
        <v>0</v>
      </c>
      <c r="F272" s="57">
        <f t="shared" si="2"/>
        <v>-98603</v>
      </c>
    </row>
    <row r="273" spans="1:6" ht="12.75">
      <c r="A273" s="59" t="s">
        <v>47</v>
      </c>
      <c r="B273" s="68">
        <f t="shared" si="0"/>
        <v>0</v>
      </c>
      <c r="C273" s="57"/>
      <c r="D273" s="68">
        <f t="shared" si="1"/>
        <v>0</v>
      </c>
      <c r="E273" s="69">
        <f>'1_c_sz_ melléklet'!C67</f>
        <v>358</v>
      </c>
      <c r="F273" s="57">
        <f t="shared" si="2"/>
        <v>358</v>
      </c>
    </row>
    <row r="274" spans="1:6" ht="12.75">
      <c r="A274" s="228" t="s">
        <v>48</v>
      </c>
      <c r="B274" s="68">
        <f t="shared" si="0"/>
        <v>244481</v>
      </c>
      <c r="C274" s="57"/>
      <c r="D274" s="68">
        <f t="shared" si="1"/>
        <v>244481</v>
      </c>
      <c r="E274" s="69">
        <f>'1_c_sz_ melléklet'!C68</f>
        <v>0</v>
      </c>
      <c r="F274" s="57">
        <f t="shared" si="2"/>
        <v>244481</v>
      </c>
    </row>
    <row r="275" spans="1:6" ht="12.75">
      <c r="A275" s="229" t="s">
        <v>174</v>
      </c>
      <c r="B275" s="68">
        <f t="shared" si="0"/>
        <v>244481</v>
      </c>
      <c r="C275" s="57"/>
      <c r="D275" s="68">
        <f t="shared" si="1"/>
        <v>244481</v>
      </c>
      <c r="E275" s="69">
        <f>'1_c_sz_ melléklet'!C69</f>
        <v>0</v>
      </c>
      <c r="F275" s="57">
        <f t="shared" si="2"/>
        <v>244481</v>
      </c>
    </row>
    <row r="276" spans="1:6" s="112" customFormat="1" ht="12.75">
      <c r="A276" s="62" t="s">
        <v>133</v>
      </c>
      <c r="B276" s="63">
        <f>SUM(B269:B274)</f>
        <v>1115337</v>
      </c>
      <c r="C276" s="63">
        <f>SUM(C269:C274)</f>
        <v>0</v>
      </c>
      <c r="D276" s="63">
        <f>SUM(D269:D274)</f>
        <v>1115337</v>
      </c>
      <c r="E276" s="63">
        <f>SUM(E269:E274)</f>
        <v>1617463</v>
      </c>
      <c r="F276" s="63">
        <f>SUM(F269:F274)</f>
        <v>2732800</v>
      </c>
    </row>
    <row r="277" spans="1:6" ht="8.25" customHeight="1">
      <c r="A277" s="114"/>
      <c r="B277" s="72"/>
      <c r="C277" s="131"/>
      <c r="D277" s="89"/>
      <c r="E277" s="235"/>
      <c r="F277" s="68"/>
    </row>
    <row r="278" spans="1:6" ht="12.75">
      <c r="A278" s="60" t="s">
        <v>51</v>
      </c>
      <c r="B278" s="57"/>
      <c r="C278" s="76"/>
      <c r="D278" s="57"/>
      <c r="E278" s="75"/>
      <c r="F278" s="57"/>
    </row>
    <row r="279" spans="1:6" ht="12.75">
      <c r="A279" s="59" t="s">
        <v>52</v>
      </c>
      <c r="B279" s="68">
        <f>F226+E226+D226+C226+B226+F173+E173+D173+C173+B173+F122+E122+D122+C122+B122+F68+E68+D68+C68+B68+F16+E16+D16+C16+B16</f>
        <v>488162</v>
      </c>
      <c r="C279" s="76"/>
      <c r="D279" s="57">
        <f>SUM(B279:C279)</f>
        <v>488162</v>
      </c>
      <c r="E279" s="230">
        <f>'1_c_sz_ melléklet'!C75</f>
        <v>11500</v>
      </c>
      <c r="F279" s="57">
        <f>SUM(D279:E279)</f>
        <v>499662</v>
      </c>
    </row>
    <row r="280" spans="1:6" ht="12.75">
      <c r="A280" s="59" t="s">
        <v>53</v>
      </c>
      <c r="B280" s="68">
        <f>F227+E227+D227+C227+B227+F174+E174+D174+C174+B174+F123+E123+D123+C123+B123+F69+E69+D69+C69+B69+F17+E17+D17+C17+B17</f>
        <v>69725</v>
      </c>
      <c r="C280" s="76"/>
      <c r="D280" s="57">
        <f>SUM(B280:C280)</f>
        <v>69725</v>
      </c>
      <c r="E280" s="230">
        <f>'1_c_sz_ melléklet'!C76</f>
        <v>2500</v>
      </c>
      <c r="F280" s="57">
        <f>SUM(D280:E280)</f>
        <v>72225</v>
      </c>
    </row>
    <row r="281" spans="1:6" ht="12.75">
      <c r="A281" s="59" t="s">
        <v>54</v>
      </c>
      <c r="B281" s="68">
        <f>F228+E228+D228+C228+B228+F175+E175+D175+C175+B175+F124+E124+D124+C124+B124+F70+E70+D70+C70+B70+F18+E18+D18+C18+B18</f>
        <v>1500</v>
      </c>
      <c r="C281" s="76"/>
      <c r="D281" s="57">
        <f>SUM(B281:C281)</f>
        <v>1500</v>
      </c>
      <c r="E281" s="230">
        <f>'1_c_sz_ melléklet'!C77</f>
        <v>0</v>
      </c>
      <c r="F281" s="57">
        <f>SUM(D281:E281)</f>
        <v>1500</v>
      </c>
    </row>
    <row r="282" spans="1:6" ht="12.75">
      <c r="A282" s="231" t="s">
        <v>112</v>
      </c>
      <c r="B282" s="68">
        <f>F229+E229+D229+C229+B229+F176+E176+D176+C176+B176+F125+E125+D125+C125+B125+F71+E71+D71+C71+B71+F19+E19+D19+C19+B19</f>
        <v>98603</v>
      </c>
      <c r="C282" s="68"/>
      <c r="D282" s="57">
        <f>SUM(B282:C282)</f>
        <v>98603</v>
      </c>
      <c r="E282" s="230">
        <f>'1_c_sz_ melléklet'!C78</f>
        <v>0</v>
      </c>
      <c r="F282" s="57">
        <f>SUM(D282:E282)</f>
        <v>98603</v>
      </c>
    </row>
    <row r="283" spans="1:6" ht="9" customHeight="1">
      <c r="A283" s="252"/>
      <c r="B283" s="84"/>
      <c r="C283" s="73"/>
      <c r="D283" s="84"/>
      <c r="E283" s="71"/>
      <c r="F283" s="78"/>
    </row>
    <row r="284" spans="1:6" s="112" customFormat="1" ht="12.75">
      <c r="A284" s="62" t="s">
        <v>91</v>
      </c>
      <c r="B284" s="63">
        <f>SUM(B279:B282)</f>
        <v>657990</v>
      </c>
      <c r="C284" s="63">
        <f>SUM(C279:C282)</f>
        <v>0</v>
      </c>
      <c r="D284" s="63">
        <f>SUM(D279:D282)</f>
        <v>657990</v>
      </c>
      <c r="E284" s="63">
        <f>SUM(E279:E282)</f>
        <v>14000</v>
      </c>
      <c r="F284" s="63">
        <f>SUM(F279:F282)</f>
        <v>671990</v>
      </c>
    </row>
    <row r="285" spans="1:6" ht="7.5" customHeight="1">
      <c r="A285" s="117"/>
      <c r="B285" s="84"/>
      <c r="C285" s="71"/>
      <c r="D285" s="84"/>
      <c r="E285" s="73"/>
      <c r="F285" s="84"/>
    </row>
    <row r="286" spans="1:6" ht="12.75">
      <c r="A286" s="117" t="s">
        <v>57</v>
      </c>
      <c r="B286" s="84"/>
      <c r="C286" s="71"/>
      <c r="D286" s="84"/>
      <c r="E286" s="73"/>
      <c r="F286" s="84"/>
    </row>
    <row r="287" spans="1:6" ht="12.75">
      <c r="A287" s="232" t="s">
        <v>58</v>
      </c>
      <c r="B287" s="57">
        <f>F234+E234+D234+C234+B234+F181+E181+D181+C181+B181+F130+E130+D130+C130+B130+F76+E76+D76+C76+B76+F23+E23+D23+C23+B23</f>
        <v>34912</v>
      </c>
      <c r="C287" s="75"/>
      <c r="D287" s="57">
        <f>SUM(B287:C287)</f>
        <v>34912</v>
      </c>
      <c r="E287" s="76">
        <f>'1_c_sz_ melléklet'!C83</f>
        <v>0</v>
      </c>
      <c r="F287" s="57">
        <f>SUM(D287:E287)</f>
        <v>34912</v>
      </c>
    </row>
    <row r="288" spans="1:6" ht="12.75">
      <c r="A288" s="233" t="s">
        <v>59</v>
      </c>
      <c r="B288" s="57">
        <f>F235+E235+D235+C235+B235+F182+E182+D182+C182+B182+F131+E131+D131+C131+B131+F77+E77+D77+C77+B77+F24+E24+D24+C24+B24</f>
        <v>0</v>
      </c>
      <c r="C288" s="71">
        <v>0</v>
      </c>
      <c r="D288" s="57">
        <f>SUM(B288:C288)</f>
        <v>0</v>
      </c>
      <c r="E288" s="76">
        <f>'1_c_sz_ melléklet'!C84</f>
        <v>0</v>
      </c>
      <c r="F288" s="57">
        <f>SUM(D288:E288)</f>
        <v>0</v>
      </c>
    </row>
    <row r="289" spans="1:6" s="112" customFormat="1" ht="12.75">
      <c r="A289" s="62" t="s">
        <v>134</v>
      </c>
      <c r="B289" s="63">
        <f>B287+B288</f>
        <v>34912</v>
      </c>
      <c r="C289" s="63">
        <f>C287+C288</f>
        <v>0</v>
      </c>
      <c r="D289" s="63">
        <f>D287+D288</f>
        <v>34912</v>
      </c>
      <c r="E289" s="63">
        <f>E287+E288</f>
        <v>0</v>
      </c>
      <c r="F289" s="63">
        <f>F287+F288</f>
        <v>34912</v>
      </c>
    </row>
    <row r="290" spans="1:6" ht="6" customHeight="1">
      <c r="A290" s="117"/>
      <c r="B290" s="84"/>
      <c r="C290" s="71"/>
      <c r="D290" s="84"/>
      <c r="E290" s="84"/>
      <c r="F290" s="73"/>
    </row>
    <row r="291" spans="1:6" ht="12.75">
      <c r="A291" s="82" t="s">
        <v>94</v>
      </c>
      <c r="B291" s="68"/>
      <c r="C291" s="230"/>
      <c r="D291" s="68"/>
      <c r="E291" s="68"/>
      <c r="F291" s="115"/>
    </row>
    <row r="292" spans="1:6" ht="12.75">
      <c r="A292" s="74" t="s">
        <v>58</v>
      </c>
      <c r="B292" s="68">
        <f>F239+E239+D239+C239+B239+F186+E186+D186+C186+B186+F135+E135+D135+C135+B135+F81+E81+D81+C81+B81+F28+E28+D28+C28+B28</f>
        <v>210875</v>
      </c>
      <c r="C292" s="230"/>
      <c r="D292" s="68">
        <f>SUM(B292:C292)</f>
        <v>210875</v>
      </c>
      <c r="E292" s="68">
        <f>'1_c_sz_ melléklet'!C88</f>
        <v>0</v>
      </c>
      <c r="F292" s="57">
        <f>SUM(D292:E292)</f>
        <v>210875</v>
      </c>
    </row>
    <row r="293" spans="1:6" ht="12.75">
      <c r="A293" s="234" t="s">
        <v>59</v>
      </c>
      <c r="B293" s="68">
        <f>F240+E240+D240+C240+B240+F187+E187+D187+C187+B187+F136+E136+D136+C136+B136+F82+E82+D82+C82+B82+F29+E29+D29+C29+B29</f>
        <v>87393</v>
      </c>
      <c r="C293" s="71"/>
      <c r="D293" s="68">
        <f>SUM(B293:C293)</f>
        <v>87393</v>
      </c>
      <c r="E293" s="68">
        <f>'1_c_sz_ melléklet'!C89</f>
        <v>0</v>
      </c>
      <c r="F293" s="57">
        <f>SUM(D293:E293)</f>
        <v>87393</v>
      </c>
    </row>
    <row r="294" spans="1:6" s="112" customFormat="1" ht="12.75">
      <c r="A294" s="62" t="s">
        <v>95</v>
      </c>
      <c r="B294" s="63">
        <f>B292+B293</f>
        <v>298268</v>
      </c>
      <c r="C294" s="63">
        <f>C292+C293</f>
        <v>0</v>
      </c>
      <c r="D294" s="63">
        <f>D292+D293</f>
        <v>298268</v>
      </c>
      <c r="E294" s="63">
        <f>E292+E293</f>
        <v>0</v>
      </c>
      <c r="F294" s="63">
        <f>F292+F293</f>
        <v>298268</v>
      </c>
    </row>
    <row r="295" spans="1:6" ht="18.75" customHeight="1">
      <c r="A295" s="64" t="s">
        <v>63</v>
      </c>
      <c r="B295" s="68"/>
      <c r="C295" s="230"/>
      <c r="D295" s="89"/>
      <c r="E295" s="69"/>
      <c r="F295" s="68"/>
    </row>
    <row r="296" spans="1:6" ht="12.75">
      <c r="A296" s="77" t="s">
        <v>96</v>
      </c>
      <c r="B296" s="57">
        <f>F243+E243+D243+C243+B243+F190+E190+D190+C190+B190+F139+E139+D139+C139+B139+F85+E85+D85+C85+B85+F32+E32+D32+C32+B32</f>
        <v>1000</v>
      </c>
      <c r="C296" s="75"/>
      <c r="D296" s="57">
        <f>SUM(B296:C296)</f>
        <v>1000</v>
      </c>
      <c r="E296" s="58">
        <f>'1_c_sz_ melléklet'!C93</f>
        <v>0</v>
      </c>
      <c r="F296" s="57">
        <f>SUM(D296:E296)</f>
        <v>1000</v>
      </c>
    </row>
    <row r="297" spans="1:6" ht="12.75">
      <c r="A297" s="228" t="s">
        <v>135</v>
      </c>
      <c r="B297" s="84">
        <f>F244+E244+D244+C244+B244+F191+E191+D191+C191+B191+F140+E140+D140+C140+B140+F86+E86+D86+C86+B86+F33+E33+D33+C33+B33</f>
        <v>5000</v>
      </c>
      <c r="C297" s="230"/>
      <c r="D297" s="68">
        <f>SUM(B297:C297)</f>
        <v>5000</v>
      </c>
      <c r="E297" s="58">
        <f>'1_c_sz_ melléklet'!C94</f>
        <v>0</v>
      </c>
      <c r="F297" s="57">
        <f>SUM(D297:E297)</f>
        <v>5000</v>
      </c>
    </row>
    <row r="298" spans="1:6" s="112" customFormat="1" ht="12.75">
      <c r="A298" s="62" t="s">
        <v>98</v>
      </c>
      <c r="B298" s="63">
        <f>B296+B297</f>
        <v>6000</v>
      </c>
      <c r="C298" s="63">
        <f>C296+C297</f>
        <v>0</v>
      </c>
      <c r="D298" s="248">
        <f>D296+D297</f>
        <v>6000</v>
      </c>
      <c r="E298" s="63">
        <f>E296+E297</f>
        <v>0</v>
      </c>
      <c r="F298" s="63">
        <f>SUM(F296:F297)</f>
        <v>6000</v>
      </c>
    </row>
    <row r="299" spans="1:6" ht="18" customHeight="1">
      <c r="A299" s="67" t="s">
        <v>67</v>
      </c>
      <c r="B299" s="130"/>
      <c r="C299" s="89"/>
      <c r="D299" s="235"/>
      <c r="E299" s="130"/>
      <c r="F299" s="68"/>
    </row>
    <row r="300" spans="1:6" ht="12.75">
      <c r="A300" s="56" t="s">
        <v>136</v>
      </c>
      <c r="B300" s="230"/>
      <c r="C300" s="68">
        <v>15000</v>
      </c>
      <c r="D300" s="69">
        <f>SUM(B300:C300)</f>
        <v>15000</v>
      </c>
      <c r="E300" s="230">
        <f>'1_c_sz_ melléklet'!C98</f>
        <v>0</v>
      </c>
      <c r="F300" s="57">
        <f>SUM(D300:E300)</f>
        <v>15000</v>
      </c>
    </row>
    <row r="301" spans="1:6" ht="12.75">
      <c r="A301" s="56" t="s">
        <v>137</v>
      </c>
      <c r="B301" s="286"/>
      <c r="C301" s="78">
        <f>'5_sz_ melléklet'!B27</f>
        <v>101662</v>
      </c>
      <c r="D301" s="69">
        <f>SUM(B301:C301)</f>
        <v>101662</v>
      </c>
      <c r="E301" s="230">
        <f>'1_c_sz_ melléklet'!C99</f>
        <v>0</v>
      </c>
      <c r="F301" s="57">
        <f>SUM(D301:E301)</f>
        <v>101662</v>
      </c>
    </row>
    <row r="302" spans="1:6" s="112" customFormat="1" ht="12.75">
      <c r="A302" s="111" t="s">
        <v>70</v>
      </c>
      <c r="B302" s="80">
        <f>B300+B301</f>
        <v>0</v>
      </c>
      <c r="C302" s="80">
        <f>C300+C301</f>
        <v>116662</v>
      </c>
      <c r="D302" s="63">
        <f>D300+D301</f>
        <v>116662</v>
      </c>
      <c r="E302" s="63">
        <f>E300+E301</f>
        <v>0</v>
      </c>
      <c r="F302" s="63">
        <f>F300+F301</f>
        <v>116662</v>
      </c>
    </row>
    <row r="303" spans="1:6" ht="12.75">
      <c r="A303" s="117"/>
      <c r="B303" s="84"/>
      <c r="C303" s="84"/>
      <c r="D303" s="84"/>
      <c r="E303" s="71"/>
      <c r="F303" s="84"/>
    </row>
    <row r="304" spans="1:6" s="112" customFormat="1" ht="27.75" customHeight="1">
      <c r="A304" s="287" t="s">
        <v>71</v>
      </c>
      <c r="B304" s="94">
        <f>B302+B298+B294+B289+B284+B276</f>
        <v>2112507</v>
      </c>
      <c r="C304" s="94">
        <f>C302+C298+C294+C289+C284+C276</f>
        <v>116662</v>
      </c>
      <c r="D304" s="94">
        <f>D302+D298+D294+D289+D284+D276</f>
        <v>2229169</v>
      </c>
      <c r="E304" s="94">
        <f>E302+E298+E294+E289+E284+E276</f>
        <v>1631463</v>
      </c>
      <c r="F304" s="94">
        <f>F302+F298+F294+F289+F284+F276</f>
        <v>3860632</v>
      </c>
    </row>
    <row r="305" spans="1:6" ht="12.75">
      <c r="A305" s="275"/>
      <c r="B305" s="254"/>
      <c r="C305" s="254"/>
      <c r="D305" s="89"/>
      <c r="E305" s="130"/>
      <c r="F305" s="89"/>
    </row>
    <row r="306" spans="1:6" ht="12.75">
      <c r="A306" s="263" t="s">
        <v>100</v>
      </c>
      <c r="B306" s="96"/>
      <c r="C306" s="280"/>
      <c r="D306" s="68"/>
      <c r="E306" s="68"/>
      <c r="F306" s="115"/>
    </row>
    <row r="307" spans="1:6" ht="12.75">
      <c r="A307" s="90" t="s">
        <v>73</v>
      </c>
      <c r="B307" s="255">
        <f>F255+E255+D255+C255+B255+F202+E202+D202+C202+B202+F150+E150+D150+C150+B150+F97+E97+D97+C97+B97+F44+E44+D44+C44+B44</f>
        <v>0</v>
      </c>
      <c r="C307" s="245"/>
      <c r="D307" s="57">
        <f>SUM(B307:C307)</f>
        <v>0</v>
      </c>
      <c r="E307" s="57"/>
      <c r="F307" s="76">
        <f>SUM(D307:E307)</f>
        <v>0</v>
      </c>
    </row>
    <row r="308" spans="1:6" ht="12.75">
      <c r="A308" s="135" t="s">
        <v>101</v>
      </c>
      <c r="B308" s="255">
        <f>F256+E256+D256+C256+B256+F203+E203+D203+C203+B203+F151+E151+D151+C151+B151+F98+E98+D98+C98+B98+F45+E45+D45+C45+B45</f>
        <v>14428</v>
      </c>
      <c r="C308" s="246"/>
      <c r="D308" s="57">
        <f>SUM(B308:C308)</f>
        <v>14428</v>
      </c>
      <c r="E308" s="57"/>
      <c r="F308" s="76">
        <f>SUM(D308:E308)</f>
        <v>14428</v>
      </c>
    </row>
    <row r="309" spans="1:6" s="112" customFormat="1" ht="12.75">
      <c r="A309" s="111" t="s">
        <v>114</v>
      </c>
      <c r="B309" s="63">
        <f>B307+B308</f>
        <v>14428</v>
      </c>
      <c r="C309" s="63">
        <f>C307+C308</f>
        <v>0</v>
      </c>
      <c r="D309" s="63">
        <f>D307+D308</f>
        <v>14428</v>
      </c>
      <c r="E309" s="63">
        <f>E307+E308</f>
        <v>0</v>
      </c>
      <c r="F309" s="63">
        <f>SUM(F307:F308)</f>
        <v>14428</v>
      </c>
    </row>
    <row r="310" spans="1:6" ht="12.75">
      <c r="A310" s="252"/>
      <c r="B310" s="84"/>
      <c r="C310" s="57"/>
      <c r="D310" s="87"/>
      <c r="E310" s="125"/>
      <c r="F310" s="84"/>
    </row>
    <row r="311" spans="1:6" s="112" customFormat="1" ht="12.75">
      <c r="A311" s="249" t="s">
        <v>139</v>
      </c>
      <c r="B311" s="94">
        <f>B304+B309</f>
        <v>2126935</v>
      </c>
      <c r="C311" s="94">
        <f>C304+C309</f>
        <v>116662</v>
      </c>
      <c r="D311" s="94">
        <f>D304+D309</f>
        <v>2243597</v>
      </c>
      <c r="E311" s="94">
        <f>E304+E309</f>
        <v>1631463</v>
      </c>
      <c r="F311" s="94">
        <f>F304+F309</f>
        <v>3875060</v>
      </c>
    </row>
  </sheetData>
  <sheetProtection/>
  <mergeCells count="23">
    <mergeCell ref="A1:E1"/>
    <mergeCell ref="A2:F2"/>
    <mergeCell ref="A3:F3"/>
    <mergeCell ref="A51:F51"/>
    <mergeCell ref="A52:E52"/>
    <mergeCell ref="A53:F53"/>
    <mergeCell ref="A211:F211"/>
    <mergeCell ref="A54:F54"/>
    <mergeCell ref="A104:F104"/>
    <mergeCell ref="A106:E106"/>
    <mergeCell ref="A107:F107"/>
    <mergeCell ref="A108:F108"/>
    <mergeCell ref="A156:F156"/>
    <mergeCell ref="A212:F212"/>
    <mergeCell ref="A261:F261"/>
    <mergeCell ref="A263:E263"/>
    <mergeCell ref="A264:F264"/>
    <mergeCell ref="A265:F265"/>
    <mergeCell ref="A157:E157"/>
    <mergeCell ref="A158:F158"/>
    <mergeCell ref="A159:F159"/>
    <mergeCell ref="A208:F208"/>
    <mergeCell ref="A210:E210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51"/>
  <sheetViews>
    <sheetView zoomScalePageLayoutView="0" workbookViewId="0" topLeftCell="A28">
      <selection activeCell="A50" sqref="A50"/>
    </sheetView>
  </sheetViews>
  <sheetFormatPr defaultColWidth="9.140625" defaultRowHeight="12.75"/>
  <cols>
    <col min="1" max="1" width="35.00390625" style="0" customWidth="1"/>
    <col min="2" max="2" width="14.421875" style="0" customWidth="1"/>
    <col min="3" max="3" width="14.28125" style="0" customWidth="1"/>
    <col min="4" max="4" width="17.421875" style="0" customWidth="1"/>
  </cols>
  <sheetData>
    <row r="1" spans="1:4" ht="12.75">
      <c r="A1" s="1052" t="s">
        <v>175</v>
      </c>
      <c r="B1" s="1052"/>
      <c r="C1" s="1052"/>
      <c r="D1" s="1052"/>
    </row>
    <row r="2" spans="1:4" ht="12.75">
      <c r="A2" s="49"/>
      <c r="B2" s="49"/>
      <c r="C2" s="49"/>
      <c r="D2" s="49"/>
    </row>
    <row r="3" spans="1:4" ht="15.75">
      <c r="A3" s="1042" t="s">
        <v>176</v>
      </c>
      <c r="B3" s="1042"/>
      <c r="C3" s="1042"/>
      <c r="D3" s="1042"/>
    </row>
    <row r="4" ht="9" customHeight="1">
      <c r="D4" s="45"/>
    </row>
    <row r="5" spans="1:4" ht="12.75">
      <c r="A5" s="1053" t="s">
        <v>33</v>
      </c>
      <c r="B5" s="1053"/>
      <c r="C5" s="1053"/>
      <c r="D5" s="1053"/>
    </row>
    <row r="6" spans="1:4" ht="30" customHeight="1">
      <c r="A6" s="86" t="s">
        <v>177</v>
      </c>
      <c r="B6" s="51" t="s">
        <v>178</v>
      </c>
      <c r="C6" s="289" t="s">
        <v>179</v>
      </c>
      <c r="D6" s="290" t="s">
        <v>180</v>
      </c>
    </row>
    <row r="7" spans="1:64" s="294" customFormat="1" ht="12.75">
      <c r="A7" s="291" t="s">
        <v>181</v>
      </c>
      <c r="B7" s="292">
        <f>SUM(B8:B12)</f>
        <v>0</v>
      </c>
      <c r="C7" s="292">
        <f>SUM(C8:C12)</f>
        <v>34912</v>
      </c>
      <c r="D7" s="292">
        <f>B7+C7</f>
        <v>34912</v>
      </c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293"/>
      <c r="BH7" s="293"/>
      <c r="BI7" s="293"/>
      <c r="BJ7" s="293"/>
      <c r="BK7" s="293"/>
      <c r="BL7" s="293"/>
    </row>
    <row r="8" spans="1:64" ht="12.75">
      <c r="A8" s="59" t="s">
        <v>182</v>
      </c>
      <c r="B8" s="295"/>
      <c r="C8" s="296"/>
      <c r="D8" s="297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12.75">
      <c r="A9" s="228" t="s">
        <v>183</v>
      </c>
      <c r="B9" s="298"/>
      <c r="C9" s="299">
        <v>32489</v>
      </c>
      <c r="D9" s="300">
        <f>SUM(B9+C9)</f>
        <v>32489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2.75">
      <c r="A10" s="228" t="s">
        <v>184</v>
      </c>
      <c r="B10" s="298"/>
      <c r="C10" s="299"/>
      <c r="D10" s="300">
        <f>C10</f>
        <v>0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64" ht="12.75">
      <c r="A11" s="228" t="s">
        <v>185</v>
      </c>
      <c r="B11" s="298"/>
      <c r="C11" s="299">
        <v>2423</v>
      </c>
      <c r="D11" s="297">
        <f>SUM(B11+C11)</f>
        <v>2423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64" ht="12.75">
      <c r="A12" s="301"/>
      <c r="B12" s="302"/>
      <c r="C12" s="303"/>
      <c r="D12" s="297">
        <f>SUM(B12+C12)</f>
        <v>0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</row>
    <row r="13" spans="1:64" s="294" customFormat="1" ht="12.75">
      <c r="A13" s="291" t="s">
        <v>186</v>
      </c>
      <c r="B13" s="292">
        <v>0</v>
      </c>
      <c r="C13" s="304">
        <v>0</v>
      </c>
      <c r="D13" s="292">
        <f>SUM(B13+C13)</f>
        <v>0</v>
      </c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</row>
    <row r="14" spans="1:64" ht="12.75">
      <c r="A14" s="59" t="s">
        <v>87</v>
      </c>
      <c r="B14" s="295"/>
      <c r="C14" s="296"/>
      <c r="D14" s="305">
        <f>SUM(B14+C14)</f>
        <v>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</row>
    <row r="15" spans="1:4" s="112" customFormat="1" ht="12.75">
      <c r="A15" s="111" t="s">
        <v>187</v>
      </c>
      <c r="B15" s="292">
        <f>B7+B13</f>
        <v>0</v>
      </c>
      <c r="C15" s="304">
        <f>C7+C13</f>
        <v>34912</v>
      </c>
      <c r="D15" s="292">
        <f>D7+D13</f>
        <v>34912</v>
      </c>
    </row>
    <row r="17" spans="1:4" ht="12.75">
      <c r="A17" s="1052" t="s">
        <v>188</v>
      </c>
      <c r="B17" s="1052"/>
      <c r="C17" s="1052"/>
      <c r="D17" s="1052"/>
    </row>
    <row r="18" spans="1:4" ht="12.75">
      <c r="A18" s="49"/>
      <c r="B18" s="49"/>
      <c r="C18" s="49"/>
      <c r="D18" s="49"/>
    </row>
    <row r="19" spans="1:4" ht="15.75">
      <c r="A19" s="1042" t="s">
        <v>189</v>
      </c>
      <c r="B19" s="1042"/>
      <c r="C19" s="1042"/>
      <c r="D19" s="1042"/>
    </row>
    <row r="21" spans="1:4" ht="12.75">
      <c r="A21" s="1053" t="s">
        <v>33</v>
      </c>
      <c r="B21" s="1053"/>
      <c r="C21" s="1053"/>
      <c r="D21" s="1053"/>
    </row>
    <row r="22" spans="1:4" ht="30" customHeight="1">
      <c r="A22" s="111" t="s">
        <v>177</v>
      </c>
      <c r="B22" s="62" t="s">
        <v>178</v>
      </c>
      <c r="C22" s="306" t="s">
        <v>179</v>
      </c>
      <c r="D22" s="307" t="s">
        <v>180</v>
      </c>
    </row>
    <row r="23" spans="1:4" s="112" customFormat="1" ht="12.75">
      <c r="A23" s="291" t="s">
        <v>181</v>
      </c>
      <c r="B23" s="63">
        <v>0</v>
      </c>
      <c r="C23" s="308">
        <f>SUM(C24:C41)</f>
        <v>210875</v>
      </c>
      <c r="D23" s="63">
        <f>B23+C23</f>
        <v>210875</v>
      </c>
    </row>
    <row r="24" spans="1:4" ht="25.5">
      <c r="A24" s="309" t="s">
        <v>190</v>
      </c>
      <c r="B24" s="68">
        <v>0</v>
      </c>
      <c r="C24" s="69">
        <v>10000</v>
      </c>
      <c r="D24" s="133">
        <f aca="true" t="shared" si="0" ref="D24:D49">B24+C24</f>
        <v>10000</v>
      </c>
    </row>
    <row r="25" spans="1:4" ht="12.75">
      <c r="A25" s="309" t="s">
        <v>191</v>
      </c>
      <c r="B25" s="68"/>
      <c r="C25" s="69">
        <v>9000</v>
      </c>
      <c r="D25" s="133">
        <f t="shared" si="0"/>
        <v>9000</v>
      </c>
    </row>
    <row r="26" spans="1:4" ht="12.75">
      <c r="A26" s="59" t="s">
        <v>192</v>
      </c>
      <c r="B26" s="68">
        <v>0</v>
      </c>
      <c r="C26" s="69">
        <v>3460</v>
      </c>
      <c r="D26" s="133">
        <f t="shared" si="0"/>
        <v>3460</v>
      </c>
    </row>
    <row r="27" spans="1:4" ht="12.75">
      <c r="A27" s="59" t="s">
        <v>193</v>
      </c>
      <c r="B27" s="68"/>
      <c r="C27" s="69">
        <v>85482</v>
      </c>
      <c r="D27" s="133">
        <f t="shared" si="0"/>
        <v>85482</v>
      </c>
    </row>
    <row r="28" spans="1:4" ht="12.75">
      <c r="A28" s="59" t="s">
        <v>194</v>
      </c>
      <c r="B28" s="68">
        <v>0</v>
      </c>
      <c r="C28" s="69">
        <v>21461</v>
      </c>
      <c r="D28" s="133">
        <f t="shared" si="0"/>
        <v>21461</v>
      </c>
    </row>
    <row r="29" spans="1:4" ht="12.75">
      <c r="A29" s="59" t="s">
        <v>195</v>
      </c>
      <c r="B29" s="68">
        <v>0</v>
      </c>
      <c r="C29" s="69">
        <v>3700</v>
      </c>
      <c r="D29" s="133">
        <f t="shared" si="0"/>
        <v>3700</v>
      </c>
    </row>
    <row r="30" spans="1:4" ht="12.75">
      <c r="A30" s="59" t="s">
        <v>196</v>
      </c>
      <c r="B30" s="68">
        <v>0</v>
      </c>
      <c r="C30" s="69">
        <v>7215</v>
      </c>
      <c r="D30" s="133">
        <f t="shared" si="0"/>
        <v>7215</v>
      </c>
    </row>
    <row r="31" spans="1:4" ht="12.75">
      <c r="A31" s="59" t="s">
        <v>197</v>
      </c>
      <c r="B31" s="68">
        <v>0</v>
      </c>
      <c r="C31" s="69">
        <v>2335</v>
      </c>
      <c r="D31" s="133">
        <f t="shared" si="0"/>
        <v>2335</v>
      </c>
    </row>
    <row r="32" spans="1:4" ht="12.75">
      <c r="A32" s="228" t="s">
        <v>198</v>
      </c>
      <c r="B32" s="57">
        <v>0</v>
      </c>
      <c r="C32" s="58"/>
      <c r="D32" s="310">
        <f t="shared" si="0"/>
        <v>0</v>
      </c>
    </row>
    <row r="33" spans="1:4" ht="12.75">
      <c r="A33" s="228" t="s">
        <v>199</v>
      </c>
      <c r="B33" s="57">
        <v>0</v>
      </c>
      <c r="C33" s="58">
        <v>30000</v>
      </c>
      <c r="D33" s="310">
        <f t="shared" si="0"/>
        <v>30000</v>
      </c>
    </row>
    <row r="34" spans="1:4" ht="12.75">
      <c r="A34" s="228" t="s">
        <v>200</v>
      </c>
      <c r="B34" s="57">
        <v>0</v>
      </c>
      <c r="C34" s="58">
        <v>25525</v>
      </c>
      <c r="D34" s="310">
        <f t="shared" si="0"/>
        <v>25525</v>
      </c>
    </row>
    <row r="35" spans="1:4" ht="12.75">
      <c r="A35" s="228" t="s">
        <v>201</v>
      </c>
      <c r="B35" s="57"/>
      <c r="C35" s="58">
        <v>200</v>
      </c>
      <c r="D35" s="310">
        <f t="shared" si="0"/>
        <v>200</v>
      </c>
    </row>
    <row r="36" spans="1:4" ht="12.75">
      <c r="A36" s="228" t="s">
        <v>202</v>
      </c>
      <c r="B36" s="57">
        <v>0</v>
      </c>
      <c r="C36" s="58">
        <v>277</v>
      </c>
      <c r="D36" s="310">
        <f t="shared" si="0"/>
        <v>277</v>
      </c>
    </row>
    <row r="37" spans="1:4" ht="12.75">
      <c r="A37" s="228" t="s">
        <v>203</v>
      </c>
      <c r="B37" s="57">
        <v>0</v>
      </c>
      <c r="C37" s="76">
        <v>2189</v>
      </c>
      <c r="D37" s="310">
        <f t="shared" si="0"/>
        <v>2189</v>
      </c>
    </row>
    <row r="38" spans="1:4" ht="12.75">
      <c r="A38" s="228" t="s">
        <v>204</v>
      </c>
      <c r="B38" s="57"/>
      <c r="C38" s="58">
        <v>8921</v>
      </c>
      <c r="D38" s="310">
        <f t="shared" si="0"/>
        <v>8921</v>
      </c>
    </row>
    <row r="39" spans="1:4" ht="12.75">
      <c r="A39" s="228" t="s">
        <v>205</v>
      </c>
      <c r="B39" s="57"/>
      <c r="C39" s="58">
        <v>110</v>
      </c>
      <c r="D39" s="310">
        <f t="shared" si="0"/>
        <v>110</v>
      </c>
    </row>
    <row r="40" spans="1:4" ht="12.75">
      <c r="A40" s="228" t="s">
        <v>206</v>
      </c>
      <c r="B40" s="57"/>
      <c r="C40" s="58"/>
      <c r="D40" s="310">
        <f t="shared" si="0"/>
        <v>0</v>
      </c>
    </row>
    <row r="41" spans="1:4" ht="12.75">
      <c r="A41" s="85" t="s">
        <v>207</v>
      </c>
      <c r="B41" s="84"/>
      <c r="C41" s="92">
        <v>1000</v>
      </c>
      <c r="D41" s="133">
        <f t="shared" si="0"/>
        <v>1000</v>
      </c>
    </row>
    <row r="42" spans="1:4" ht="12.75">
      <c r="A42" s="291" t="s">
        <v>208</v>
      </c>
      <c r="B42" s="63">
        <v>0</v>
      </c>
      <c r="C42" s="308">
        <f>SUM(C43:C49)</f>
        <v>87393</v>
      </c>
      <c r="D42" s="63">
        <f t="shared" si="0"/>
        <v>87393</v>
      </c>
    </row>
    <row r="43" spans="1:4" ht="12.75">
      <c r="A43" s="59" t="s">
        <v>209</v>
      </c>
      <c r="B43" s="68">
        <v>0</v>
      </c>
      <c r="C43" s="69">
        <v>30853</v>
      </c>
      <c r="D43" s="133">
        <f t="shared" si="0"/>
        <v>30853</v>
      </c>
    </row>
    <row r="44" spans="1:4" ht="12.75">
      <c r="A44" s="59" t="s">
        <v>210</v>
      </c>
      <c r="B44" s="68"/>
      <c r="C44" s="69">
        <v>21045</v>
      </c>
      <c r="D44" s="133">
        <f t="shared" si="0"/>
        <v>21045</v>
      </c>
    </row>
    <row r="45" spans="1:4" ht="12.75">
      <c r="A45" s="228" t="s">
        <v>211</v>
      </c>
      <c r="B45" s="57">
        <v>0</v>
      </c>
      <c r="C45" s="58">
        <v>9338</v>
      </c>
      <c r="D45" s="310">
        <f t="shared" si="0"/>
        <v>9338</v>
      </c>
    </row>
    <row r="46" spans="1:4" ht="12.75">
      <c r="A46" s="301" t="s">
        <v>212</v>
      </c>
      <c r="B46" s="78"/>
      <c r="C46" s="61">
        <v>3815</v>
      </c>
      <c r="D46" s="310">
        <f t="shared" si="0"/>
        <v>3815</v>
      </c>
    </row>
    <row r="47" spans="1:4" ht="12.75">
      <c r="A47" s="301" t="s">
        <v>213</v>
      </c>
      <c r="B47" s="78">
        <v>0</v>
      </c>
      <c r="C47" s="61">
        <v>5000</v>
      </c>
      <c r="D47" s="310">
        <f t="shared" si="0"/>
        <v>5000</v>
      </c>
    </row>
    <row r="48" spans="1:4" ht="12.75">
      <c r="A48" s="311" t="s">
        <v>214</v>
      </c>
      <c r="B48" s="78"/>
      <c r="C48" s="61">
        <v>16942</v>
      </c>
      <c r="D48" s="310">
        <f t="shared" si="0"/>
        <v>16942</v>
      </c>
    </row>
    <row r="49" spans="1:4" ht="12.75">
      <c r="A49" s="312" t="s">
        <v>215</v>
      </c>
      <c r="B49" s="78"/>
      <c r="C49" s="61">
        <v>400</v>
      </c>
      <c r="D49" s="310">
        <f t="shared" si="0"/>
        <v>400</v>
      </c>
    </row>
    <row r="50" spans="1:4" ht="12.75">
      <c r="A50" s="111" t="s">
        <v>187</v>
      </c>
      <c r="B50" s="63">
        <f>B23+B42</f>
        <v>0</v>
      </c>
      <c r="C50" s="63">
        <f>C23+C42</f>
        <v>298268</v>
      </c>
      <c r="D50" s="63">
        <f>D23+D42</f>
        <v>298268</v>
      </c>
    </row>
    <row r="51" spans="1:4" s="112" customFormat="1" ht="12.75">
      <c r="A51"/>
      <c r="B51"/>
      <c r="C51"/>
      <c r="D51"/>
    </row>
  </sheetData>
  <sheetProtection/>
  <mergeCells count="6">
    <mergeCell ref="A1:D1"/>
    <mergeCell ref="A3:D3"/>
    <mergeCell ref="A5:D5"/>
    <mergeCell ref="A17:D17"/>
    <mergeCell ref="A19:D19"/>
    <mergeCell ref="A21:D2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B44"/>
  <sheetViews>
    <sheetView zoomScalePageLayoutView="0" workbookViewId="0" topLeftCell="A28">
      <selection activeCell="A44" sqref="A44"/>
    </sheetView>
  </sheetViews>
  <sheetFormatPr defaultColWidth="9.140625" defaultRowHeight="12.75"/>
  <cols>
    <col min="1" max="1" width="65.7109375" style="0" customWidth="1"/>
    <col min="2" max="2" width="19.00390625" style="0" customWidth="1"/>
  </cols>
  <sheetData>
    <row r="2" ht="15">
      <c r="B2" s="313" t="s">
        <v>216</v>
      </c>
    </row>
    <row r="3" ht="15.75">
      <c r="A3" s="47"/>
    </row>
    <row r="4" spans="1:2" ht="15.75">
      <c r="A4" s="1042" t="s">
        <v>217</v>
      </c>
      <c r="B4" s="1042"/>
    </row>
    <row r="5" ht="15.75">
      <c r="A5" s="47"/>
    </row>
    <row r="6" ht="12.75">
      <c r="B6" s="49" t="s">
        <v>218</v>
      </c>
    </row>
    <row r="7" spans="1:2" ht="15.75">
      <c r="A7" s="314" t="s">
        <v>219</v>
      </c>
      <c r="B7" s="315" t="s">
        <v>220</v>
      </c>
    </row>
    <row r="8" spans="1:2" ht="12.75">
      <c r="A8" s="316"/>
      <c r="B8" s="317" t="s">
        <v>39</v>
      </c>
    </row>
    <row r="9" spans="1:2" ht="12.75">
      <c r="A9" s="318" t="s">
        <v>221</v>
      </c>
      <c r="B9" s="260"/>
    </row>
    <row r="10" spans="1:2" ht="12.75">
      <c r="A10" s="109" t="s">
        <v>222</v>
      </c>
      <c r="B10" s="57">
        <v>1000</v>
      </c>
    </row>
    <row r="11" spans="1:2" ht="12.75">
      <c r="A11" s="252"/>
      <c r="B11" s="57"/>
    </row>
    <row r="12" spans="1:2" s="112" customFormat="1" ht="12.75">
      <c r="A12" s="318" t="s">
        <v>223</v>
      </c>
      <c r="B12" s="319">
        <f>SUM(B10:B11)</f>
        <v>1000</v>
      </c>
    </row>
    <row r="13" spans="1:2" ht="12.75">
      <c r="A13" s="252"/>
      <c r="B13" s="85"/>
    </row>
    <row r="14" spans="1:2" ht="12.75">
      <c r="A14" s="318" t="s">
        <v>224</v>
      </c>
      <c r="B14" s="319"/>
    </row>
    <row r="15" spans="1:2" ht="12.75">
      <c r="A15" s="109" t="s">
        <v>225</v>
      </c>
      <c r="B15" s="57">
        <v>5000</v>
      </c>
    </row>
    <row r="16" spans="1:2" ht="12.75">
      <c r="A16" s="109"/>
      <c r="B16" s="57"/>
    </row>
    <row r="17" spans="1:2" ht="12.75">
      <c r="A17" s="109"/>
      <c r="B17" s="57"/>
    </row>
    <row r="18" spans="1:2" ht="12.75">
      <c r="A18" s="318" t="s">
        <v>226</v>
      </c>
      <c r="B18" s="319">
        <f>SUM(B15:B16)</f>
        <v>5000</v>
      </c>
    </row>
    <row r="19" spans="1:2" ht="12.75">
      <c r="A19" s="109"/>
      <c r="B19" s="57"/>
    </row>
    <row r="20" spans="1:2" ht="12.75">
      <c r="A20" s="109"/>
      <c r="B20" s="57"/>
    </row>
    <row r="21" spans="1:2" ht="12.75">
      <c r="A21" s="320"/>
      <c r="B21" s="98"/>
    </row>
    <row r="22" spans="1:2" ht="12.75">
      <c r="A22" s="62" t="s">
        <v>227</v>
      </c>
      <c r="B22" s="63">
        <f>B12+B18</f>
        <v>6000</v>
      </c>
    </row>
    <row r="25" ht="12.75">
      <c r="B25" t="s">
        <v>228</v>
      </c>
    </row>
    <row r="27" spans="1:2" ht="12.75">
      <c r="A27" s="1049" t="s">
        <v>229</v>
      </c>
      <c r="B27" s="1049"/>
    </row>
    <row r="30" ht="12.75">
      <c r="B30" t="s">
        <v>218</v>
      </c>
    </row>
    <row r="31" spans="1:2" ht="30.75" customHeight="1">
      <c r="A31" s="321" t="s">
        <v>219</v>
      </c>
      <c r="B31" s="322" t="s">
        <v>180</v>
      </c>
    </row>
    <row r="32" spans="1:2" ht="12.75">
      <c r="A32" s="323"/>
      <c r="B32" s="324"/>
    </row>
    <row r="33" spans="1:2" ht="12.75">
      <c r="A33" s="323"/>
      <c r="B33" s="324"/>
    </row>
    <row r="34" spans="1:2" ht="12.75">
      <c r="A34" s="323"/>
      <c r="B34" s="324"/>
    </row>
    <row r="35" spans="1:2" ht="12.75">
      <c r="A35" s="325"/>
      <c r="B35" s="326"/>
    </row>
    <row r="36" spans="1:2" ht="12.75">
      <c r="A36" s="327" t="s">
        <v>230</v>
      </c>
      <c r="B36" s="328">
        <v>0</v>
      </c>
    </row>
    <row r="37" spans="1:2" ht="12.75">
      <c r="A37" s="329"/>
      <c r="B37" s="330"/>
    </row>
    <row r="38" spans="1:2" ht="12.75">
      <c r="A38" s="323" t="s">
        <v>179</v>
      </c>
      <c r="B38" s="324"/>
    </row>
    <row r="39" spans="1:2" ht="12.75">
      <c r="A39" s="323" t="s">
        <v>231</v>
      </c>
      <c r="B39" s="331">
        <v>1500</v>
      </c>
    </row>
    <row r="40" spans="1:2" ht="12.75">
      <c r="A40" s="325" t="s">
        <v>232</v>
      </c>
      <c r="B40" s="332"/>
    </row>
    <row r="41" spans="1:2" ht="12.75">
      <c r="A41" s="327" t="s">
        <v>233</v>
      </c>
      <c r="B41" s="333">
        <f>SUM(B39:B40)</f>
        <v>1500</v>
      </c>
    </row>
    <row r="42" spans="1:2" ht="12.75">
      <c r="A42" s="329"/>
      <c r="B42" s="330"/>
    </row>
    <row r="43" spans="1:2" ht="12.75">
      <c r="A43" s="325"/>
      <c r="B43" s="326"/>
    </row>
    <row r="44" spans="1:2" ht="12.75">
      <c r="A44" s="327" t="s">
        <v>234</v>
      </c>
      <c r="B44" s="333">
        <f>B36+B41</f>
        <v>1500</v>
      </c>
    </row>
  </sheetData>
  <sheetProtection/>
  <mergeCells count="2">
    <mergeCell ref="A4:B4"/>
    <mergeCell ref="A27:B27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31">
      <selection activeCell="A46" sqref="A46"/>
    </sheetView>
  </sheetViews>
  <sheetFormatPr defaultColWidth="9.140625" defaultRowHeight="12.75"/>
  <cols>
    <col min="1" max="1" width="39.57421875" style="0" customWidth="1"/>
    <col min="2" max="3" width="14.421875" style="0" customWidth="1"/>
    <col min="4" max="4" width="16.421875" style="0" customWidth="1"/>
  </cols>
  <sheetData>
    <row r="1" spans="1:4" ht="14.25">
      <c r="A1" s="1043" t="s">
        <v>235</v>
      </c>
      <c r="B1" s="1043"/>
      <c r="C1" s="1043"/>
      <c r="D1" s="1043"/>
    </row>
    <row r="2" spans="1:4" ht="15.75">
      <c r="A2" s="1042" t="s">
        <v>236</v>
      </c>
      <c r="B2" s="1042"/>
      <c r="C2" s="1042"/>
      <c r="D2" s="1042"/>
    </row>
    <row r="3" ht="12.75">
      <c r="D3" s="49" t="s">
        <v>33</v>
      </c>
    </row>
    <row r="4" spans="1:4" ht="15.75">
      <c r="A4" s="334" t="s">
        <v>237</v>
      </c>
      <c r="B4" s="51" t="s">
        <v>35</v>
      </c>
      <c r="C4" s="51" t="s">
        <v>238</v>
      </c>
      <c r="D4" s="335" t="s">
        <v>220</v>
      </c>
    </row>
    <row r="5" spans="1:4" ht="12.75">
      <c r="A5" s="336"/>
      <c r="B5" s="53" t="s">
        <v>39</v>
      </c>
      <c r="C5" s="53" t="s">
        <v>39</v>
      </c>
      <c r="D5" s="337" t="s">
        <v>39</v>
      </c>
    </row>
    <row r="6" spans="1:4" ht="15.75">
      <c r="A6" s="128" t="s">
        <v>239</v>
      </c>
      <c r="B6" s="338">
        <f>B7+B8</f>
        <v>25160</v>
      </c>
      <c r="C6" s="339">
        <f>C7+C8</f>
        <v>1354882</v>
      </c>
      <c r="D6" s="339">
        <f>D7+D8</f>
        <v>1380042</v>
      </c>
    </row>
    <row r="7" spans="1:4" ht="15.75">
      <c r="A7" s="340" t="s">
        <v>240</v>
      </c>
      <c r="B7" s="341">
        <f>'2_a_d_sz_ melléklet'!B11</f>
        <v>25160</v>
      </c>
      <c r="C7" s="341">
        <f>'2_a_d_sz_ melléklet'!C11</f>
        <v>203187</v>
      </c>
      <c r="D7" s="342">
        <f>SUM(B7:C7)</f>
        <v>228347</v>
      </c>
    </row>
    <row r="8" spans="1:4" s="101" customFormat="1" ht="15.75">
      <c r="A8" s="343" t="s">
        <v>241</v>
      </c>
      <c r="B8" s="344">
        <f>B9+B10+B11+B12</f>
        <v>0</v>
      </c>
      <c r="C8" s="345">
        <f>C9+C10+C11+C12</f>
        <v>1151695</v>
      </c>
      <c r="D8" s="345">
        <f>D9+D10+D11+D12</f>
        <v>1151695</v>
      </c>
    </row>
    <row r="9" spans="1:4" ht="15.75">
      <c r="A9" s="346" t="s">
        <v>242</v>
      </c>
      <c r="B9" s="347">
        <v>0</v>
      </c>
      <c r="C9" s="348">
        <f>'2_a_d_sz_ melléklet'!B34</f>
        <v>623000</v>
      </c>
      <c r="D9" s="349">
        <f>SUM(C9)</f>
        <v>623000</v>
      </c>
    </row>
    <row r="10" spans="1:4" ht="15.75">
      <c r="A10" s="350" t="s">
        <v>243</v>
      </c>
      <c r="B10" s="347">
        <v>0</v>
      </c>
      <c r="C10" s="351">
        <f>'2_a_d_sz_ melléklet'!B49</f>
        <v>499178</v>
      </c>
      <c r="D10" s="352">
        <f>SUM(C10)</f>
        <v>499178</v>
      </c>
    </row>
    <row r="11" spans="1:4" ht="15.75">
      <c r="A11" s="350" t="s">
        <v>244</v>
      </c>
      <c r="B11" s="347">
        <v>0</v>
      </c>
      <c r="C11" s="351">
        <f>'2_a_d_sz_ melléklet'!B35</f>
        <v>5000</v>
      </c>
      <c r="D11" s="352">
        <f>SUM(C11)</f>
        <v>5000</v>
      </c>
    </row>
    <row r="12" spans="1:4" ht="15.75">
      <c r="A12" s="353" t="s">
        <v>245</v>
      </c>
      <c r="B12" s="354">
        <v>0</v>
      </c>
      <c r="C12" s="355">
        <f>'2_a_d_sz_ melléklet'!B36</f>
        <v>24517</v>
      </c>
      <c r="D12" s="356">
        <f>SUM(C12)</f>
        <v>24517</v>
      </c>
    </row>
    <row r="13" spans="1:4" ht="15.75">
      <c r="A13" s="128" t="s">
        <v>246</v>
      </c>
      <c r="B13" s="357">
        <f>B14+B20+B25</f>
        <v>269073</v>
      </c>
      <c r="C13" s="358">
        <f>C14+C20+C25</f>
        <v>2088594.9946666667</v>
      </c>
      <c r="D13" s="359">
        <f>SUM(B13:C13)</f>
        <v>2357667.9946666667</v>
      </c>
    </row>
    <row r="14" spans="1:4" s="101" customFormat="1" ht="15.75">
      <c r="A14" s="340" t="s">
        <v>247</v>
      </c>
      <c r="B14" s="341">
        <f>B15+B16+B17+B18+B19</f>
        <v>0</v>
      </c>
      <c r="C14" s="341">
        <f>C15+C16+C17+C18+C19</f>
        <v>1591618.9946666667</v>
      </c>
      <c r="D14" s="341">
        <f aca="true" t="shared" si="0" ref="D14:D19">SUM(C14)</f>
        <v>1591618.9946666667</v>
      </c>
    </row>
    <row r="15" spans="1:4" ht="15.75">
      <c r="A15" s="360" t="s">
        <v>248</v>
      </c>
      <c r="B15" s="347">
        <v>0</v>
      </c>
      <c r="C15" s="347">
        <f>'2 _e_1_sz_melléklet'!B107</f>
        <v>1011820.2976666667</v>
      </c>
      <c r="D15" s="347">
        <f t="shared" si="0"/>
        <v>1011820.2976666667</v>
      </c>
    </row>
    <row r="16" spans="1:4" ht="15.75">
      <c r="A16" s="361" t="s">
        <v>249</v>
      </c>
      <c r="B16" s="347">
        <v>0</v>
      </c>
      <c r="C16" s="354">
        <f>'2_f_h_sz_ melléklet'!D19</f>
        <v>0</v>
      </c>
      <c r="D16" s="347">
        <f t="shared" si="0"/>
        <v>0</v>
      </c>
    </row>
    <row r="17" spans="1:4" ht="15.75">
      <c r="A17" s="362" t="s">
        <v>250</v>
      </c>
      <c r="B17" s="363">
        <v>0</v>
      </c>
      <c r="C17" s="363">
        <f>'2_f_h_sz_ melléklet'!D20</f>
        <v>314650</v>
      </c>
      <c r="D17" s="347">
        <f t="shared" si="0"/>
        <v>314650</v>
      </c>
    </row>
    <row r="18" spans="1:4" ht="15.75">
      <c r="A18" s="364" t="s">
        <v>251</v>
      </c>
      <c r="B18" s="347">
        <v>0</v>
      </c>
      <c r="C18" s="347">
        <f>'2 _e_1_sz_melléklet'!B132</f>
        <v>265148.69700000004</v>
      </c>
      <c r="D18" s="347">
        <f t="shared" si="0"/>
        <v>265148.69700000004</v>
      </c>
    </row>
    <row r="19" spans="1:4" ht="15.75">
      <c r="A19" s="365" t="s">
        <v>252</v>
      </c>
      <c r="B19" s="366">
        <v>0</v>
      </c>
      <c r="C19" s="366">
        <f>'2_f_h_sz_ melléklet'!D36</f>
        <v>0</v>
      </c>
      <c r="D19" s="347">
        <f t="shared" si="0"/>
        <v>0</v>
      </c>
    </row>
    <row r="20" spans="1:4" s="101" customFormat="1" ht="15.75">
      <c r="A20" s="340" t="s">
        <v>253</v>
      </c>
      <c r="B20" s="341">
        <f>B21+B23</f>
        <v>269073</v>
      </c>
      <c r="C20" s="341">
        <f>C21+C23</f>
        <v>496976</v>
      </c>
      <c r="D20" s="341">
        <f>D21+D23</f>
        <v>766049</v>
      </c>
    </row>
    <row r="21" spans="1:4" ht="15.75">
      <c r="A21" s="367" t="s">
        <v>254</v>
      </c>
      <c r="B21" s="347">
        <f>'2_f_h_sz_ melléklet'!B64</f>
        <v>269073</v>
      </c>
      <c r="C21" s="347">
        <f>'2_f_h_sz_ melléklet'!C70</f>
        <v>134477</v>
      </c>
      <c r="D21" s="347">
        <f>SUM(B21:C21)</f>
        <v>403550</v>
      </c>
    </row>
    <row r="22" spans="1:4" ht="15.75">
      <c r="A22" s="116" t="s">
        <v>255</v>
      </c>
      <c r="B22" s="354">
        <f>'2_k_ sz_ melléklet'!D18</f>
        <v>266650</v>
      </c>
      <c r="C22" s="354">
        <f>'2_k_ sz_ melléklet'!B64</f>
        <v>1501</v>
      </c>
      <c r="D22" s="347">
        <f>SUM(B22:C22)</f>
        <v>268151</v>
      </c>
    </row>
    <row r="23" spans="1:4" ht="15.75">
      <c r="A23" s="116" t="s">
        <v>256</v>
      </c>
      <c r="B23" s="363">
        <f>'2_f_h_sz_ melléklet'!B88</f>
        <v>0</v>
      </c>
      <c r="C23" s="363">
        <f>'2_f_h_sz_ melléklet'!C88</f>
        <v>362499</v>
      </c>
      <c r="D23" s="363">
        <f>SUM(B23:C23)</f>
        <v>362499</v>
      </c>
    </row>
    <row r="24" spans="1:4" ht="15.75">
      <c r="A24" s="368" t="s">
        <v>255</v>
      </c>
      <c r="B24" s="369"/>
      <c r="C24" s="369"/>
      <c r="D24" s="369"/>
    </row>
    <row r="25" spans="1:4" s="101" customFormat="1" ht="15.75">
      <c r="A25" s="370" t="s">
        <v>257</v>
      </c>
      <c r="B25" s="341">
        <v>0</v>
      </c>
      <c r="C25" s="341">
        <v>0</v>
      </c>
      <c r="D25" s="342">
        <v>0</v>
      </c>
    </row>
    <row r="26" spans="1:4" s="112" customFormat="1" ht="15.75">
      <c r="A26" s="128" t="s">
        <v>258</v>
      </c>
      <c r="B26" s="338">
        <f>B27+B28+B30+B32</f>
        <v>14000</v>
      </c>
      <c r="C26" s="338">
        <f>C27+C29+C30+C32</f>
        <v>393985</v>
      </c>
      <c r="D26" s="338">
        <f>D27+D29+D30+D32</f>
        <v>407985</v>
      </c>
    </row>
    <row r="27" spans="1:4" ht="15.75">
      <c r="A27" s="135" t="s">
        <v>259</v>
      </c>
      <c r="B27" s="366">
        <f>'2_i_j_sz_ mell_'!C20</f>
        <v>0</v>
      </c>
      <c r="C27" s="366">
        <f>'2_i_j_sz_ mell_'!D20</f>
        <v>0</v>
      </c>
      <c r="D27" s="366">
        <f>'2_i_j_sz_ mell_'!E20</f>
        <v>0</v>
      </c>
    </row>
    <row r="28" spans="1:4" ht="15.75">
      <c r="A28" s="371" t="s">
        <v>260</v>
      </c>
      <c r="B28" s="356"/>
      <c r="C28" s="356"/>
      <c r="D28" s="356"/>
    </row>
    <row r="29" spans="1:4" ht="15.75">
      <c r="A29" s="372" t="s">
        <v>261</v>
      </c>
      <c r="B29" s="349">
        <v>0</v>
      </c>
      <c r="C29" s="349">
        <f>'2_i_j_sz_ mell_'!E34</f>
        <v>195918</v>
      </c>
      <c r="D29" s="349">
        <f>SUM(C29)</f>
        <v>195918</v>
      </c>
    </row>
    <row r="30" spans="1:4" ht="15.75">
      <c r="A30" s="110" t="s">
        <v>262</v>
      </c>
      <c r="B30" s="366">
        <v>0</v>
      </c>
      <c r="C30" s="363">
        <f>'2_i_j_sz_ mell_'!E46</f>
        <v>198067</v>
      </c>
      <c r="D30" s="363">
        <f>SUM(C30)</f>
        <v>198067</v>
      </c>
    </row>
    <row r="31" spans="1:4" ht="15.75">
      <c r="A31" s="373" t="s">
        <v>263</v>
      </c>
      <c r="B31" s="356"/>
      <c r="C31" s="356"/>
      <c r="D31" s="356"/>
    </row>
    <row r="32" spans="1:4" ht="15.75">
      <c r="A32" s="374" t="s">
        <v>264</v>
      </c>
      <c r="B32" s="375">
        <f>'2_i_j_sz_ mell_'!C67</f>
        <v>14000</v>
      </c>
      <c r="C32" s="375">
        <f>'2_i_j_sz_ mell_'!D59</f>
        <v>0</v>
      </c>
      <c r="D32" s="375">
        <f>SUM(B32:C32)</f>
        <v>14000</v>
      </c>
    </row>
    <row r="33" spans="1:4" s="112" customFormat="1" ht="28.5" customHeight="1">
      <c r="A33" s="287" t="s">
        <v>265</v>
      </c>
      <c r="B33" s="338">
        <f>B34+B35+B36</f>
        <v>0</v>
      </c>
      <c r="C33" s="338">
        <f>C34+C35+C36</f>
        <v>4198</v>
      </c>
      <c r="D33" s="338">
        <f>D34+D35+D36</f>
        <v>4198</v>
      </c>
    </row>
    <row r="34" spans="1:4" ht="15.75">
      <c r="A34" s="376" t="s">
        <v>266</v>
      </c>
      <c r="B34" s="377">
        <v>0</v>
      </c>
      <c r="C34" s="378">
        <f>'2_i_j_sz_ mell_'!E79</f>
        <v>108</v>
      </c>
      <c r="D34" s="377">
        <f>SUM(B34:C34)</f>
        <v>108</v>
      </c>
    </row>
    <row r="35" spans="1:4" ht="15.75">
      <c r="A35" s="110" t="s">
        <v>267</v>
      </c>
      <c r="B35" s="363">
        <v>0</v>
      </c>
      <c r="C35" s="351">
        <f>'2_i_j_sz_ mell_'!E80</f>
        <v>4090</v>
      </c>
      <c r="D35" s="363">
        <f>SUM(B35:C35)</f>
        <v>4090</v>
      </c>
    </row>
    <row r="36" spans="1:4" ht="15.75">
      <c r="A36" s="110" t="s">
        <v>268</v>
      </c>
      <c r="B36" s="347">
        <v>0</v>
      </c>
      <c r="C36" s="379">
        <v>0</v>
      </c>
      <c r="D36" s="369">
        <f>SUM(B36:C36)</f>
        <v>0</v>
      </c>
    </row>
    <row r="37" spans="1:4" ht="33" customHeight="1">
      <c r="A37" s="380" t="s">
        <v>269</v>
      </c>
      <c r="B37" s="381">
        <f>B39+B33+B26+B13+B6</f>
        <v>308233</v>
      </c>
      <c r="C37" s="381">
        <f>C39+C33+C26+C13+C6</f>
        <v>3841659.9946666667</v>
      </c>
      <c r="D37" s="381">
        <f>D39+D33+D26+D13+D6</f>
        <v>4149892.9946666667</v>
      </c>
    </row>
    <row r="38" spans="1:4" ht="16.5" customHeight="1">
      <c r="A38" s="380"/>
      <c r="B38" s="381"/>
      <c r="C38" s="382"/>
      <c r="D38" s="381"/>
    </row>
    <row r="39" spans="1:4" s="112" customFormat="1" ht="15.75">
      <c r="A39" s="128" t="s">
        <v>23</v>
      </c>
      <c r="B39" s="338">
        <f aca="true" t="shared" si="1" ref="B39:D40">B40+B41</f>
        <v>0</v>
      </c>
      <c r="C39" s="339">
        <f t="shared" si="1"/>
        <v>0</v>
      </c>
      <c r="D39" s="338">
        <f t="shared" si="1"/>
        <v>0</v>
      </c>
    </row>
    <row r="40" spans="1:4" ht="15.75">
      <c r="A40" s="383" t="s">
        <v>270</v>
      </c>
      <c r="B40" s="377">
        <f t="shared" si="1"/>
        <v>0</v>
      </c>
      <c r="C40" s="384">
        <f t="shared" si="1"/>
        <v>0</v>
      </c>
      <c r="D40" s="384">
        <f t="shared" si="1"/>
        <v>0</v>
      </c>
    </row>
    <row r="41" spans="1:4" ht="15.75">
      <c r="A41" s="110" t="s">
        <v>271</v>
      </c>
      <c r="B41" s="363">
        <v>0</v>
      </c>
      <c r="C41" s="363">
        <v>0</v>
      </c>
      <c r="D41" s="363">
        <v>0</v>
      </c>
    </row>
    <row r="42" spans="1:4" ht="15.75" customHeight="1">
      <c r="A42" s="231" t="s">
        <v>272</v>
      </c>
      <c r="B42" s="369"/>
      <c r="C42" s="369"/>
      <c r="D42" s="385"/>
    </row>
    <row r="43" spans="1:4" s="112" customFormat="1" ht="15.75">
      <c r="A43" s="240" t="s">
        <v>273</v>
      </c>
      <c r="B43" s="386">
        <f>B44+B45</f>
        <v>0</v>
      </c>
      <c r="C43" s="387">
        <f>C44+C45</f>
        <v>298284.0053333333</v>
      </c>
      <c r="D43" s="387">
        <f>D44+D45</f>
        <v>298284.0053333333</v>
      </c>
    </row>
    <row r="44" spans="1:4" ht="15.75">
      <c r="A44" s="388" t="s">
        <v>274</v>
      </c>
      <c r="B44" s="377">
        <v>0</v>
      </c>
      <c r="C44" s="389">
        <f>'7_sz_ melléklet'!B25</f>
        <v>298284.0053333333</v>
      </c>
      <c r="D44" s="390">
        <f>SUM(B44:C44)</f>
        <v>298284.0053333333</v>
      </c>
    </row>
    <row r="45" spans="1:4" ht="15.75">
      <c r="A45" s="109" t="s">
        <v>275</v>
      </c>
      <c r="B45" s="347">
        <f>'2_k_ sz_ melléklet'!D40</f>
        <v>0</v>
      </c>
      <c r="C45" s="363">
        <f>'7_sz_ melléklet'!B49</f>
        <v>0</v>
      </c>
      <c r="D45" s="391">
        <f>SUM(B45:C45)</f>
        <v>0</v>
      </c>
    </row>
    <row r="46" spans="1:4" s="112" customFormat="1" ht="15.75">
      <c r="A46" s="111" t="s">
        <v>276</v>
      </c>
      <c r="B46" s="381">
        <f>B43+B37</f>
        <v>308233</v>
      </c>
      <c r="C46" s="381">
        <f>C43+C37</f>
        <v>4139944</v>
      </c>
      <c r="D46" s="382">
        <f>D43+D37</f>
        <v>4448177</v>
      </c>
    </row>
  </sheetData>
  <sheetProtection/>
  <mergeCells count="2">
    <mergeCell ref="A1:D1"/>
    <mergeCell ref="A2:D2"/>
  </mergeCells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3.00390625" style="0" customWidth="1"/>
    <col min="4" max="4" width="13.8515625" style="0" customWidth="1"/>
  </cols>
  <sheetData>
    <row r="1" spans="1:4" ht="15">
      <c r="A1" s="1054" t="s">
        <v>277</v>
      </c>
      <c r="B1" s="1054"/>
      <c r="C1" s="1054"/>
      <c r="D1" s="1054"/>
    </row>
    <row r="2" spans="3:4" ht="9.75" customHeight="1">
      <c r="C2" s="48"/>
      <c r="D2" s="392" t="s">
        <v>278</v>
      </c>
    </row>
    <row r="3" spans="1:4" ht="15.75">
      <c r="A3" s="1042" t="s">
        <v>279</v>
      </c>
      <c r="B3" s="1042"/>
      <c r="C3" s="1042"/>
      <c r="D3" s="1042"/>
    </row>
    <row r="4" ht="12.75">
      <c r="D4" s="49" t="s">
        <v>33</v>
      </c>
    </row>
    <row r="5" spans="1:4" ht="26.25">
      <c r="A5" s="334" t="s">
        <v>237</v>
      </c>
      <c r="B5" s="393" t="s">
        <v>84</v>
      </c>
      <c r="C5" s="394" t="s">
        <v>280</v>
      </c>
      <c r="D5" s="394" t="s">
        <v>180</v>
      </c>
    </row>
    <row r="6" spans="1:4" ht="12.75">
      <c r="A6" s="395" t="s">
        <v>281</v>
      </c>
      <c r="B6" s="96">
        <f>'2_k_ sz_ melléklet'!D10</f>
        <v>0</v>
      </c>
      <c r="C6" s="254">
        <f>'2_k_ sz_ melléklet'!D56</f>
        <v>5500</v>
      </c>
      <c r="D6" s="254">
        <f>SUM(B6:C6)</f>
        <v>5500</v>
      </c>
    </row>
    <row r="7" spans="1:4" ht="12.75">
      <c r="A7" s="91" t="s">
        <v>282</v>
      </c>
      <c r="B7" s="96">
        <f>'2_k_ sz_ melléklet'!D11</f>
        <v>24850</v>
      </c>
      <c r="C7" s="255">
        <f>'2_k_ sz_ melléklet'!D57</f>
        <v>157556</v>
      </c>
      <c r="D7" s="255">
        <f>SUM(B7:C7)</f>
        <v>182406</v>
      </c>
    </row>
    <row r="8" spans="1:4" ht="12.75">
      <c r="A8" s="364" t="s">
        <v>283</v>
      </c>
      <c r="B8" s="96">
        <f>'2_k_ sz_ melléklet'!D12</f>
        <v>0</v>
      </c>
      <c r="C8" s="255">
        <f>'2_k_ sz_ melléklet'!D58</f>
        <v>37571</v>
      </c>
      <c r="D8" s="255">
        <f>SUM(B8:C8)</f>
        <v>37571</v>
      </c>
    </row>
    <row r="9" spans="1:4" ht="12.75">
      <c r="A9" s="396" t="s">
        <v>284</v>
      </c>
      <c r="B9" s="96">
        <f>'2_k_ sz_ melléklet'!D13</f>
        <v>310</v>
      </c>
      <c r="C9" s="255">
        <f>'2_k_ sz_ melléklet'!D59</f>
        <v>2160</v>
      </c>
      <c r="D9" s="255">
        <f>SUM(B9:C9)</f>
        <v>2470</v>
      </c>
    </row>
    <row r="10" spans="1:4" ht="12.75">
      <c r="A10" s="364" t="s">
        <v>285</v>
      </c>
      <c r="B10" s="96">
        <f>'2_k_ sz_ melléklet'!D14</f>
        <v>0</v>
      </c>
      <c r="C10" s="397">
        <f>'2_k_ sz_ melléklet'!D60</f>
        <v>400</v>
      </c>
      <c r="D10" s="398">
        <f>C10+B10</f>
        <v>400</v>
      </c>
    </row>
    <row r="11" spans="1:4" ht="12.75">
      <c r="A11" s="111" t="s">
        <v>286</v>
      </c>
      <c r="B11" s="94">
        <f>SUM(B6:B10)</f>
        <v>25160</v>
      </c>
      <c r="C11" s="308">
        <f>SUM(C6:C10)</f>
        <v>203187</v>
      </c>
      <c r="D11" s="63">
        <f>SUM(D6:D10)</f>
        <v>228347</v>
      </c>
    </row>
    <row r="12" spans="1:4" ht="5.25" customHeight="1">
      <c r="A12" s="399"/>
      <c r="B12" s="397"/>
      <c r="C12" s="293"/>
      <c r="D12" s="293"/>
    </row>
    <row r="13" spans="1:4" ht="15">
      <c r="A13" s="1054" t="s">
        <v>287</v>
      </c>
      <c r="B13" s="1054"/>
      <c r="C13" s="1054"/>
      <c r="D13" s="1054"/>
    </row>
    <row r="14" spans="1:4" ht="6.75" customHeight="1">
      <c r="A14" s="399"/>
      <c r="B14" s="55"/>
      <c r="C14" s="104"/>
      <c r="D14" s="104"/>
    </row>
    <row r="15" spans="1:4" ht="15.75">
      <c r="A15" s="1042" t="s">
        <v>288</v>
      </c>
      <c r="B15" s="1042"/>
      <c r="C15" s="1042"/>
      <c r="D15" s="1042"/>
    </row>
    <row r="16" spans="1:4" ht="12.75">
      <c r="A16" s="399"/>
      <c r="B16" s="55"/>
      <c r="D16" s="49" t="s">
        <v>33</v>
      </c>
    </row>
    <row r="17" spans="1:4" ht="26.25">
      <c r="A17" s="400" t="s">
        <v>237</v>
      </c>
      <c r="B17" s="290" t="s">
        <v>84</v>
      </c>
      <c r="C17" s="289" t="s">
        <v>280</v>
      </c>
      <c r="D17" s="290" t="s">
        <v>180</v>
      </c>
    </row>
    <row r="18" spans="1:4" s="101" customFormat="1" ht="12.75">
      <c r="A18" s="135" t="s">
        <v>289</v>
      </c>
      <c r="B18" s="100"/>
      <c r="C18" s="401"/>
      <c r="D18" s="100">
        <f>SUM(B18:C18)</f>
        <v>0</v>
      </c>
    </row>
    <row r="19" spans="1:4" s="101" customFormat="1" ht="12.75">
      <c r="A19" s="91" t="s">
        <v>290</v>
      </c>
      <c r="B19" s="310">
        <v>400</v>
      </c>
      <c r="C19" s="402"/>
      <c r="D19" s="310">
        <f>SUM(B19:C19)</f>
        <v>400</v>
      </c>
    </row>
    <row r="20" spans="1:4" ht="12.75">
      <c r="A20" s="135"/>
      <c r="B20" s="403"/>
      <c r="C20" s="404">
        <v>0</v>
      </c>
      <c r="D20" s="403">
        <f>SUM(B20:C20)</f>
        <v>0</v>
      </c>
    </row>
    <row r="21" spans="1:4" ht="25.5">
      <c r="A21" s="380" t="s">
        <v>288</v>
      </c>
      <c r="B21" s="405">
        <f>SUM(B18:B20)</f>
        <v>400</v>
      </c>
      <c r="C21" s="405">
        <f>SUM(C18:C20)</f>
        <v>0</v>
      </c>
      <c r="D21" s="405">
        <f>SUM(D18:D20)</f>
        <v>400</v>
      </c>
    </row>
    <row r="22" spans="1:4" ht="6.75" customHeight="1">
      <c r="A22" s="399"/>
      <c r="B22" s="55"/>
      <c r="C22" s="55"/>
      <c r="D22" s="55"/>
    </row>
    <row r="23" spans="1:4" ht="15">
      <c r="A23" s="406"/>
      <c r="B23" s="406" t="s">
        <v>291</v>
      </c>
      <c r="D23" s="44"/>
    </row>
    <row r="24" spans="1:4" ht="15.75">
      <c r="A24" s="1042" t="s">
        <v>292</v>
      </c>
      <c r="B24" s="1042"/>
      <c r="C24" s="407"/>
      <c r="D24" s="407"/>
    </row>
    <row r="25" spans="1:4" ht="14.25">
      <c r="A25" s="399"/>
      <c r="B25" s="288" t="s">
        <v>80</v>
      </c>
      <c r="C25" s="407"/>
      <c r="D25" s="407"/>
    </row>
    <row r="26" spans="1:4" ht="15.75">
      <c r="A26" s="408" t="s">
        <v>237</v>
      </c>
      <c r="B26" s="51" t="s">
        <v>220</v>
      </c>
      <c r="C26" s="399"/>
      <c r="D26" s="399"/>
    </row>
    <row r="27" spans="1:4" ht="12.75">
      <c r="A27" s="320"/>
      <c r="B27" s="53" t="s">
        <v>293</v>
      </c>
      <c r="C27" s="399"/>
      <c r="D27" s="399"/>
    </row>
    <row r="28" spans="1:4" ht="12.75">
      <c r="A28" s="90" t="s">
        <v>294</v>
      </c>
      <c r="B28" s="89">
        <v>115000</v>
      </c>
      <c r="C28" s="55"/>
      <c r="D28" s="55"/>
    </row>
    <row r="29" spans="1:4" ht="12.75">
      <c r="A29" s="90" t="s">
        <v>295</v>
      </c>
      <c r="B29" s="68">
        <v>0</v>
      </c>
      <c r="C29" s="55"/>
      <c r="D29" s="55"/>
    </row>
    <row r="30" spans="1:4" ht="12.75">
      <c r="A30" s="90" t="s">
        <v>296</v>
      </c>
      <c r="B30" s="68">
        <v>0</v>
      </c>
      <c r="C30" s="55"/>
      <c r="D30" s="55"/>
    </row>
    <row r="31" spans="1:4" ht="12.75">
      <c r="A31" s="109" t="s">
        <v>297</v>
      </c>
      <c r="B31" s="57">
        <v>18000</v>
      </c>
      <c r="C31" s="55"/>
      <c r="D31" s="55"/>
    </row>
    <row r="32" spans="1:4" ht="26.25" customHeight="1">
      <c r="A32" s="409" t="s">
        <v>298</v>
      </c>
      <c r="B32" s="410">
        <v>490000</v>
      </c>
      <c r="C32" s="411"/>
      <c r="D32" s="411"/>
    </row>
    <row r="33" spans="1:4" ht="25.5" customHeight="1">
      <c r="A33" s="409" t="s">
        <v>299</v>
      </c>
      <c r="B33" s="412"/>
      <c r="C33" s="411"/>
      <c r="D33" s="411"/>
    </row>
    <row r="34" spans="1:4" ht="12.75">
      <c r="A34" s="86" t="s">
        <v>300</v>
      </c>
      <c r="B34" s="260">
        <f>SUM(B28:B33)</f>
        <v>623000</v>
      </c>
      <c r="C34" s="411"/>
      <c r="D34" s="411"/>
    </row>
    <row r="35" spans="1:4" ht="12.75">
      <c r="A35" s="413" t="s">
        <v>301</v>
      </c>
      <c r="B35" s="63">
        <v>5000</v>
      </c>
      <c r="C35" s="55"/>
      <c r="D35" s="55"/>
    </row>
    <row r="36" spans="1:4" ht="12.75">
      <c r="A36" s="414" t="s">
        <v>302</v>
      </c>
      <c r="B36" s="415">
        <v>24517</v>
      </c>
      <c r="C36" s="55"/>
      <c r="D36" s="55"/>
    </row>
    <row r="37" spans="1:4" ht="12.75">
      <c r="A37" s="413" t="s">
        <v>303</v>
      </c>
      <c r="B37" s="416">
        <v>1000</v>
      </c>
      <c r="C37" s="55"/>
      <c r="D37" s="55"/>
    </row>
    <row r="38" spans="1:4" ht="15">
      <c r="A38" s="399"/>
      <c r="B38" s="417" t="s">
        <v>304</v>
      </c>
      <c r="C38" s="55"/>
      <c r="D38" s="55"/>
    </row>
    <row r="39" spans="1:2" ht="15.75">
      <c r="A39" s="1042" t="s">
        <v>305</v>
      </c>
      <c r="B39" s="1042"/>
    </row>
    <row r="40" spans="1:4" ht="14.25">
      <c r="A40" s="399"/>
      <c r="B40" s="55"/>
      <c r="C40" s="407"/>
      <c r="D40" s="407"/>
    </row>
    <row r="41" spans="1:4" ht="14.25">
      <c r="A41" s="399"/>
      <c r="B41" s="288" t="s">
        <v>80</v>
      </c>
      <c r="C41" s="407"/>
      <c r="D41" s="407"/>
    </row>
    <row r="42" spans="1:4" ht="26.25">
      <c r="A42" s="408" t="s">
        <v>237</v>
      </c>
      <c r="B42" s="290" t="s">
        <v>180</v>
      </c>
      <c r="C42" s="407"/>
      <c r="D42" s="407"/>
    </row>
    <row r="43" spans="1:4" ht="12.75">
      <c r="A43" s="383" t="s">
        <v>306</v>
      </c>
      <c r="B43" s="89">
        <v>201551</v>
      </c>
      <c r="C43" s="399"/>
      <c r="D43" s="399"/>
    </row>
    <row r="44" spans="1:4" ht="12.75">
      <c r="A44" s="91" t="s">
        <v>307</v>
      </c>
      <c r="B44" s="68">
        <v>207627</v>
      </c>
      <c r="C44" s="55"/>
      <c r="D44" s="55"/>
    </row>
    <row r="45" spans="1:4" ht="12.75">
      <c r="A45" s="90" t="s">
        <v>308</v>
      </c>
      <c r="B45" s="68"/>
      <c r="C45" s="55"/>
      <c r="D45" s="55"/>
    </row>
    <row r="46" spans="1:4" ht="12.75">
      <c r="A46" s="90" t="s">
        <v>309</v>
      </c>
      <c r="B46" s="68">
        <v>90000</v>
      </c>
      <c r="C46" s="55"/>
      <c r="D46" s="55"/>
    </row>
    <row r="47" spans="1:4" ht="12.75">
      <c r="A47" s="109" t="s">
        <v>310</v>
      </c>
      <c r="B47" s="57">
        <v>0</v>
      </c>
      <c r="C47" s="55"/>
      <c r="D47" s="55"/>
    </row>
    <row r="48" spans="1:4" ht="12.75">
      <c r="A48" s="418" t="s">
        <v>311</v>
      </c>
      <c r="B48" s="398">
        <v>0</v>
      </c>
      <c r="C48" s="55"/>
      <c r="D48" s="55"/>
    </row>
    <row r="49" spans="1:4" ht="12.75">
      <c r="A49" s="111" t="s">
        <v>312</v>
      </c>
      <c r="B49" s="63">
        <f>SUM(B43:B48)</f>
        <v>499178</v>
      </c>
      <c r="C49" s="411"/>
      <c r="D49" s="411"/>
    </row>
    <row r="50" spans="3:4" ht="12.75">
      <c r="C50" s="55"/>
      <c r="D50" s="55"/>
    </row>
  </sheetData>
  <sheetProtection/>
  <mergeCells count="6">
    <mergeCell ref="A1:D1"/>
    <mergeCell ref="A3:D3"/>
    <mergeCell ref="A13:D13"/>
    <mergeCell ref="A15:D15"/>
    <mergeCell ref="A24:B24"/>
    <mergeCell ref="A39:B39"/>
  </mergeCells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Mezőkövesd</cp:lastModifiedBy>
  <dcterms:created xsi:type="dcterms:W3CDTF">2011-02-07T07:31:02Z</dcterms:created>
  <dcterms:modified xsi:type="dcterms:W3CDTF">2011-02-07T07:31:05Z</dcterms:modified>
  <cp:category/>
  <cp:version/>
  <cp:contentType/>
  <cp:contentStatus/>
</cp:coreProperties>
</file>