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1_a_sz_ melléklet" sheetId="2" r:id="rId2"/>
    <sheet name="1_b_sz_melléklet" sheetId="3" r:id="rId3"/>
    <sheet name="1_c_sz_ melléklet" sheetId="4" r:id="rId4"/>
    <sheet name="1_d_sz_melléklet" sheetId="5" r:id="rId5"/>
    <sheet name="1_e_f_sz_melléklet" sheetId="6" r:id="rId6"/>
    <sheet name="1_g_h_sz_melléklet" sheetId="7" r:id="rId7"/>
    <sheet name="2_sz_ melléklet" sheetId="8" r:id="rId8"/>
    <sheet name="2_a_d_sz_ melléklet" sheetId="9" r:id="rId9"/>
    <sheet name="2 _e_1_sz_melléklet" sheetId="10" r:id="rId10"/>
    <sheet name="2_f_h_sz_ melléklet" sheetId="11" r:id="rId11"/>
    <sheet name="2_i_j_sz_ mell_" sheetId="12" r:id="rId12"/>
    <sheet name="2_k_ sz_ melléklet" sheetId="13" r:id="rId13"/>
    <sheet name="2_l_sz_ melléklet" sheetId="14" r:id="rId14"/>
    <sheet name="2_m_n_sz_ melléklet" sheetId="15" r:id="rId15"/>
    <sheet name="3_sz_ melléklet" sheetId="16" r:id="rId16"/>
    <sheet name="4_sz_ melléklet" sheetId="17" r:id="rId17"/>
    <sheet name="5_sz_ melléklet" sheetId="18" r:id="rId18"/>
    <sheet name="6_sz_ melléklet" sheetId="19" r:id="rId19"/>
    <sheet name="7_sz_ melléklet" sheetId="20" r:id="rId20"/>
    <sheet name="8_sz_ melléklet" sheetId="21" r:id="rId21"/>
    <sheet name="9_sz_ melléklet" sheetId="22" r:id="rId22"/>
    <sheet name="10_ sz_ melléklet" sheetId="23" r:id="rId23"/>
    <sheet name="11_sz_ melléklet" sheetId="24" r:id="rId24"/>
    <sheet name="12_sz_ melléklet" sheetId="25" r:id="rId25"/>
    <sheet name="13_sz_ melléklet" sheetId="26" r:id="rId26"/>
    <sheet name="14_15_sz_ melléklet" sheetId="27" r:id="rId27"/>
    <sheet name="16_17_sz_ melléklet" sheetId="28" r:id="rId28"/>
    <sheet name="16A sz melléklet" sheetId="29" r:id="rId29"/>
    <sheet name="18_19_ sz_ melléklet" sheetId="30" r:id="rId30"/>
    <sheet name="20_ sz_ melléklet" sheetId="31" r:id="rId31"/>
    <sheet name="1_ sz_ tájékoztató" sheetId="32" r:id="rId32"/>
    <sheet name="2_ sz_ tájékoztató" sheetId="33" r:id="rId33"/>
    <sheet name="3_ sz_ tájékoztató" sheetId="34" r:id="rId34"/>
    <sheet name="4_ sz_ tájékoztató" sheetId="35" r:id="rId35"/>
    <sheet name="Munka1" sheetId="36" r:id="rId36"/>
  </sheets>
  <externalReferences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<sst xmlns="http://schemas.openxmlformats.org/spreadsheetml/2006/main" count="2349" uniqueCount="1365">
  <si>
    <t>1. sz. melléklet</t>
  </si>
  <si>
    <t>Költségvetés mérlege</t>
  </si>
  <si>
    <t>2010. év</t>
  </si>
  <si>
    <t>BEVÉTEL</t>
  </si>
  <si>
    <t>KIADÁS</t>
  </si>
  <si>
    <t>Megnevezés</t>
  </si>
  <si>
    <t>Előirányzat</t>
  </si>
  <si>
    <t>I. Működési bevételek</t>
  </si>
  <si>
    <t>I. Működési kiadások</t>
  </si>
  <si>
    <t xml:space="preserve">   Ebből: Műk.c.pénzeszk. átv. államházt. kívülről</t>
  </si>
  <si>
    <t>II. Támogatások, támogatás értékű bevételek, visszatérülések</t>
  </si>
  <si>
    <t>II. Felhalmozási kiadások</t>
  </si>
  <si>
    <t>III. Felhalmozási és tőke jellegű bevételek</t>
  </si>
  <si>
    <t>III. Támogatás értékű kiadás államháztartáson belülre</t>
  </si>
  <si>
    <t xml:space="preserve">   Ebből: Felh.c.pénzeszk. átv. államházt. kívülről</t>
  </si>
  <si>
    <t>IV. Támogatási kölcsönök visszatérülése, értékpapírok értékesítésének, kibocsátásának bevétele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</si>
  <si>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</si>
  <si>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</si>
  <si>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</si>
  <si>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</si>
  <si>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</si>
  <si>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Tárgyévi költségvetési bevételek összesen</t>
  </si>
  <si>
    <t>Tárgyévi költségvetési kiadások összesen</t>
  </si>
  <si>
    <t xml:space="preserve">V. Pénzforgalom nélküli bevételek </t>
  </si>
  <si>
    <t xml:space="preserve">      Ebből: -működési célú</t>
  </si>
  <si>
    <t xml:space="preserve">                 -felhalmozási célú</t>
  </si>
  <si>
    <t>VI. Hitelfelvétel</t>
  </si>
  <si>
    <t>VII. Hiteltörlesztés</t>
  </si>
  <si>
    <t xml:space="preserve">                  -felhalmozási célú</t>
  </si>
  <si>
    <t>Bevételek mindösszesen</t>
  </si>
  <si>
    <t>Kiadások mindösszesen</t>
  </si>
  <si>
    <t xml:space="preserve">   1/a. sz. melléklet</t>
  </si>
  <si>
    <t>Az önkormányzat 2010. évi kiadási előirányzatai összesen</t>
  </si>
  <si>
    <t>Ezer Ft-ban</t>
  </si>
  <si>
    <t>KIADÁSOK</t>
  </si>
  <si>
    <t xml:space="preserve">Intézmények </t>
  </si>
  <si>
    <t xml:space="preserve">Polgármesteri </t>
  </si>
  <si>
    <t xml:space="preserve">ÖNKORMÁNYZAT </t>
  </si>
  <si>
    <t>JOGCÍMEI</t>
  </si>
  <si>
    <t>összesen</t>
  </si>
  <si>
    <t>hivatal összesen</t>
  </si>
  <si>
    <t>ÖSSZESEN</t>
  </si>
  <si>
    <t>MŰKÖDÉSI KIADÁSOK</t>
  </si>
  <si>
    <t>1. Személyi juttatás</t>
  </si>
  <si>
    <t>2. Munkaadót terh. járulékok</t>
  </si>
  <si>
    <t>3. Dologi kiadás</t>
  </si>
  <si>
    <t xml:space="preserve">    Ebből: hosszú lej. hitel kamata</t>
  </si>
  <si>
    <t>4. Ellátottak pénzbeli juttatásai</t>
  </si>
  <si>
    <t>5. Speciális célú támogatás</t>
  </si>
  <si>
    <r>
      <t xml:space="preserve">       -</t>
    </r>
    <r>
      <rPr>
        <sz val="10"/>
        <rFont val="Arial CE"/>
        <family val="2"/>
      </rPr>
      <t xml:space="preserve"> Társadalom-, szociálpolitikai kiadás</t>
    </r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</si>
  <si>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</si>
  <si>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</si>
  <si>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</si>
  <si>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</si>
  <si>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</si>
  <si>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 lejáratú hitelek kamata</t>
  </si>
  <si>
    <t xml:space="preserve">II. Felhalmozási kiadás összesen </t>
  </si>
  <si>
    <t>TÁMOGATÁS ÉRTÉKŰ KIADÁS</t>
  </si>
  <si>
    <t xml:space="preserve">1. Működési célú </t>
  </si>
  <si>
    <t xml:space="preserve">2. Felhalmozási célú </t>
  </si>
  <si>
    <t>III. Támogatás értékű kiadás összesen</t>
  </si>
  <si>
    <t>PÉNZESZKÖZ ÁTADÁS ÁH. KÍVÜLRE</t>
  </si>
  <si>
    <t>IV. Pénzeszköz átadás összesen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</si>
  <si>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</si>
  <si>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</si>
  <si>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</si>
  <si>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</si>
  <si>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</si>
  <si>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</si>
  <si>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</si>
  <si>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</si>
  <si>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TÁRGYÉVI KÖLTSÉGVETÉSI KIADÁS ÖSSZESEN</t>
  </si>
  <si>
    <t>HITEL TÖRLESZTÉS</t>
  </si>
  <si>
    <t>Működési célú hitel törlesztés</t>
  </si>
  <si>
    <t>VII. Hiteltörlesztés összesen</t>
  </si>
  <si>
    <t>KIADÁS MINDÖSSZESEN</t>
  </si>
  <si>
    <t>1/b. sz. melléklet</t>
  </si>
  <si>
    <t xml:space="preserve">Önállóan működő és önállóan gazdálkodó intézmények  </t>
  </si>
  <si>
    <t xml:space="preserve">2010. évi költségvetési kiadási előirányzatai  </t>
  </si>
  <si>
    <t xml:space="preserve">Ezer Ft-ban </t>
  </si>
  <si>
    <t>KIADÁSOK  JOGCÍMEI</t>
  </si>
  <si>
    <t>Rendelőintézet</t>
  </si>
  <si>
    <t>Tűzoltóság</t>
  </si>
  <si>
    <t>Intézmények összesen</t>
  </si>
  <si>
    <t xml:space="preserve">    Ebből: hosszú lej. Hitel kam.</t>
  </si>
  <si>
    <t>5. Speciálos célú támogatás</t>
  </si>
  <si>
    <t xml:space="preserve">Ebből: 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</si>
  <si>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</si>
  <si>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</si>
  <si>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</si>
  <si>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</si>
  <si>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</si>
  <si>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</si>
  <si>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</si>
  <si>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</si>
  <si>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</si>
  <si>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</si>
  <si>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</si>
  <si>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>KIADÁS ÖSSZESEN</t>
  </si>
  <si>
    <t>HITELTÖRLESZTÉS</t>
  </si>
  <si>
    <t>Felhalmozási célú hitel törl.</t>
  </si>
  <si>
    <t>KIADÁS MINDÖSSZESEN:</t>
  </si>
  <si>
    <t>1/c. sz. melléklet</t>
  </si>
  <si>
    <t xml:space="preserve">Önállóan működő  intézmények  </t>
  </si>
  <si>
    <t xml:space="preserve">2010. évi költségvetési kiadásielőirányzatai  </t>
  </si>
  <si>
    <t>Város-gondnokság</t>
  </si>
  <si>
    <t>Városi Óvoda-Bölcsőde</t>
  </si>
  <si>
    <t>MÁAMIPSZ</t>
  </si>
  <si>
    <t>Szent L. Gimnázium</t>
  </si>
  <si>
    <t>Széchenyi I. Szakképz.</t>
  </si>
  <si>
    <t xml:space="preserve">    Ebből: felhalm. Hitel kamata</t>
  </si>
  <si>
    <t>4. Hosszúlej. hitelek kamata</t>
  </si>
  <si>
    <t>TÁRGYÉVI KIADÁS ÖSSZESEN</t>
  </si>
  <si>
    <t>VII. Hitel törlesztés</t>
  </si>
  <si>
    <t xml:space="preserve">1/c. sz. melléklet </t>
  </si>
  <si>
    <t xml:space="preserve">Önállóan működő intézmények  </t>
  </si>
  <si>
    <t>KIADÁSOK                     JOGCÍMEI</t>
  </si>
  <si>
    <t>Bayer R. Kollég. És Élelm.Közp</t>
  </si>
  <si>
    <t>Polgári Védelem</t>
  </si>
  <si>
    <t>Részben-önállóan gazdálkodó intézmények mind-összesen</t>
  </si>
  <si>
    <t xml:space="preserve">1/d. sz. melléklet </t>
  </si>
  <si>
    <t xml:space="preserve">                        A polgármesteri hivatal 2010. évi költségvetési kiadási</t>
  </si>
  <si>
    <t xml:space="preserve">   előirányzatai  feladatonként</t>
  </si>
  <si>
    <t>KIADÁSOK JOGCÍMEI</t>
  </si>
  <si>
    <t>Önkorm. Igazg.</t>
  </si>
  <si>
    <t>Adó, kiszab. Beszed. Ell.</t>
  </si>
  <si>
    <t>közbesz. Elj. Lebony.</t>
  </si>
  <si>
    <t xml:space="preserve">   Ebből:felh. hitel kamata</t>
  </si>
  <si>
    <t xml:space="preserve">  Ebből:-Társadalom-, szociálp. kiad.</t>
  </si>
  <si>
    <t>I. Működési kiadás összesen</t>
  </si>
  <si>
    <t xml:space="preserve">III. Támog. értékű kiad. össz. </t>
  </si>
  <si>
    <t xml:space="preserve">2. Felhalmozási célra </t>
  </si>
  <si>
    <t>1. Általános tartalék</t>
  </si>
  <si>
    <t>2. Céltartalék</t>
  </si>
  <si>
    <t>KÖLTSÉGVETÉSI</t>
  </si>
  <si>
    <t>KIADÁSOK ÖSSZESEN:</t>
  </si>
  <si>
    <t>Önkorm. Jogalkotás</t>
  </si>
  <si>
    <t>önkorm. Lakástám.</t>
  </si>
  <si>
    <t>köztemető fenntartás műk.</t>
  </si>
  <si>
    <t>Város. Községgazd.</t>
  </si>
  <si>
    <t xml:space="preserve">   Ebből: felh. Hitel kamata</t>
  </si>
  <si>
    <t>Ebből:-Társadalom-, szociálp. kiad.</t>
  </si>
  <si>
    <t>TÁRGYÉVI KÖLTSÉGVETÉSI</t>
  </si>
  <si>
    <t xml:space="preserve">1/d.. sz. melléklet </t>
  </si>
  <si>
    <t>közcélú fogl.</t>
  </si>
  <si>
    <t>zöldterület kezelés</t>
  </si>
  <si>
    <t>víztermelés kezelés</t>
  </si>
  <si>
    <t>közvilágítás</t>
  </si>
  <si>
    <t xml:space="preserve">   Ebből:felh. Hitel kamata</t>
  </si>
  <si>
    <t xml:space="preserve"> - Ebből:Társadalom-, szociálp. kiad.</t>
  </si>
  <si>
    <t>okt. kieg. Tev+önk. Ifjúsági prog.</t>
  </si>
  <si>
    <t>fogorvosi ügyelet+ iskola eü. Ellátás</t>
  </si>
  <si>
    <t>közutak üzemeltetése + építése</t>
  </si>
  <si>
    <t>segélyek összesen</t>
  </si>
  <si>
    <t>szennyvíz gyűjtés elhelyezés</t>
  </si>
  <si>
    <t>Ebből:felh. Hitel kamata</t>
  </si>
  <si>
    <t>kult rend. +nemzetk. Kapcs.</t>
  </si>
  <si>
    <t>Strandszolg.</t>
  </si>
  <si>
    <t>Ingatlanok bérbeadása + üzemeltetése</t>
  </si>
  <si>
    <t>sportlétesít. Műk. + versenys. Tám</t>
  </si>
  <si>
    <t>Kisebbségi önkorm. Támog.</t>
  </si>
  <si>
    <t xml:space="preserve">    Ebből:felh.hitel kamata</t>
  </si>
  <si>
    <t>Feladatok összesen</t>
  </si>
  <si>
    <r>
      <t>Tartalék</t>
    </r>
    <r>
      <rPr>
        <b/>
        <sz val="10"/>
        <rFont val="Arial"/>
        <family val="2"/>
      </rPr>
      <t xml:space="preserve"> Hiteltörl.</t>
    </r>
  </si>
  <si>
    <t>Szakfelad. összesen</t>
  </si>
  <si>
    <t>PH-hoz tart. Részben önáll.</t>
  </si>
  <si>
    <t>PH. Mind-összesen</t>
  </si>
  <si>
    <t xml:space="preserve">   Ebből:felh.hitel kamata</t>
  </si>
  <si>
    <t>Ebből:- Társadalom-, szociálp. kiad.</t>
  </si>
  <si>
    <t>1/e melléklet</t>
  </si>
  <si>
    <t xml:space="preserve">III. Támogatás értékű kiadás </t>
  </si>
  <si>
    <t>Támogatott megnevezése</t>
  </si>
  <si>
    <t>Intézmények</t>
  </si>
  <si>
    <t>Polgármesteri Hivatal</t>
  </si>
  <si>
    <t>Önkormányzat összesen</t>
  </si>
  <si>
    <t>1. Működési célú összesen</t>
  </si>
  <si>
    <t>Ebből:</t>
  </si>
  <si>
    <t xml:space="preserve">    - Polg.Hiv.Többcélú Kist.Társulásnak</t>
  </si>
  <si>
    <t xml:space="preserve">    - Kisebbségi Önkormányzat-Cigány</t>
  </si>
  <si>
    <t xml:space="preserve">    - Rendelőintézet-Belosztály</t>
  </si>
  <si>
    <t xml:space="preserve">2. Felhalmozási célú összesen </t>
  </si>
  <si>
    <t>Összesen</t>
  </si>
  <si>
    <t>1/f. melléklet</t>
  </si>
  <si>
    <t xml:space="preserve">IV. Pénzeszközátadás államháztartáson kívülre 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</si>
  <si>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</si>
  <si>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</si>
  <si>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</si>
  <si>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KÖZKINCS-TÁR nonprof. Kft.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</si>
  <si>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</si>
  <si>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</si>
  <si>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</si>
  <si>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</si>
  <si>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</si>
  <si>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</si>
  <si>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</si>
  <si>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Könyvkiadás támog.</t>
  </si>
  <si>
    <t xml:space="preserve">          - Örmény Kisebbségi Önk.-Társ. Sz.</t>
  </si>
  <si>
    <t xml:space="preserve">          - Víziközmű társ. Működésére</t>
  </si>
  <si>
    <t xml:space="preserve">          - számlanyitási díj III. ütem</t>
  </si>
  <si>
    <t xml:space="preserve">          - szennyvíz A. támog.</t>
  </si>
  <si>
    <t xml:space="preserve">          - LAKSZÖVnek önk. Ing. után</t>
  </si>
  <si>
    <t>2. Felhalmozási célú összesen</t>
  </si>
  <si>
    <t xml:space="preserve"> Ebből:- Szennyvízcs. alap.tám.nyugati</t>
  </si>
  <si>
    <t xml:space="preserve">          - Víziközmű társ. Hitelkamatra</t>
  </si>
  <si>
    <t xml:space="preserve">          - Szennyvíz A. támog. 1 havi LTp</t>
  </si>
  <si>
    <t xml:space="preserve">          - Lakásépítés támogatása</t>
  </si>
  <si>
    <t xml:space="preserve">          - MSE támogatása(sportp.hit.kam)</t>
  </si>
  <si>
    <t xml:space="preserve">          -LAKSZÖVnek önk. lakásra</t>
  </si>
  <si>
    <t xml:space="preserve">      1/g. sz. melléklet</t>
  </si>
  <si>
    <t xml:space="preserve">V. Kölcsön nyújtása   </t>
  </si>
  <si>
    <t xml:space="preserve">                Ezer Ft-ban </t>
  </si>
  <si>
    <t xml:space="preserve">KIADÁSOK JOGCÍMEI </t>
  </si>
  <si>
    <t>Önkormányzat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</si>
  <si>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</si>
  <si>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</si>
  <si>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</si>
  <si>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</si>
  <si>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</si>
  <si>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</si>
  <si>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</si>
  <si>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sz. melléklet</t>
  </si>
  <si>
    <t>II/3 Pénzügyi befektetés</t>
  </si>
  <si>
    <t>Intézmények összesen:</t>
  </si>
  <si>
    <t xml:space="preserve">       -VG Rt. részvény vásárlása</t>
  </si>
  <si>
    <t xml:space="preserve">       -OTP tőkegarantált pénzpiaci alapok</t>
  </si>
  <si>
    <t>Összesen:</t>
  </si>
  <si>
    <t>ÖNKORMÁNYZAT ÖSSZESEN</t>
  </si>
  <si>
    <t xml:space="preserve">                  2.sz. melléklet</t>
  </si>
  <si>
    <t xml:space="preserve">     Az önkormányzat 2010. évi bevételi előirányzatai összesen</t>
  </si>
  <si>
    <t xml:space="preserve">  BEVÉTELEK JOGCÍMEI</t>
  </si>
  <si>
    <t>Polg.m.hivat.</t>
  </si>
  <si>
    <t xml:space="preserve">I. Működési bevételek (1+2) </t>
  </si>
  <si>
    <t>1. Intézményi működési bevételek</t>
  </si>
  <si>
    <t>2. Önkorm.sajátos működési bev(2.1..+2.4)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</si>
  <si>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</si>
  <si>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</si>
  <si>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</si>
  <si>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</si>
  <si>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>II.Támogatások, támog.ért.bev.  Visszatér.</t>
  </si>
  <si>
    <t xml:space="preserve">1.1. Normatív támogatások </t>
  </si>
  <si>
    <t xml:space="preserve">1.2. Központosított előirányzatok </t>
  </si>
  <si>
    <t xml:space="preserve">1.3. Egyes jövedelempótló támogatások </t>
  </si>
  <si>
    <t>1.4. Normatív kötött felhasználású támogatások</t>
  </si>
  <si>
    <t xml:space="preserve">1.5. Fejlesztési célú támogatások </t>
  </si>
  <si>
    <t xml:space="preserve">2. Támogatás értékű bevételek (2.1.+2.2) </t>
  </si>
  <si>
    <t>2.1. Működési célú támog. értékű átvétel</t>
  </si>
  <si>
    <t xml:space="preserve">      Ebből: Társad. Bizt. Alapból átvett</t>
  </si>
  <si>
    <t>2.2. Felhalmozási célú támog. értékű bevétel</t>
  </si>
  <si>
    <t xml:space="preserve">3. Kiegészítések, visszatérülések </t>
  </si>
  <si>
    <t>III. Felhalmozási és tőke jellegű bev.(1+..4)</t>
  </si>
  <si>
    <t>1. Tárgyi eszközök, immat. javak értékesítése</t>
  </si>
  <si>
    <t xml:space="preserve">2. Önkormányzatok sajátos felhalmozási </t>
  </si>
  <si>
    <t xml:space="preserve">    és tőke jellegű bevételei </t>
  </si>
  <si>
    <t xml:space="preserve">3. Pénzügyi befektetés bevételei </t>
  </si>
  <si>
    <t xml:space="preserve">4. Felhalmozási célú pénzeszköz átvétel </t>
  </si>
  <si>
    <t xml:space="preserve">    államháztartáson kívülről </t>
  </si>
  <si>
    <t xml:space="preserve">   IV. Támogatási kölcs. Visszatér. értékpapír ért. Kibocs. bevétele (1…+3)</t>
  </si>
  <si>
    <t>1. Működési célú kölcsön visszatérülése</t>
  </si>
  <si>
    <t>2. Felhalmozási célú kölcsön visszatérülése</t>
  </si>
  <si>
    <t xml:space="preserve">3. Értékpapírok értékesítése, kötvény kibocs. </t>
  </si>
  <si>
    <t xml:space="preserve">1. Előző évi pénzmaradvány igénybevétele </t>
  </si>
  <si>
    <t xml:space="preserve">       Ebből: működési célú</t>
  </si>
  <si>
    <t xml:space="preserve">                  felhalmozási célú</t>
  </si>
  <si>
    <t xml:space="preserve">VI. Hitelek (1+2) </t>
  </si>
  <si>
    <t xml:space="preserve">1. Működési célú hitel igénybevétele </t>
  </si>
  <si>
    <t xml:space="preserve">2. Fejlesztési célú hitel igénybevétele 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</si>
  <si>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</si>
  <si>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</si>
  <si>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</si>
  <si>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</si>
  <si>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>Polg.m.hivat. Összesen</t>
  </si>
  <si>
    <t>1.1. Hatósági jogkörhöz köthető működési bevételek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</si>
  <si>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</si>
  <si>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</si>
  <si>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</si>
  <si>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</si>
  <si>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</si>
  <si>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</si>
  <si>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</si>
  <si>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2/c. sz. melléklet</t>
  </si>
  <si>
    <t xml:space="preserve">          I/2.1. Helyi adó bevételek részletezése </t>
  </si>
  <si>
    <t xml:space="preserve">összesen </t>
  </si>
  <si>
    <t>2.1.1. Építményadó</t>
  </si>
  <si>
    <t xml:space="preserve">2.1.2. Vállalkozók kommunális adója </t>
  </si>
  <si>
    <t>2.1.3. Magánszemélyek kommunális adója</t>
  </si>
  <si>
    <t>2.1.4. Idegenforgalmi adó tartózkodás után</t>
  </si>
  <si>
    <t>2.1.5. Iparűzési adó állandó jelleggel végzett iparűzési     tevékenység után</t>
  </si>
  <si>
    <t>2.1.6. Iparűzési adó ideiglenes jelleggel végzett iparűzési tevékenység után (napi átalány)</t>
  </si>
  <si>
    <t xml:space="preserve">I./2.1. Helyi adó bevételek összesen </t>
  </si>
  <si>
    <t>I./2.3.Pótlékok, bírságok</t>
  </si>
  <si>
    <t>I./2.4. Egyéb sajátos bevételek</t>
  </si>
  <si>
    <t xml:space="preserve">          ebből:talajterh. Díj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</si>
  <si>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</si>
  <si>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</si>
  <si>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</si>
  <si>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</si>
  <si>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2.2.3. Személyi jöv.adó norm. módon elosztott része </t>
  </si>
  <si>
    <t xml:space="preserve">2.2.4. Gépjárműadó </t>
  </si>
  <si>
    <t xml:space="preserve">2.2.5. Termőföld bérbeadásából származó jöv.adó </t>
  </si>
  <si>
    <t xml:space="preserve">2.2.6. Átengedett egyéb központi adók </t>
  </si>
  <si>
    <t xml:space="preserve">I/2.2. Átengedett központi adók összesen </t>
  </si>
  <si>
    <t>2/e/1. sz. melléklet</t>
  </si>
  <si>
    <t>II/1.1. Normatív állami hozzájárulás részletezése</t>
  </si>
  <si>
    <t>BEVÉTELEK JOGCÍMEI</t>
  </si>
  <si>
    <t>Települési, igazgatási, kommunális feladatok 17272*1947</t>
  </si>
  <si>
    <r>
      <t xml:space="preserve">Körjegyz. műk alaphzj. </t>
    </r>
    <r>
      <rPr>
        <b/>
        <sz val="9"/>
        <rFont val="Times New Roman"/>
        <family val="1"/>
      </rPr>
      <t>12*253530</t>
    </r>
  </si>
  <si>
    <t>Üdülőhelyi feladatok  18.000.000*1Ft</t>
  </si>
  <si>
    <r>
      <t xml:space="preserve">Bölcsődei ellátás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</si>
  <si>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b/>
        <sz val="10"/>
        <rFont val="Times New Roman"/>
        <family val="1"/>
      </rPr>
      <t xml:space="preserve"> 3*65000</t>
    </r>
  </si>
  <si>
    <t>Óvodai nev. alaphzj.1-3-nevelési év (37*2350000*8/12)</t>
  </si>
  <si>
    <t>Óvodai nev. alaphzj.1-3-nevelési év (37,8*2350000*4/12)</t>
  </si>
  <si>
    <t>Isk.okt.alaph.1-2.évf.(269*2550000*4/12) 11,6*2350000*8/12</t>
  </si>
  <si>
    <t>Isk.okt.alaph.3évf.(118*2550000*4/12) 7,7*2350000*8/12</t>
  </si>
  <si>
    <t>Isk.okt.alaph.4évf.(139*2550000*4/12) 12,8*2350000*8/12</t>
  </si>
  <si>
    <t>Isk.okt.alaph.1-2.évf. (2009) 11,3*2350000*4/12</t>
  </si>
  <si>
    <t>Isk.okt.alaph.3évf. (2009) 5,8*2350000*4/12</t>
  </si>
  <si>
    <t>Isk.okt.alaph.4évf. (2009) 11,1*2350000*4/12</t>
  </si>
  <si>
    <t>Iskolai okt.5-6. Évfolyam  18,1*2350000*8/12</t>
  </si>
  <si>
    <t>Iskolai okt.5-6. Évfolyam (2009) 16,6*2350000*4/12</t>
  </si>
  <si>
    <t>Iskolai okt.7. Évfolyam (2009) 11,1*2350000*8/12</t>
  </si>
  <si>
    <t>Iskolai okt.7. Évfolyam (2009) 10,9*2350000*4/12</t>
  </si>
  <si>
    <t>Iskolai okt.8. Évfolyam (2009) 16*2350000*8/12</t>
  </si>
  <si>
    <t>Iskolai okt.8. Évfolyam (2009) 11,9*2350000*4/12</t>
  </si>
  <si>
    <t>sajátos.nev.igényű tan.nev.okt.(2*240000*4/12) 1*224000*8/12</t>
  </si>
  <si>
    <t>testi, érzékszervi középsúlyos értelmi fogyatékos, autista  halmozottan fogyatékos (5*384000*8/12)4*358400*4/12</t>
  </si>
  <si>
    <t>testi, érzékszervi középsúlyos értelmi fogyatékos, autista  halmozottan fogyatékos (4*384000*4/12) 5*358400*8/12</t>
  </si>
  <si>
    <t>beszédfogy. Enyhe ért.fogy. Viselkedés fejlődésének organikus okokra visszavez. És nem visszavez. Tartós és súlyos rendell. Miatt sajátos nev.ig. tan. (40*192000*8/12) 30*179200*4/12</t>
  </si>
  <si>
    <t>beszédfogy. Enyhe ért.fogy. Viselkedés fejlődésének organikus okokra visszavez. tartós és súlyos rendell. Miatt sajátos nev.ig. tan. (35*192000*4/12) 35*179200*8/12</t>
  </si>
  <si>
    <t>Viselkedés fejlődésének organikus okokra vissza nem vez.tartós és súlyos rendell. Miatt sajátos nev.ig. tan.(2009) 20*134400*4/12</t>
  </si>
  <si>
    <t>Viselkedés fejlődésének organikus okokra vissza nem vez.tartós és súlyos rendell. Miatt sajátos nev.ig. tan. (30*144000*4/12) 26*134400*8/12</t>
  </si>
  <si>
    <t>Isk.okt.9-10. Évf. (730*2550000*4/12) 62,3*2350000*8/12</t>
  </si>
  <si>
    <t>Isk.okt.9-10. Évf. (2009) 59,8*2350000*4/12</t>
  </si>
  <si>
    <t>Isk.okt.11. Évf.(2009) 22,9*2350000*8/12</t>
  </si>
  <si>
    <t>Isk.okt.11. Évf.(2009) 28,3*2350000*4/12</t>
  </si>
  <si>
    <t>Isk.okt.12-13. Évf. (2009) 30,4*2350000*8/12</t>
  </si>
  <si>
    <t>Isk.okt.12. Évf. 22,3*2350000*4/12</t>
  </si>
  <si>
    <t>Isk.okt.13. évf 5,9*2350000*4/12</t>
  </si>
  <si>
    <t>Isk. szak. Szakmai elm. Okt.9. Éfv.(185*2550000*8/12) 28,7*2350000*4/12</t>
  </si>
  <si>
    <t>Isk.szak.szakm.elm.okt. 9.évf-10.évf. (315*2550000*4/12) 27,8*2350000*8/12</t>
  </si>
  <si>
    <t>Isk.szak.szakm.elm.okt. 11.évf-12.évf. 35*2550000*4/12</t>
  </si>
  <si>
    <r>
      <t>Isk. gyak. Okt.9-10.évf (121*40000) (</t>
    </r>
    <r>
      <rPr>
        <i/>
        <sz val="10"/>
        <rFont val="Times New Roman"/>
        <family val="1"/>
      </rPr>
      <t>215*40000*8/12) 210*35000*4/12</t>
    </r>
  </si>
  <si>
    <r>
      <t>Isk. gyak. Okt.9-10.évf (121*40000) (</t>
    </r>
    <r>
      <rPr>
        <i/>
        <sz val="10"/>
        <rFont val="Times New Roman"/>
        <family val="1"/>
      </rPr>
      <t>205*40000*4/12) 214*35000*8/12</t>
    </r>
  </si>
  <si>
    <t>Isk.szak(szakm.gyak)(12*112000) (6*112000*4/12) 7*98000*8/12</t>
  </si>
  <si>
    <t>Isk.szak(szakm.gyak)(2009)16*98000*4/12</t>
  </si>
  <si>
    <r>
      <t>Isk.szak. (szak.gyak.) (</t>
    </r>
    <r>
      <rPr>
        <sz val="10"/>
        <rFont val="Times New Roman"/>
        <family val="1"/>
      </rPr>
      <t>71*156800) (77*156800*8/12) 50*137200*4/12</t>
    </r>
  </si>
  <si>
    <r>
      <t>Isk.szak. (szak.gyak.)</t>
    </r>
    <r>
      <rPr>
        <i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75*156800*4/12) 47*137200*8/12</t>
    </r>
  </si>
  <si>
    <r>
      <t>Isk.szak(szakm gyak)(</t>
    </r>
    <r>
      <rPr>
        <sz val="10"/>
        <rFont val="Times New Roman"/>
        <family val="1"/>
      </rPr>
      <t>156*22,400) (121*22400*8/12) 121*19600*4/12</t>
    </r>
  </si>
  <si>
    <r>
      <t>Isk.szak(szakm gyak)(</t>
    </r>
    <r>
      <rPr>
        <sz val="10"/>
        <rFont val="Times New Roman"/>
        <family val="1"/>
      </rPr>
      <t>120*22400*4/12) 139*19600*8/12</t>
    </r>
  </si>
  <si>
    <r>
      <t xml:space="preserve">Iskol.szak. záró évf. képz. </t>
    </r>
    <r>
      <rPr>
        <sz val="10"/>
        <rFont val="Times New Roman"/>
        <family val="1"/>
      </rPr>
      <t xml:space="preserve"> 22*58800*4/12</t>
    </r>
  </si>
  <si>
    <r>
      <t xml:space="preserve">Iskol.szak. záró évf. képz. </t>
    </r>
    <r>
      <rPr>
        <sz val="10"/>
        <rFont val="Times New Roman"/>
        <family val="1"/>
      </rPr>
      <t xml:space="preserve">  27*58800*8/12</t>
    </r>
  </si>
  <si>
    <t>Gyógypedagógiai nev. visszahely.  2*134400*4/12</t>
  </si>
  <si>
    <t>Gyógypedagógiai nev. visszahely.2*134400*8/12</t>
  </si>
  <si>
    <r>
      <t>Korai fejl gond.</t>
    </r>
    <r>
      <rPr>
        <i/>
        <sz val="10"/>
        <rFont val="Times New Roman"/>
        <family val="1"/>
      </rPr>
      <t xml:space="preserve"> 11*240000</t>
    </r>
  </si>
  <si>
    <r>
      <t xml:space="preserve">Fejlesztő felkészítés </t>
    </r>
    <r>
      <rPr>
        <sz val="10"/>
        <rFont val="Times New Roman"/>
        <family val="1"/>
      </rPr>
      <t xml:space="preserve"> 2*305000</t>
    </r>
  </si>
  <si>
    <r>
      <t>Alapf.műv.zenem.ág.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5,8*2350000*8/12</t>
    </r>
  </si>
  <si>
    <r>
      <t xml:space="preserve">Képzőm, táncm </t>
    </r>
    <r>
      <rPr>
        <i/>
        <sz val="10"/>
        <rFont val="Times New Roman"/>
        <family val="1"/>
      </rPr>
      <t xml:space="preserve"> 0,8*2350000*8/12</t>
    </r>
  </si>
  <si>
    <t>Alapf.zeneműv. 5,8*2350000*4/12</t>
  </si>
  <si>
    <t>Képző, taáncműv.okt. 0,8*2350000*4/12</t>
  </si>
  <si>
    <t>Képző .min.int.zene  274*44900*8/12</t>
  </si>
  <si>
    <t>Képző .min.int.zene (2009) 274*44900*4/12</t>
  </si>
  <si>
    <t>Képző.min.int.képző 94*17600*8/12</t>
  </si>
  <si>
    <t>Képző.min.int.képző (2009) 94*17600*4/12</t>
  </si>
  <si>
    <r>
      <t>Bentl kollég ell.</t>
    </r>
    <r>
      <rPr>
        <sz val="10"/>
        <rFont val="Times New Roman"/>
        <family val="1"/>
      </rPr>
      <t xml:space="preserve"> 3,7*2350000*4/12</t>
    </r>
  </si>
  <si>
    <r>
      <t>Bentl kollég ell</t>
    </r>
    <r>
      <rPr>
        <sz val="10"/>
        <rFont val="Times New Roman"/>
        <family val="1"/>
      </rPr>
      <t xml:space="preserve">  3,8*2350000*8/12</t>
    </r>
  </si>
  <si>
    <r>
      <t>Kollég.lakhatási feltételek megt.</t>
    </r>
    <r>
      <rPr>
        <b/>
        <sz val="10"/>
        <rFont val="Times New Roman"/>
        <family val="1"/>
      </rPr>
      <t xml:space="preserve"> 72*165000*4/12</t>
    </r>
  </si>
  <si>
    <r>
      <t>Kollég.lakhatási feltételek megt.</t>
    </r>
    <r>
      <rPr>
        <b/>
        <sz val="10"/>
        <rFont val="Times New Roman"/>
        <family val="1"/>
      </rPr>
      <t xml:space="preserve"> 73*165000*8/12</t>
    </r>
  </si>
  <si>
    <t>Ált.isk.napk. 1-4.évf.  3,7*2350000*8/12</t>
  </si>
  <si>
    <t>Ált.isk.napk. 5-8.évf.  0,7*2350000*8/12</t>
  </si>
  <si>
    <t>Ált.isk.napk. 1-4.évf. (2009) 3,5*2350000*4/12</t>
  </si>
  <si>
    <t>Ált.isk.napk. 5-8.évf. (2009) 0,6*2350000*4/12</t>
  </si>
  <si>
    <r>
      <t>Nyelvi felkészítő tanf.</t>
    </r>
    <r>
      <rPr>
        <sz val="9"/>
        <rFont val="Times New Roman"/>
        <family val="1"/>
      </rPr>
      <t xml:space="preserve"> 35*64000*4/12</t>
    </r>
  </si>
  <si>
    <r>
      <t>Nyelvi felkészítő tanf.</t>
    </r>
    <r>
      <rPr>
        <sz val="9"/>
        <rFont val="Times New Roman"/>
        <family val="1"/>
      </rPr>
      <t xml:space="preserve"> 26*64000*8/12</t>
    </r>
  </si>
  <si>
    <t xml:space="preserve"> Kedvezményes étkeztetés  óvoda  149*65000</t>
  </si>
  <si>
    <t xml:space="preserve">                                         ált. iskola  298*65000</t>
  </si>
  <si>
    <t xml:space="preserve">                                         gimnázium 49*65000</t>
  </si>
  <si>
    <t xml:space="preserve">                                         szakközépiskola 16*65000</t>
  </si>
  <si>
    <t xml:space="preserve">                                         kollégium  42*65000</t>
  </si>
  <si>
    <t xml:space="preserve"> kieg.hzj. Rsz-es gyvt. Kedv. Részesülő 5.-7éf. Áltisk.ingy.étk. (69*20000)</t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</si>
  <si>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942*15300*8/12</t>
    </r>
  </si>
  <si>
    <r>
      <t xml:space="preserve">Bejáró tanuló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955*15300*4/12</t>
    </r>
  </si>
  <si>
    <r>
      <t xml:space="preserve">Intfent. társ. ált. isk. bejáró1-4 évf. </t>
    </r>
    <r>
      <rPr>
        <sz val="9"/>
        <rFont val="Times New Roman"/>
        <family val="1"/>
      </rPr>
      <t xml:space="preserve"> 47*36800*8/12</t>
    </r>
  </si>
  <si>
    <t>Intfent. társ. ált. isk. bejáró1-4 évf.(2009) 50*36300*4/12</t>
  </si>
  <si>
    <t>Intfent. társ. ált. isk. bejáró5-6. Évf. (2009) 39*36300*8/12</t>
  </si>
  <si>
    <t>Intfent. társ. ált. isk. bejáró5-7. Évf. (2009) 58*36300*4/12</t>
  </si>
  <si>
    <t>Intfent. társ. ált. isk. bejáró7-8. Évf.(2009) 48*36300*8/12</t>
  </si>
  <si>
    <t>Intfent. társ. ált. isk. bejáró 8. Évf.(2009) 25*36300*4/12</t>
  </si>
  <si>
    <r>
      <t xml:space="preserve">Lakott területtel kapcs feladatok </t>
    </r>
    <r>
      <rPr>
        <b/>
        <sz val="9"/>
        <rFont val="Times New Roman"/>
        <family val="1"/>
      </rPr>
      <t>44*3088</t>
    </r>
  </si>
  <si>
    <t>Körzeti igazgatási feladatok</t>
  </si>
  <si>
    <t xml:space="preserve"> -körzetközpont</t>
  </si>
  <si>
    <r>
      <t xml:space="preserve"> -okmányir.munkaáll.</t>
    </r>
    <r>
      <rPr>
        <b/>
        <sz val="9"/>
        <rFont val="Times New Roman"/>
        <family val="1"/>
      </rPr>
      <t xml:space="preserve"> 39886*276</t>
    </r>
  </si>
  <si>
    <r>
      <t xml:space="preserve"> - körzetközpontnak gyám. ügy.felad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</si>
  <si>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 </t>
    </r>
    <r>
      <rPr>
        <b/>
        <sz val="9"/>
        <rFont val="Times New Roman"/>
        <family val="1"/>
      </rPr>
      <t>45301*70</t>
    </r>
  </si>
  <si>
    <r>
      <t xml:space="preserve"> - körzetközpontnak ép. ügy.felad kieg.hzj </t>
    </r>
    <r>
      <rPr>
        <b/>
        <sz val="9"/>
        <rFont val="Times New Roman"/>
        <family val="1"/>
      </rPr>
      <t>479*7737</t>
    </r>
  </si>
  <si>
    <t>Pénzbeni és termész. szoc. és gyerm.jóléti ellátások</t>
  </si>
  <si>
    <t>Szoc. Étkezés 205*55363</t>
  </si>
  <si>
    <t>Kiegészítő tám. ingyenes tankönyvell  1236*10000</t>
  </si>
  <si>
    <r>
      <t xml:space="preserve">Tanulói tankönyv. </t>
    </r>
    <r>
      <rPr>
        <b/>
        <i/>
        <sz val="9"/>
        <rFont val="Times New Roman"/>
        <family val="1"/>
      </rPr>
      <t xml:space="preserve"> 2693*1000</t>
    </r>
  </si>
  <si>
    <t>Felhasználási kötöttség nélküli normatív hozzájárulás</t>
  </si>
  <si>
    <t>2/e/2. sz. melléklet</t>
  </si>
  <si>
    <t>II/1.4. Normatív kötött állami hozzájárulás részletezése</t>
  </si>
  <si>
    <t>1.4. Normatív kötött felh.támog.</t>
  </si>
  <si>
    <t>Önk. által szervezett közcélú foglalkoztatás támogatása</t>
  </si>
  <si>
    <t>Szociális továbbképzés szakvizsga   16 x 9.400 Ft</t>
  </si>
  <si>
    <t>Ö s s z e s e n :</t>
  </si>
  <si>
    <t>Helyi önkormányzati hivatásos tűzoltóságok támogatása</t>
  </si>
  <si>
    <t>Személyi juttatáshoz (59*3774700) 59*</t>
  </si>
  <si>
    <r>
      <t>a./ készenl.szolg.(59*3603785)( 59*3917582</t>
    </r>
    <r>
      <rPr>
        <b/>
        <i/>
        <sz val="10"/>
        <rFont val="Times New Roman"/>
        <family val="1"/>
      </rPr>
      <t>) 66*3813425</t>
    </r>
  </si>
  <si>
    <t>Dologi kiadások</t>
  </si>
  <si>
    <r>
      <t>a./ tűzoltólakt.üzem.(</t>
    </r>
    <r>
      <rPr>
        <b/>
        <i/>
        <sz val="10"/>
        <rFont val="Times New Roman"/>
        <family val="1"/>
      </rPr>
      <t>1083*4717)</t>
    </r>
    <r>
      <rPr>
        <sz val="10"/>
        <rFont val="Times New Roman"/>
        <family val="1"/>
      </rPr>
      <t>1083*4717)</t>
    </r>
    <r>
      <rPr>
        <b/>
        <sz val="10"/>
        <rFont val="Times New Roman"/>
        <family val="1"/>
      </rPr>
      <t>1083*4717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</si>
  <si>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87133*138</t>
    </r>
  </si>
  <si>
    <t>c./ különleges szerek kötelező műszaki felülvizsgálata, javítása</t>
  </si>
  <si>
    <r>
      <t xml:space="preserve">     (2x500.000) (2*500.000</t>
    </r>
    <r>
      <rPr>
        <b/>
        <i/>
        <sz val="10"/>
        <rFont val="Times New Roman"/>
        <family val="1"/>
      </rPr>
      <t>)3*500000</t>
    </r>
  </si>
  <si>
    <t>1. 4. Kötött normatív támog. Össz.</t>
  </si>
  <si>
    <t xml:space="preserve">      2/f. sz. melléklet</t>
  </si>
  <si>
    <t xml:space="preserve">II/1.2. Központosított előirányzatok részletezése </t>
  </si>
  <si>
    <t xml:space="preserve">BEVÉTELEK JOGCÍMEI </t>
  </si>
  <si>
    <t>II/1.2. Központosított előirányzatok összesen</t>
  </si>
  <si>
    <t>II/1.3. Egyes jöv. pótló támogatások</t>
  </si>
  <si>
    <t xml:space="preserve">       2/g. sz. melléklet</t>
  </si>
  <si>
    <t xml:space="preserve">               Ezer Ft-ban </t>
  </si>
  <si>
    <t xml:space="preserve">       2/h. sz. melléklet</t>
  </si>
  <si>
    <t>II/2. Támogatás értékű bevételek</t>
  </si>
  <si>
    <t>Intézm.</t>
  </si>
  <si>
    <t xml:space="preserve">Polgárm. hiv. </t>
  </si>
  <si>
    <t>2.1. Működési bevételek összesen</t>
  </si>
  <si>
    <t>Ebből: - Rendelő: - TB alaptól</t>
  </si>
  <si>
    <t xml:space="preserve">                          - Önkormányzatotól bérf. fed.</t>
  </si>
  <si>
    <t>2.1. Működési bevételek összesen Polghiv.</t>
  </si>
  <si>
    <t>Ebből: - Többcélú Kist. Társulástól átvett</t>
  </si>
  <si>
    <t xml:space="preserve">          - Egerlövőtől átvett</t>
  </si>
  <si>
    <t xml:space="preserve">          - PV-hez vidéki önkormányzatoktól</t>
  </si>
  <si>
    <t xml:space="preserve">          - Iskola eü.-re TB-től</t>
  </si>
  <si>
    <t xml:space="preserve">          - Kp-i kv-i szervtől Otthonteremt. támog.   </t>
  </si>
  <si>
    <t xml:space="preserve">          - Kp-i kv-i szervtől Mozgáskorlát. támog.</t>
  </si>
  <si>
    <t xml:space="preserve">          - Vidéki önkorm.-tól tagisk. Műk-re</t>
  </si>
  <si>
    <t xml:space="preserve">          - Kisebbségi önkorm. Közp. Támog.</t>
  </si>
  <si>
    <t xml:space="preserve">          - IFJ-G-KX pályázat támogatás</t>
  </si>
  <si>
    <t xml:space="preserve">          - TÁMOP 5.2.5 pályázat támogatás</t>
  </si>
  <si>
    <t xml:space="preserve">          - Normatív támog. Pótigénylés</t>
  </si>
  <si>
    <t xml:space="preserve">          - Prémium évesek ktg. Megtér.</t>
  </si>
  <si>
    <t xml:space="preserve">          - Prémium éves Ktg. Megt. MÁAMIPSZ</t>
  </si>
  <si>
    <t>2.2. Felhalmozási bevételek összesen</t>
  </si>
  <si>
    <t>2/i./1. sz. melléklet</t>
  </si>
  <si>
    <t>III/1. Tárgyi eszközök, immateriális javak értékesítésének részletezése</t>
  </si>
  <si>
    <t>ÉRTÉKESÍTENDŐ TÁRGYI ESZKÖZÖK, IMMATERIÁLIS JAVAK MEGNEVEZÉSE</t>
  </si>
  <si>
    <t>Költségvetési szerv megnev.</t>
  </si>
  <si>
    <t>B e v é t e l</t>
  </si>
  <si>
    <t>Intézmény</t>
  </si>
  <si>
    <t>Polgárm.hiv.</t>
  </si>
  <si>
    <t>Önkorm.össz.</t>
  </si>
  <si>
    <t>Járműértékesítés</t>
  </si>
  <si>
    <t xml:space="preserve">Intézmény összesen: </t>
  </si>
  <si>
    <t>Ingatlan értékesités</t>
  </si>
  <si>
    <t xml:space="preserve">Polgármesteri Hivatal össz: </t>
  </si>
  <si>
    <t>III/1. Tárgyi eszk.immat.jav. ért.össz.</t>
  </si>
  <si>
    <t>2/i./2. sz. melléklet</t>
  </si>
  <si>
    <t xml:space="preserve">III/2. Önkormányzatok sajátos felhalmozási és tőke jellegű bevételeinek </t>
  </si>
  <si>
    <t>részletezése</t>
  </si>
  <si>
    <t>Önkorm. vagyon bérbeadás (Zsóry víz,-csat.+egyéb saj. Bev.+szeméttel.)</t>
  </si>
  <si>
    <t>Önkormányzati lakás bérbeadás, értékesités</t>
  </si>
  <si>
    <t>Osztalék bevétel</t>
  </si>
  <si>
    <t>III/2. Önkormányzatok sajátos felhalmozási és tőke jellegű bevétel összesen</t>
  </si>
  <si>
    <t>2/i./3. sz. melléklet</t>
  </si>
  <si>
    <t xml:space="preserve">III/3. Pénzügyi befektetés bevételének részletezése </t>
  </si>
  <si>
    <t>Tőkegarantált pénzpiaci alapok  értékesitése</t>
  </si>
  <si>
    <t>Kötvény hozama</t>
  </si>
  <si>
    <t>2/i./4. sz. melléklet</t>
  </si>
  <si>
    <t>III/4. Felhalmozási célú pénzeszköz átvétel államháztartáson kívülről</t>
  </si>
  <si>
    <t>ezer Ft-ban</t>
  </si>
  <si>
    <t>Intézmény összesen</t>
  </si>
  <si>
    <t>Polgárm.hiv. összesen</t>
  </si>
  <si>
    <t>Polgármesteri Hivatal összesen:</t>
  </si>
  <si>
    <t>III./4. Felhalmozási célú pénzeszköz átvétel államháztartáson kívülről</t>
  </si>
  <si>
    <t>2/j. sz. melléklet</t>
  </si>
  <si>
    <t xml:space="preserve">IV. Támogatási kölcsönök visszatérülése </t>
  </si>
  <si>
    <t>Működési célú kölcsön visszatérülés</t>
  </si>
  <si>
    <t>Felhalmozási célú kölcsön visszatérülés</t>
  </si>
  <si>
    <t>IV. Támogatási kölcsönök visszatérülése</t>
  </si>
  <si>
    <t>2/k. melléklet</t>
  </si>
  <si>
    <t xml:space="preserve">Önállóan működő és önállóan gazdálkodó költségvetési intézmények </t>
  </si>
  <si>
    <t>2010. évi  költségvetési bevételei</t>
  </si>
  <si>
    <t>Intézmények  összesen</t>
  </si>
  <si>
    <t>1.1. Hatósági jogkörh. köt.műk. bevételek</t>
  </si>
  <si>
    <t>1.3. Általános forg. adó bevételek, visszatér.</t>
  </si>
  <si>
    <t xml:space="preserve">1.5. Műk.célú pénze. átv. államh-on kívülről  </t>
  </si>
  <si>
    <t xml:space="preserve">I/1. Intézm.műk. bevételek összesen </t>
  </si>
  <si>
    <t>1. Tárgyi eszk., immat.javak értékesítése</t>
  </si>
  <si>
    <t>4. Felhalm.c. pénzeszk.átv. államházt.kívülről</t>
  </si>
  <si>
    <t>III. Felhalmozási és tőke jell.bev.össz.</t>
  </si>
  <si>
    <t>2. Értékpapírok értékesítése</t>
  </si>
  <si>
    <t>IV. Támogat. kölcsön visszatér., ért.pap.ért. kibocs. bev.</t>
  </si>
  <si>
    <t>Tárgyévi intézményi bevételek összesen</t>
  </si>
  <si>
    <t>V. Pénzforgalom nélküli bevételek össz.</t>
  </si>
  <si>
    <t>1. Előző évi pénzmaradvány igénybevétele</t>
  </si>
  <si>
    <t xml:space="preserve">      Ebből: működési célú</t>
  </si>
  <si>
    <t xml:space="preserve">                felhalmozási célú</t>
  </si>
  <si>
    <t>Önkormányzati támogatás</t>
  </si>
  <si>
    <t>Intézményi bevételek mindösszesen</t>
  </si>
  <si>
    <t>Polgármesteri Hivatal feladatai össz.</t>
  </si>
  <si>
    <t xml:space="preserve">Polgármesteri Hivatal mind-összesen </t>
  </si>
  <si>
    <t>3. Értékpapírok értékesítése</t>
  </si>
  <si>
    <t>2/l. melléklet</t>
  </si>
  <si>
    <t xml:space="preserve">Önállóan működő költségvetési intézmények </t>
  </si>
  <si>
    <t>2010. évi költségvetési bevételei</t>
  </si>
  <si>
    <t>Város-gond-nokság</t>
  </si>
  <si>
    <t>Városi Óvoda</t>
  </si>
  <si>
    <t>Széchenyi I. Szakképző</t>
  </si>
  <si>
    <t>Bayer R. Kollég. És Élelmk.</t>
  </si>
  <si>
    <t>PH-hoz tartozó önállóan műk. Int. Összesen</t>
  </si>
  <si>
    <t>PV.</t>
  </si>
  <si>
    <t>Önállóan működő intézmények összesen</t>
  </si>
  <si>
    <t xml:space="preserve">      2/m. sz. melléklet</t>
  </si>
  <si>
    <t xml:space="preserve">IV/1. Működési célú támogatási kölcsön visszatérülése   </t>
  </si>
  <si>
    <t xml:space="preserve">1.1. Kölcsön visszatérülése államháztartáson belülről  </t>
  </si>
  <si>
    <t xml:space="preserve">1.2. Kölcsön visszatérülése államháztartáson kívülről </t>
  </si>
  <si>
    <t>Kamatmentes kölcsön -háztartásoktól</t>
  </si>
  <si>
    <t>IV/1. Működési célú támog. kölcsön visszatér. összesen</t>
  </si>
  <si>
    <t xml:space="preserve">      2/n.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</si>
  <si>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</si>
  <si>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</si>
  <si>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</si>
  <si>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Dolg.lak.ép.,vás.-ra folyósitott kőlcsön</t>
  </si>
  <si>
    <t>Lakáshitel - háztartásoktól</t>
  </si>
  <si>
    <t>Első lakás - háztartásoktól</t>
  </si>
  <si>
    <t>Lakáscélu - háztartásoktól</t>
  </si>
  <si>
    <t>IV/2. Felhalmozási célú támog.kölcsön visszatér. összesen</t>
  </si>
  <si>
    <t>Felújítási kiadási előirányzatok</t>
  </si>
  <si>
    <t>célonkénti részletezése</t>
  </si>
  <si>
    <t>Felújítási cél</t>
  </si>
  <si>
    <t>2010. évi előirányzat</t>
  </si>
  <si>
    <t xml:space="preserve">Szent László Gimnázium </t>
  </si>
  <si>
    <t>logisztikai taniroda kialakítása</t>
  </si>
  <si>
    <t xml:space="preserve">          Kossuth út felúj</t>
  </si>
  <si>
    <t xml:space="preserve">          Sas Út járda</t>
  </si>
  <si>
    <t xml:space="preserve">          Kavicsos-tó út felúj</t>
  </si>
  <si>
    <t xml:space="preserve">          Bükkfa köz felúj</t>
  </si>
  <si>
    <t xml:space="preserve">          Bajcsy Zs. Út felúj</t>
  </si>
  <si>
    <t xml:space="preserve">          Útfelújítás összesen</t>
  </si>
  <si>
    <t xml:space="preserve">          Települési vízellátás összesen</t>
  </si>
  <si>
    <t>Polgármestei Hivatal összesen</t>
  </si>
  <si>
    <t>Önkormányzat összesen:</t>
  </si>
  <si>
    <t>4.sz. melléklet</t>
  </si>
  <si>
    <t>Beruházási kiadási előirányzatok</t>
  </si>
  <si>
    <t>feladatonkénti részletezése</t>
  </si>
  <si>
    <t>Beruházási feladat</t>
  </si>
  <si>
    <t>Városi Rendelőintézet</t>
  </si>
  <si>
    <t>Szent László Gimnázium és Szakközépiskola</t>
  </si>
  <si>
    <t>Széchenyi István Szakképző Iskola</t>
  </si>
  <si>
    <t>Ö s s z e s e n:</t>
  </si>
  <si>
    <t xml:space="preserve">Polgármesteri Hivatal  </t>
  </si>
  <si>
    <t>Gyula úti rend. Elektromos szekrény</t>
  </si>
  <si>
    <t>Hálózatfejl. Áthúzódó</t>
  </si>
  <si>
    <t xml:space="preserve">              Közvilágítási feladatok összesen</t>
  </si>
  <si>
    <t xml:space="preserve">             Szennyvízcsatorna fejlesztési feladatok összesen</t>
  </si>
  <si>
    <t>Kerékpárforgalmi hálózat fejlesztése</t>
  </si>
  <si>
    <t xml:space="preserve">             Út építése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</si>
  <si>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</si>
  <si>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</si>
  <si>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</si>
  <si>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</si>
  <si>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 xml:space="preserve"> 2010. évi előirányzat</t>
  </si>
  <si>
    <t>M Ű K Ö D É S</t>
  </si>
  <si>
    <t>Inézmények nyári tisztasági festése</t>
  </si>
  <si>
    <t>érdekeltségnövelő támogatás önrész</t>
  </si>
  <si>
    <t>energia és egyéb közüzemi díj árváltozásra</t>
  </si>
  <si>
    <t>szakértői díjak, engedélyek</t>
  </si>
  <si>
    <t>szociális juttatások önerejének növekedésére</t>
  </si>
  <si>
    <t>Rehabilitációs hozzájárulás fedezetére</t>
  </si>
  <si>
    <t>Köztisztviselők nettó 6.000Ft-ot meghaladó cafetéria juttatásának fedezete</t>
  </si>
  <si>
    <t>401/2009. (XII.02.) Ök. számú határozat alapján Szent László Gimnázium 100. évfordulójának előkészületére</t>
  </si>
  <si>
    <t xml:space="preserve">Működési céltartalék összesen: </t>
  </si>
  <si>
    <t xml:space="preserve">Felhalmozás </t>
  </si>
  <si>
    <t>hitelkamatok változására</t>
  </si>
  <si>
    <t>pályázati önerő - Tüo. Gépjármű beszerzés (kötelezettség)</t>
  </si>
  <si>
    <t>pályázati önerő - egyéb</t>
  </si>
  <si>
    <t>praxisvásárlás támogatására</t>
  </si>
  <si>
    <t>kötvény kamatkiadásának fedezetére tartalék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</si>
  <si>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</si>
  <si>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</si>
  <si>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6/a. sz. melléklet</t>
    </r>
  </si>
  <si>
    <t>Költségvetési szervek létszámkerete</t>
  </si>
  <si>
    <t>Költségvetési szerv</t>
  </si>
  <si>
    <t>Jóváh.létszám /fő/</t>
  </si>
  <si>
    <t>Önkormányzati Tűzoltóság</t>
  </si>
  <si>
    <t>Bayer Róbert Középiskolai Kollégium</t>
  </si>
  <si>
    <t>Polgármesteri Hivatal prémiumévesek</t>
  </si>
  <si>
    <t>Városi Önkorm. Rendelőintézet</t>
  </si>
  <si>
    <t>Polgári Védelmi Társulás</t>
  </si>
  <si>
    <t>Városgondnokság</t>
  </si>
  <si>
    <t>Létszámkeret összesen</t>
  </si>
  <si>
    <r>
      <t xml:space="preserve">    </t>
    </r>
    <r>
      <rPr>
        <b/>
        <u val="single"/>
        <sz val="10"/>
        <rFont val="Arial CE"/>
        <family val="2"/>
      </rPr>
      <t>6/b. sz. melléklet</t>
    </r>
  </si>
  <si>
    <t>Közcélú foglalkoztatottak létszámkerete</t>
  </si>
  <si>
    <t>Közcélú foglalkoztatottak</t>
  </si>
  <si>
    <t>7. sz. melléklet</t>
  </si>
  <si>
    <t>I. Működési célú bevételek és kiadások mérlege</t>
  </si>
  <si>
    <t>K i a d á s</t>
  </si>
  <si>
    <t>2010.évi előir.</t>
  </si>
  <si>
    <t>2010. évi előir.</t>
  </si>
  <si>
    <t>Működési bevételek</t>
  </si>
  <si>
    <t>Személyi juttatások</t>
  </si>
  <si>
    <t>Felhalm.ÁFA visszatér.</t>
  </si>
  <si>
    <t>Munkaadót terhelő járulékok</t>
  </si>
  <si>
    <t xml:space="preserve">Magánszem.komm.adója 100 % </t>
  </si>
  <si>
    <t>Magánszem.ép.adó 20 %</t>
  </si>
  <si>
    <t>Támog. támog.ért.bevételek</t>
  </si>
  <si>
    <r>
      <t xml:space="preserve">          -</t>
    </r>
    <r>
      <rPr>
        <sz val="9"/>
        <rFont val="Times New Roman"/>
        <family val="1"/>
      </rPr>
      <t>hosszú lejáratú hit.kamata</t>
    </r>
  </si>
  <si>
    <t>ebből:lakáshoz jut.tám.SZJA 100 %-a</t>
  </si>
  <si>
    <t xml:space="preserve">         - ért. tárgyie.áfabefiz</t>
  </si>
  <si>
    <t xml:space="preserve">       felhalm. támog.</t>
  </si>
  <si>
    <t>Speciális célú támogatás</t>
  </si>
  <si>
    <t>Nyújtott kölcsönök visszatérülése</t>
  </si>
  <si>
    <t>ebből: - társad.és szocpol.juttat.</t>
  </si>
  <si>
    <t>Ellátottak pénzbeni jutt.</t>
  </si>
  <si>
    <t>Támogtás értékű kiadás</t>
  </si>
  <si>
    <t>Nyújtott kölcsönök</t>
  </si>
  <si>
    <t>Pénzeszközátadás</t>
  </si>
  <si>
    <t>Tartalékok</t>
  </si>
  <si>
    <t xml:space="preserve">  - általános tartalék</t>
  </si>
  <si>
    <t xml:space="preserve">  - céltartalék</t>
  </si>
  <si>
    <t>Tárgyévi költségvetési bev.össz.</t>
  </si>
  <si>
    <t>Tárgyévi költségvetési kiadás össz.</t>
  </si>
  <si>
    <t>Pénzmaradvány igénybevétel</t>
  </si>
  <si>
    <t>Hitelfelvétel /forráshiány/</t>
  </si>
  <si>
    <t>Hiteltörlesztés</t>
  </si>
  <si>
    <t>ebből: - rulírozó hitel</t>
  </si>
  <si>
    <t xml:space="preserve">          - forráshiány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</si>
  <si>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</si>
  <si>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</si>
  <si>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</si>
  <si>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</si>
  <si>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</si>
  <si>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Önkorm. Felhalm támog.</t>
  </si>
  <si>
    <t>Felújítás</t>
  </si>
  <si>
    <t>Támogatás értékű bevételek</t>
  </si>
  <si>
    <t>Pénzügyi befektetések</t>
  </si>
  <si>
    <t>Átvett pénzeszk.egyéb szerv.-től</t>
  </si>
  <si>
    <t>Pénzeszköz átadás áh.kív.</t>
  </si>
  <si>
    <t>Nyújtott kölcsön visszatér.</t>
  </si>
  <si>
    <t>Hosszú lejáratú hitelek kamata</t>
  </si>
  <si>
    <t>Átengedett közp.-i adók</t>
  </si>
  <si>
    <t>ebből: lakáshoz jutás és lakásfenntart.tám.SZJA 50 %-a</t>
  </si>
  <si>
    <t>a./ általános tartalék</t>
  </si>
  <si>
    <t>Magánsz.építm.és telekadó 20 %</t>
  </si>
  <si>
    <t>b./ céltartalék</t>
  </si>
  <si>
    <t>Felhalm.kiad.ÁFA visszatér.</t>
  </si>
  <si>
    <t>Értékesített tárgyie.áfabefiz.</t>
  </si>
  <si>
    <t>Támogatás értékű kiadás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</si>
  <si>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</si>
  <si>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</si>
  <si>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</si>
  <si>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</si>
  <si>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</si>
  <si>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</si>
  <si>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</si>
  <si>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</si>
  <si>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</si>
  <si>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</si>
  <si>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</si>
  <si>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 xml:space="preserve">                 8.sz. melléklet</t>
  </si>
  <si>
    <t>A költségvetési évet követő 2 év várható előirányzatai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</si>
  <si>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</si>
  <si>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2011. év</t>
  </si>
  <si>
    <t>2012. év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</si>
  <si>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</si>
  <si>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</si>
  <si>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</si>
  <si>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</si>
  <si>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</si>
  <si>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</si>
  <si>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</si>
  <si>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</si>
  <si>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</si>
  <si>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</si>
  <si>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</si>
  <si>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</si>
  <si>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</si>
  <si>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</si>
  <si>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</si>
  <si>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</si>
  <si>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</si>
  <si>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</si>
  <si>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</si>
  <si>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</si>
  <si>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</si>
  <si>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</si>
  <si>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</si>
  <si>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</si>
  <si>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</si>
  <si>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</si>
  <si>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</si>
  <si>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</si>
  <si>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</si>
  <si>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Értékesített tárgyi eszk., immateriális javak áfa-ja</t>
  </si>
  <si>
    <t>Felhalm. célú kölcsönök visszatérülése, igénybevétele</t>
  </si>
  <si>
    <t>Hosszúlejáratú hitel felvétel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</si>
  <si>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</si>
  <si>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</si>
  <si>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</si>
  <si>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</si>
  <si>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</si>
  <si>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</si>
  <si>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</si>
  <si>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</si>
  <si>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</si>
  <si>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</si>
  <si>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</si>
  <si>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</si>
  <si>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Hosszú lejáratú értékpapírok vásárlása </t>
  </si>
  <si>
    <t xml:space="preserve">Tartalékok </t>
  </si>
  <si>
    <t>Felhalmozási célú kiadások összesen:</t>
  </si>
  <si>
    <t>Önkormányzat bevételei összesen:</t>
  </si>
  <si>
    <t>Önkormányzat kiadásai összesen:</t>
  </si>
  <si>
    <t xml:space="preserve">           9. sz. melléklet</t>
  </si>
  <si>
    <t>Adatszolgáltatás az önkormányzat felügyelete alá tartozó</t>
  </si>
  <si>
    <t xml:space="preserve">  költségvetési szerv által elismert tartozásállományról </t>
  </si>
  <si>
    <t>2010. ......................... hó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</si>
  <si>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</si>
  <si>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</si>
  <si>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</si>
  <si>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</si>
  <si>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</si>
  <si>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</si>
  <si>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</si>
  <si>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</si>
  <si>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</si>
  <si>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</si>
  <si>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</si>
  <si>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</si>
  <si>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</si>
  <si>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</si>
  <si>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</si>
  <si>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</si>
  <si>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</si>
  <si>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</si>
  <si>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</si>
  <si>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 xml:space="preserve">(x) Az önkormányzat költségvetési rendletének 23 §-ában </t>
  </si>
  <si>
    <t>meghatározott határnapon túli tartozásállomány.</t>
  </si>
  <si>
    <t xml:space="preserve">........................ 2010. ............ hó .... nap </t>
  </si>
  <si>
    <t>..........................................</t>
  </si>
  <si>
    <t xml:space="preserve">költségvetési szerv vezetője </t>
  </si>
  <si>
    <t>10/A. sz. melléklet</t>
  </si>
  <si>
    <t>A Cigány Kisebbségi Önkormányzat</t>
  </si>
  <si>
    <t>2010. évi költségvetése</t>
  </si>
  <si>
    <t>Bevételek alakulása</t>
  </si>
  <si>
    <t xml:space="preserve">  - Központi támogatás</t>
  </si>
  <si>
    <t xml:space="preserve">  - Önkormányzati támogatás</t>
  </si>
  <si>
    <t>Ö s s z e s   b e v é t e l</t>
  </si>
  <si>
    <t>Kiadások alakulása</t>
  </si>
  <si>
    <r>
      <t xml:space="preserve">Kôzponti </t>
    </r>
    <r>
      <rPr>
        <b/>
        <sz val="10"/>
        <rFont val="Arial CE"/>
        <family val="2"/>
      </rPr>
      <t xml:space="preserve"> tám. </t>
    </r>
  </si>
  <si>
    <t xml:space="preserve">Önkorm. tám. </t>
  </si>
  <si>
    <t>Kisebbségi alkalm. foglalk.</t>
  </si>
  <si>
    <t>Karbantartás</t>
  </si>
  <si>
    <t>Postaktg</t>
  </si>
  <si>
    <t>Festékpatron</t>
  </si>
  <si>
    <t>Eszközbeszerzés - irodaszer</t>
  </si>
  <si>
    <t>Roma Ki Mit Tud, Roma Nap</t>
  </si>
  <si>
    <t>Rászoruló iskolás tanulók tanulm.kiránd-</t>
  </si>
  <si>
    <t>Koszorúzás</t>
  </si>
  <si>
    <t>Telefonktg.</t>
  </si>
  <si>
    <t>pályázati díjak</t>
  </si>
  <si>
    <t>Ö s s z e s   k i a d á s</t>
  </si>
  <si>
    <t>Személyi jellegű kiadás</t>
  </si>
  <si>
    <t xml:space="preserve">Munkaadókat terhelő járulák </t>
  </si>
  <si>
    <t>Dologi jellegű kiadás</t>
  </si>
  <si>
    <t>Működési kiadás össz.</t>
  </si>
  <si>
    <t>10/B. sz. melléklet</t>
  </si>
  <si>
    <t>Az Örmény Kisebbségi Önkormányzat</t>
  </si>
  <si>
    <t>Társadalmi szervek tám.</t>
  </si>
  <si>
    <t>Dologi kiadás</t>
  </si>
  <si>
    <t xml:space="preserve">11. sz. melléklet </t>
  </si>
  <si>
    <t xml:space="preserve">   ELŐIRÁNYZAT-FELHASZNÁLÁSI ÜTEMTERV</t>
  </si>
  <si>
    <t xml:space="preserve">       2010. év </t>
  </si>
  <si>
    <t xml:space="preserve">Hónap </t>
  </si>
  <si>
    <t xml:space="preserve">Bevétel </t>
  </si>
  <si>
    <t>Kiadás</t>
  </si>
  <si>
    <t xml:space="preserve">Hitel felvétel </t>
  </si>
  <si>
    <t>Hitel törlesztés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</si>
  <si>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</si>
  <si>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</si>
  <si>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</si>
  <si>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</si>
  <si>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</si>
  <si>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</si>
  <si>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</si>
  <si>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</si>
  <si>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</si>
  <si>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</si>
  <si>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</si>
  <si>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</si>
  <si>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12. sz. melléklet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</si>
  <si>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</si>
  <si>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</si>
  <si>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</si>
  <si>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</si>
  <si>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</si>
  <si>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</si>
  <si>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</si>
  <si>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</si>
  <si>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</si>
  <si>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</si>
  <si>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</si>
  <si>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</si>
  <si>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>Gépjármű hitel - Polg. Hiv</t>
  </si>
  <si>
    <t xml:space="preserve"> Kötvény visszafiz. **</t>
  </si>
  <si>
    <t>2010. évben induló beruh.</t>
  </si>
  <si>
    <t>Zsóry fürdő      2005.</t>
  </si>
  <si>
    <t>Fennálló hitel, kötvénytart.  2010. I. 1-jén</t>
  </si>
  <si>
    <t>2010. évi hitelfelvét.</t>
  </si>
  <si>
    <t>Hitel vissza-fizetési köt.</t>
  </si>
  <si>
    <t>Mindössz.</t>
  </si>
  <si>
    <t>13.sz. melléklet</t>
  </si>
  <si>
    <t>K I M U T A T Á S</t>
  </si>
  <si>
    <t>Mezőkövesd város önkormányzata által 2010. évben nyújtandó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</si>
  <si>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</si>
  <si>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</si>
  <si>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</si>
  <si>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</si>
  <si>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</si>
  <si>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</si>
  <si>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</si>
  <si>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 xml:space="preserve">  14. sz. melléklet</t>
  </si>
  <si>
    <t>a 2010. évre tervezett közvetett támogatásokról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</si>
  <si>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</si>
  <si>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</si>
  <si>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</si>
  <si>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</si>
  <si>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</si>
  <si>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 xml:space="preserve">Adókedvezmény, mentesség gépjárműadónál: </t>
  </si>
  <si>
    <t>1991. évi LXXXII. tv. Mozgáskorl. mentesség +költségvetési szervek egyházak, stb.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</si>
  <si>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</si>
  <si>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</si>
  <si>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</si>
  <si>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</si>
  <si>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</si>
  <si>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</si>
  <si>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</si>
  <si>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</si>
  <si>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</si>
  <si>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</si>
  <si>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</si>
  <si>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  15. sz. melléklet</t>
  </si>
  <si>
    <t>a pénzeszközök  2010. évre tervezett változásáról</t>
  </si>
  <si>
    <t xml:space="preserve">M e g n e v e z é s </t>
  </si>
  <si>
    <t>Kv-i elsz.</t>
  </si>
  <si>
    <t>Nyitó pénzkészlet 2010. január 1-jén</t>
  </si>
  <si>
    <t xml:space="preserve">Összes bevétel tervezett összege </t>
  </si>
  <si>
    <t xml:space="preserve">Összes kiadás tervezett összege </t>
  </si>
  <si>
    <t>Záró pénzkészlet tervezett összege 2010. dec. 31-én</t>
  </si>
  <si>
    <t>16. sz. melléklet</t>
  </si>
  <si>
    <t xml:space="preserve">        KIMUTATÁS</t>
  </si>
  <si>
    <t xml:space="preserve">                 az önkormányzat által felvett hitelek állományáról </t>
  </si>
  <si>
    <t xml:space="preserve">             2010. év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</si>
  <si>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</si>
  <si>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</si>
  <si>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</si>
  <si>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</si>
  <si>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</si>
  <si>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</si>
  <si>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</si>
  <si>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</si>
  <si>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</si>
  <si>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</si>
  <si>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</si>
  <si>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</si>
  <si>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</si>
  <si>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Működési, folyószámla hitel</t>
  </si>
  <si>
    <t>Zsóry fejl. hitel 2005.</t>
  </si>
  <si>
    <t>16 lak.bérlakásép. fejl. hitel.</t>
  </si>
  <si>
    <t>Piac-Fejlesztési célhitel</t>
  </si>
  <si>
    <t>xxxxxxxx</t>
  </si>
  <si>
    <t>17. sz. melléklet</t>
  </si>
  <si>
    <t xml:space="preserve">         KIMUTATÁS</t>
  </si>
  <si>
    <t xml:space="preserve">          az önkormányzat által nyújtott hitelek (kölcsönök) állományáról </t>
  </si>
  <si>
    <t xml:space="preserve">              2010. év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</si>
  <si>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</si>
  <si>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</si>
  <si>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</si>
  <si>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</si>
  <si>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</si>
  <si>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</si>
  <si>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</si>
  <si>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</si>
  <si>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</si>
  <si>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</si>
  <si>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</si>
  <si>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16/a.sz. melléklet</t>
  </si>
  <si>
    <t>az önkormányzat hitel-kötvény állományáról, lejárat szerinti bontásban</t>
  </si>
  <si>
    <t>Hitelintézet megnevezése</t>
  </si>
  <si>
    <t>Hitel-állomány 2010.01.01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</si>
  <si>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</si>
  <si>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</si>
  <si>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</si>
  <si>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</si>
  <si>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</si>
  <si>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Lombard Finan-szírozási Zrt.</t>
  </si>
  <si>
    <t>Személygépkocsi</t>
  </si>
  <si>
    <t>Piac-fejl. hitel</t>
  </si>
  <si>
    <t>Raiffeisen Bank</t>
  </si>
  <si>
    <t>Kötvény visszaf.</t>
  </si>
  <si>
    <t>xxxxxxxxxxxxxxxxxxxxx</t>
  </si>
  <si>
    <t>2029.</t>
  </si>
  <si>
    <t>Hitel-állomány 2010.01.01.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</si>
  <si>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</si>
  <si>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</si>
  <si>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</si>
  <si>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</si>
  <si>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</si>
  <si>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</si>
  <si>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</si>
  <si>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</si>
  <si>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</si>
  <si>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</si>
  <si>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18. sz.melléklet</t>
  </si>
  <si>
    <t xml:space="preserve">a közvetett támogatásokról </t>
  </si>
  <si>
    <t xml:space="preserve">                            Összeg </t>
  </si>
  <si>
    <t>Tényleges</t>
  </si>
  <si>
    <t>19. sz.melléklet</t>
  </si>
  <si>
    <t>a pénzeszközök változásáról</t>
  </si>
  <si>
    <t xml:space="preserve">                       Ezer Ft-ban</t>
  </si>
  <si>
    <t xml:space="preserve">Tényleges </t>
  </si>
  <si>
    <t xml:space="preserve">Nyitó pénzkészlet 2010.január 1-jén </t>
  </si>
  <si>
    <t>Összes bevétel összege</t>
  </si>
  <si>
    <t>Összes kiadás összege</t>
  </si>
  <si>
    <t xml:space="preserve">Záró pénzkészlet 2010. dec. 31-én </t>
  </si>
  <si>
    <t>20.sz. melléklet</t>
  </si>
  <si>
    <t>Több éves kihatással járó döntések számszerűsítése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</si>
  <si>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</si>
  <si>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</si>
  <si>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</si>
  <si>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</si>
  <si>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</si>
  <si>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</si>
  <si>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</si>
  <si>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</si>
  <si>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</si>
  <si>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</si>
  <si>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</si>
  <si>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</si>
  <si>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</si>
  <si>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</si>
  <si>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</si>
  <si>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Mköv. Szennyvíz. A. támogatására Ny-i vár.r.</t>
  </si>
  <si>
    <t>Mköv. Szennyvíz. A. támogatására III. ütem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</si>
  <si>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</si>
  <si>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</si>
  <si>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</si>
  <si>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</si>
  <si>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</si>
  <si>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</si>
  <si>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</si>
  <si>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</si>
  <si>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Mköv. Szennyvíz. A. támogatására III. ütem.</t>
  </si>
  <si>
    <t>A képviselő-testület egyetértett a Mezőkövesd  Szennyvízelvezetéséért Alapítvány célkitűzéseivel, és kötelezettséget vállalt, hogy az Alapítvány részére támogatást nyújt a vállalt célok megvalósítására.</t>
  </si>
  <si>
    <t>1. Sz. tájékoztató</t>
  </si>
  <si>
    <t>Az önkormányzatot 2008-2009-2010. években felhasználási kötöttség nélkül</t>
  </si>
  <si>
    <t>megillető normatív támogatás</t>
  </si>
  <si>
    <t>eFt</t>
  </si>
  <si>
    <t>Jogcím megnevezése</t>
  </si>
  <si>
    <t>2008.tény</t>
  </si>
  <si>
    <t>2009.tény</t>
  </si>
  <si>
    <t>2010.terv</t>
  </si>
  <si>
    <t>Települési, igazgatási, kommunális feladatok</t>
  </si>
  <si>
    <r>
      <t xml:space="preserve">  (17603*1380) </t>
    </r>
    <r>
      <rPr>
        <sz val="11"/>
        <color indexed="8"/>
        <rFont val="Times New Roman"/>
        <family val="1"/>
      </rPr>
      <t>(17520*1430)</t>
    </r>
    <r>
      <rPr>
        <b/>
        <sz val="10"/>
        <rFont val="Times New Roman"/>
        <family val="1"/>
      </rPr>
      <t>17272*1947</t>
    </r>
  </si>
  <si>
    <t>Települési sportfeladatok támog. 17389*500</t>
  </si>
  <si>
    <r>
      <t xml:space="preserve">Körjegyz. műk alaphzj. </t>
    </r>
    <r>
      <rPr>
        <i/>
        <sz val="9"/>
        <rFont val="Times New Roman"/>
        <family val="1"/>
      </rPr>
      <t>(12*370000) (12*370000)</t>
    </r>
    <r>
      <rPr>
        <b/>
        <sz val="9"/>
        <rFont val="Times New Roman"/>
        <family val="1"/>
      </rPr>
      <t>12*300000</t>
    </r>
  </si>
  <si>
    <t>Üdülőhelyi feladatok</t>
  </si>
  <si>
    <r>
      <t xml:space="preserve">   </t>
    </r>
    <r>
      <rPr>
        <sz val="10"/>
        <rFont val="Times New Roman"/>
        <family val="1"/>
      </rPr>
      <t>(12.000.000*2) (14.000.000*</t>
    </r>
    <r>
      <rPr>
        <i/>
        <sz val="10"/>
        <rFont val="Times New Roman"/>
        <family val="1"/>
      </rPr>
      <t>2)</t>
    </r>
    <r>
      <rPr>
        <b/>
        <i/>
        <sz val="10"/>
        <rFont val="Times New Roman"/>
        <family val="1"/>
      </rPr>
      <t>18.000.000*1</t>
    </r>
  </si>
  <si>
    <t>Nappali szociális intézeti ellátás (30*150.000)</t>
  </si>
  <si>
    <r>
      <t xml:space="preserve">Bölcsődei ellátás   </t>
    </r>
    <r>
      <rPr>
        <sz val="10"/>
        <rFont val="Times New Roman"/>
        <family val="1"/>
      </rPr>
      <t xml:space="preserve">(48*547.000) (56*547000) </t>
    </r>
    <r>
      <rPr>
        <b/>
        <sz val="10"/>
        <rFont val="Times New Roman"/>
        <family val="1"/>
      </rPr>
      <t>58*494100</t>
    </r>
  </si>
  <si>
    <r>
      <t xml:space="preserve">Ingyenes bölcsődei étk. </t>
    </r>
    <r>
      <rPr>
        <sz val="10"/>
        <rFont val="Times New Roman"/>
        <family val="1"/>
      </rPr>
      <t>(6*50000)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(10*50000)</t>
    </r>
    <r>
      <rPr>
        <b/>
        <sz val="10"/>
        <rFont val="Times New Roman"/>
        <family val="1"/>
      </rPr>
      <t xml:space="preserve"> 3*65000</t>
    </r>
  </si>
  <si>
    <r>
      <t xml:space="preserve">Óvodai nev.alaphzj </t>
    </r>
    <r>
      <rPr>
        <sz val="8"/>
        <rFont val="Times New Roman"/>
        <family val="1"/>
      </rPr>
      <t>(453*199.000)(</t>
    </r>
    <r>
      <rPr>
        <i/>
        <sz val="8"/>
        <rFont val="Times New Roman"/>
        <family val="1"/>
      </rPr>
      <t>497*199.000*8/12)</t>
    </r>
  </si>
  <si>
    <t>Óvodai hzj. Kieg. Hzj (140*10.000 Ft)</t>
  </si>
  <si>
    <r>
      <t>Óvodai nev. alaphzj.(2007.szept.1-től  8,3*2550000*4/12 1.nev.év.) 1</t>
    </r>
    <r>
      <rPr>
        <b/>
        <sz val="9"/>
        <rFont val="Times New Roman"/>
        <family val="1"/>
      </rPr>
      <t>-</t>
    </r>
    <r>
      <rPr>
        <sz val="9"/>
        <rFont val="Times New Roman"/>
        <family val="1"/>
      </rPr>
      <t>nevelési év 111*2550000*8/12</t>
    </r>
  </si>
  <si>
    <t>Óvodai nev. alaphzj.(2007.szept.1-től  8,3*2550000*4/12 1.nev.év.) 2-3-nevelési év 358*2550000*8/13</t>
  </si>
  <si>
    <t>Óvodai nev. alaphzj.(2007.szept.1-től  8,3*2550000*4/12 1.nev.év.) 1-2 nevelési év (105*2550000*4/12)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</si>
  <si>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</si>
  <si>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</si>
  <si>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</si>
  <si>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</si>
  <si>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Iskolai okt.5. Évfolyam (167*2550000*8/12)</t>
  </si>
  <si>
    <t>Iskolai okt.6. Évfolyam (172*2550000*8/12)</t>
  </si>
  <si>
    <t>Iskolai okt.7-8. Évfolyam (328*2550000*8/12)</t>
  </si>
  <si>
    <t>Iskolai okt.5-6. Évfolyam (316*2550000*4/12) 18,1*2350000*8/12</t>
  </si>
  <si>
    <t xml:space="preserve">Iskolai okt.7-8. Évfolyam (330*2550000*4/12) </t>
  </si>
  <si>
    <t>sajátos.nev.igényű tan.nev.okt.(2009)</t>
  </si>
  <si>
    <t>Isk. okt. 9. Évf.341*2550000*8/12</t>
  </si>
  <si>
    <t>Isk. okt. 10. Évf.362*2550000*8/12</t>
  </si>
  <si>
    <t>Isk. okt.11-139. Évf.508*2550000*8/12</t>
  </si>
  <si>
    <t>Isk.okt.11-13. Évf. 549*2550000*4/12</t>
  </si>
  <si>
    <t>Isk. szak. Szakmai elm. Okt.10-11-12. Éfv.136*2550000*8/12</t>
  </si>
  <si>
    <r>
      <t>Iskol.szak. záró évf. képz. (</t>
    </r>
    <r>
      <rPr>
        <sz val="10"/>
        <rFont val="Times New Roman"/>
        <family val="1"/>
      </rPr>
      <t>46*67200) (63*67200*8/12) 22*58800*4/12</t>
    </r>
  </si>
  <si>
    <r>
      <t xml:space="preserve">Iskol.szak. záró évf. képz. </t>
    </r>
    <r>
      <rPr>
        <sz val="10"/>
        <rFont val="Times New Roman"/>
        <family val="1"/>
      </rPr>
      <t xml:space="preserve"> (60*67200*4/12) 27*58800*8/12</t>
    </r>
  </si>
  <si>
    <r>
      <t>Gyógypedagógiai nev. visszahely. (</t>
    </r>
    <r>
      <rPr>
        <b/>
        <sz val="10"/>
        <rFont val="Times New Roman"/>
        <family val="1"/>
      </rPr>
      <t>1*144000*8/12</t>
    </r>
    <r>
      <rPr>
        <sz val="10"/>
        <color indexed="8"/>
        <rFont val="Times New Roman"/>
        <family val="1"/>
      </rPr>
      <t xml:space="preserve"> ) 2*134400*4/12</t>
    </r>
  </si>
  <si>
    <r>
      <t>Korai fejl gond.</t>
    </r>
    <r>
      <rPr>
        <i/>
        <sz val="10"/>
        <rFont val="Times New Roman"/>
        <family val="1"/>
      </rPr>
      <t>( 5*240.000) (10*240000) 11*240000</t>
    </r>
  </si>
  <si>
    <r>
      <t xml:space="preserve">Fejlesztő felkészítés </t>
    </r>
    <r>
      <rPr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3*325000)(2*325000) 2*305000</t>
    </r>
  </si>
  <si>
    <r>
      <t>Alapf.műv.zenem.ág.</t>
    </r>
    <r>
      <rPr>
        <b/>
        <sz val="10"/>
        <rFont val="Times New Roman"/>
        <family val="1"/>
      </rPr>
      <t xml:space="preserve"> (</t>
    </r>
    <r>
      <rPr>
        <sz val="10"/>
        <rFont val="Times New Roman"/>
        <family val="1"/>
      </rPr>
      <t>252*105000*8/12) 5,8*2350000*8/12</t>
    </r>
  </si>
  <si>
    <r>
      <t xml:space="preserve">Képzőm, táncm </t>
    </r>
    <r>
      <rPr>
        <i/>
        <sz val="10"/>
        <rFont val="Times New Roman"/>
        <family val="1"/>
      </rPr>
      <t>(152*40000*8/12) 0,8*2350000*8/12</t>
    </r>
  </si>
  <si>
    <t>Alapf.zeneműv.( 275*2550000*4/12) 5,8*2350000*4/12</t>
  </si>
  <si>
    <t>Képző, taáncműv.okt. (152*2500000*4/12) 0,8*2350000*4/12</t>
  </si>
  <si>
    <t>Képző .min.int.zene (275*51000*8/12) 274*44900*8/12</t>
  </si>
  <si>
    <t>Képző.min.int.képző (152*20000*4/12) 94*17600*8/12</t>
  </si>
  <si>
    <r>
      <t>Bentl kollég ell(</t>
    </r>
    <r>
      <rPr>
        <sz val="10"/>
        <rFont val="Times New Roman"/>
        <family val="1"/>
      </rPr>
      <t>103*318.000)99*318000) (78*318000*8/12) 3,7*2350000*4/12</t>
    </r>
  </si>
  <si>
    <r>
      <t>Bentl kollég ell</t>
    </r>
    <r>
      <rPr>
        <sz val="10"/>
        <rFont val="Times New Roman"/>
        <family val="1"/>
      </rPr>
      <t xml:space="preserve"> (78*2550000*4/12) 3,8*2350000*8/12</t>
    </r>
  </si>
  <si>
    <r>
      <t>Kollég.lakhatási feltételek megt.(78*186000*4/12)(</t>
    </r>
    <r>
      <rPr>
        <b/>
        <sz val="10"/>
        <rFont val="Times New Roman"/>
        <family val="1"/>
      </rPr>
      <t>72*186000*8/12) 72*165000*4/12</t>
    </r>
  </si>
  <si>
    <r>
      <t>Kollég.lakhatási feltételek megt. (</t>
    </r>
    <r>
      <rPr>
        <b/>
        <sz val="10"/>
        <rFont val="Times New Roman"/>
        <family val="1"/>
      </rPr>
      <t>72*177000*4/12) 73*165000*8/12</t>
    </r>
  </si>
  <si>
    <r>
      <t>Ált.Isk. napk. Fogl.(</t>
    </r>
    <r>
      <rPr>
        <sz val="10"/>
        <rFont val="Times New Roman"/>
        <family val="1"/>
      </rPr>
      <t>375*23000) 534*23000*8/12)</t>
    </r>
  </si>
  <si>
    <t>Ált.isk.napk. 1-4.évf. (391*2550000*4/12) 3,7*2350000*8/12</t>
  </si>
  <si>
    <t>Ált.isk.napk. 5-8.évf. (140*2550000*4/12) 0,7*2350000*8/12</t>
  </si>
  <si>
    <r>
      <t>Nyelvi felkészítő tanf.(</t>
    </r>
    <r>
      <rPr>
        <sz val="9"/>
        <rFont val="Times New Roman"/>
        <family val="1"/>
      </rPr>
      <t>61*71500)( 49*71500*8/12) 35*64000*4/12</t>
    </r>
  </si>
  <si>
    <r>
      <t>Nyelvi felkészítő tanf.(</t>
    </r>
    <r>
      <rPr>
        <sz val="9"/>
        <rFont val="Times New Roman"/>
        <family val="1"/>
      </rPr>
      <t>35*71500*4/12) 26*64000*8/12</t>
    </r>
  </si>
  <si>
    <t xml:space="preserve"> Kedvezményes étkeztetés  óvoda (173*550009) 149*65000</t>
  </si>
  <si>
    <t xml:space="preserve">                                         ált. iskola (235*55000) 298*65000</t>
  </si>
  <si>
    <t xml:space="preserve">                                         középisk, szakközép (75*55000)</t>
  </si>
  <si>
    <t xml:space="preserve">                                         kollégium (44*55000) 42*65000</t>
  </si>
  <si>
    <r>
      <t>Bejáró tanuló (805*15000*8/12) (</t>
    </r>
    <r>
      <rPr>
        <b/>
        <sz val="9"/>
        <rFont val="Times New Roman"/>
        <family val="1"/>
      </rPr>
      <t>901*18000*8/12) 942*15300*8/12</t>
    </r>
  </si>
  <si>
    <r>
      <t>Bejáró tanuló (820*18000*4/12) (</t>
    </r>
    <r>
      <rPr>
        <b/>
        <sz val="9"/>
        <rFont val="Times New Roman"/>
        <family val="1"/>
      </rPr>
      <t>926*18000*4/12) 955*15300*4/12</t>
    </r>
  </si>
  <si>
    <r>
      <t xml:space="preserve">Intfent. társ. ált. isk.(50*45000) </t>
    </r>
    <r>
      <rPr>
        <sz val="9"/>
        <rFont val="Times New Roman"/>
        <family val="1"/>
      </rPr>
      <t>63*45.000) 162*45000*8/12</t>
    </r>
  </si>
  <si>
    <r>
      <t>Intfent. társ. ált. isk. bejáró1-4 évf. (29*45000)</t>
    </r>
    <r>
      <rPr>
        <b/>
        <sz val="9"/>
        <rFont val="Times New Roman"/>
        <family val="1"/>
      </rPr>
      <t xml:space="preserve"> (</t>
    </r>
    <r>
      <rPr>
        <sz val="9"/>
        <rFont val="Times New Roman"/>
        <family val="1"/>
      </rPr>
      <t>68*45000*4/12) 47*36800*8/12</t>
    </r>
  </si>
  <si>
    <r>
      <t>Intfent. társ. ált. isk. bejáró5. Évf.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(23*45000*4/12)</t>
    </r>
    <r>
      <rPr>
        <b/>
        <sz val="9"/>
        <rFont val="Times New Roman"/>
        <family val="1"/>
      </rPr>
      <t>21*45000*8/12</t>
    </r>
  </si>
  <si>
    <r>
      <t>Intfent. társ. ált. isk. bejáró6-8. Évf</t>
    </r>
    <r>
      <rPr>
        <b/>
        <i/>
        <sz val="9"/>
        <rFont val="Times New Roman"/>
        <family val="1"/>
      </rPr>
      <t>.</t>
    </r>
    <r>
      <rPr>
        <sz val="9"/>
        <rFont val="Times New Roman"/>
        <family val="1"/>
      </rPr>
      <t>(68*45000*4/12)69*45000*8/12</t>
    </r>
  </si>
  <si>
    <r>
      <t>Helyi közm.közgy felad.(17603*1135)(17520*1135)</t>
    </r>
    <r>
      <rPr>
        <b/>
        <sz val="9"/>
        <rFont val="Times New Roman"/>
        <family val="1"/>
      </rPr>
      <t>17389*1061</t>
    </r>
  </si>
  <si>
    <r>
      <t>Lakott területtel kapcs feladatok</t>
    </r>
    <r>
      <rPr>
        <sz val="9"/>
        <rFont val="Times New Roman"/>
        <family val="1"/>
      </rPr>
      <t xml:space="preserve">( 44*3800) (44*3800) </t>
    </r>
    <r>
      <rPr>
        <b/>
        <sz val="9"/>
        <rFont val="Times New Roman"/>
        <family val="1"/>
      </rPr>
      <t>44*3088</t>
    </r>
  </si>
  <si>
    <r>
      <t xml:space="preserve"> -okmányir.munkaáll.(36252x 504)(39886*513)</t>
    </r>
    <r>
      <rPr>
        <b/>
        <sz val="9"/>
        <rFont val="Times New Roman"/>
        <family val="1"/>
      </rPr>
      <t xml:space="preserve"> 39886*324</t>
    </r>
  </si>
  <si>
    <r>
      <t xml:space="preserve"> - körzetközpontnak gyám. ügy.felad (45326*280) </t>
    </r>
    <r>
      <rPr>
        <b/>
        <sz val="9"/>
        <rFont val="Times New Roman"/>
        <family val="1"/>
      </rPr>
      <t>45326*270</t>
    </r>
  </si>
  <si>
    <r>
      <t xml:space="preserve"> - körzetközpontnak ép. ügy.felad alap hzj.(45301*50)</t>
    </r>
    <r>
      <rPr>
        <b/>
        <sz val="9"/>
        <rFont val="Times New Roman"/>
        <family val="1"/>
      </rPr>
      <t>45301*70</t>
    </r>
  </si>
  <si>
    <r>
      <t xml:space="preserve"> - körzetközpontnak ép. ügy.felad kieg.hzj(479 *7700)</t>
    </r>
    <r>
      <rPr>
        <b/>
        <sz val="9"/>
        <rFont val="Times New Roman"/>
        <family val="1"/>
      </rPr>
      <t>479*7737</t>
    </r>
  </si>
  <si>
    <t>Pénzbeni és termész. szoc. és gyerm.jóléti ellátások*********</t>
  </si>
  <si>
    <t>A lakáshoz jutás és a lakásfent. Felad. Ellátásához***********</t>
  </si>
  <si>
    <t>Szoc. Étkeztetés(169*70800)180*81200)</t>
  </si>
  <si>
    <t>Szoc.étkezés 2007.dec.h-ban ellátott 140*82000</t>
  </si>
  <si>
    <r>
      <t>Szoc.étkezés 2008-ban új ellátott nyugdíjmin.150%-át El nem érő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(11*92500)</t>
    </r>
    <r>
      <rPr>
        <b/>
        <sz val="9"/>
        <rFont val="Times New Roman"/>
        <family val="1"/>
      </rPr>
      <t xml:space="preserve"> 70*90050</t>
    </r>
  </si>
  <si>
    <r>
      <t>Szoc.étkezés 2008-ban új ellátott nyugdíjmin.150%-300% közötti jöv (11*82000)</t>
    </r>
    <r>
      <rPr>
        <b/>
        <sz val="9"/>
        <rFont val="Times New Roman"/>
        <family val="1"/>
      </rPr>
      <t xml:space="preserve"> 89*79850</t>
    </r>
  </si>
  <si>
    <r>
      <t xml:space="preserve">Szoc.étkezés 2008-ban új ellátott nyugdíjmin.300%-át meghaladó (1*65000) </t>
    </r>
    <r>
      <rPr>
        <b/>
        <sz val="9"/>
        <rFont val="Times New Roman"/>
        <family val="1"/>
      </rPr>
      <t>10*63250</t>
    </r>
  </si>
  <si>
    <t>Házi segítségnyújtás 2007.dec.h-ban ellátott (12*190000)</t>
  </si>
  <si>
    <t>Házi segítségnyújtás 2008-ban új ellátott nyugdíjmin.150%-át El nem érő (3*275000)</t>
  </si>
  <si>
    <t>Házi segítségnyújtás 2008-ban új ellátott nyugdíjmin.150%-át meghaladó jöv. (3*173700)</t>
  </si>
  <si>
    <t>Kiegészítő tám. ingyenes tankönyvell (1289*10000)(1227*10000) 1236*10000</t>
  </si>
  <si>
    <t>Tanulói tankönyv ingy.ell.- tartósan beteg tanuló (99*10000)</t>
  </si>
  <si>
    <t>Tanulói tankönyv ingy.ell.- sajátos nev.tanuló (36*10000)</t>
  </si>
  <si>
    <t>Tanulói tankönyv ingy.ell.- nagyk. Sajátj. Csp. Jog. (15*10000)</t>
  </si>
  <si>
    <t>Tanulói tankönyv ingy.ell.- rsz. Gyvt. Kedv.rész. (630*10000)</t>
  </si>
  <si>
    <t>Tanulói tankönyv ingy.ell.- egyedülálló szülő ált.n. (237*10000)</t>
  </si>
  <si>
    <t>Tanulói tankönyv ingy.ell.- 3 v többgy. Család tan. 8430*10000)</t>
  </si>
  <si>
    <r>
      <t xml:space="preserve">Tanulói tankönyv. </t>
    </r>
    <r>
      <rPr>
        <sz val="10"/>
        <rFont val="Times New Roman"/>
        <family val="1"/>
      </rPr>
      <t>(2800*1000)(</t>
    </r>
    <r>
      <rPr>
        <b/>
        <i/>
        <sz val="10"/>
        <rFont val="Times New Roman"/>
        <family val="1"/>
      </rPr>
      <t>1704*1000) 2693*1000</t>
    </r>
  </si>
  <si>
    <t>2009. terv</t>
  </si>
  <si>
    <t>2010. terv</t>
  </si>
  <si>
    <t xml:space="preserve">Minőségfejlesztési feladatok           </t>
  </si>
  <si>
    <r>
      <t>Ped. szakm.szolg.(3281x720)( 3210*720).2099</t>
    </r>
    <r>
      <rPr>
        <b/>
        <i/>
        <sz val="10"/>
        <rFont val="Times New Roman"/>
        <family val="1"/>
      </rPr>
      <t>*720*8/12</t>
    </r>
  </si>
  <si>
    <r>
      <t>Hozzájár.tömegkfelad(</t>
    </r>
    <r>
      <rPr>
        <sz val="10"/>
        <rFont val="Times New Roman"/>
        <family val="1"/>
      </rPr>
      <t>17603*515)(17520*515)</t>
    </r>
    <r>
      <rPr>
        <b/>
        <sz val="10"/>
        <rFont val="Times New Roman"/>
        <family val="1"/>
      </rPr>
      <t>17389*515</t>
    </r>
  </si>
  <si>
    <t>2008-2009-2010. évi normatív  KÖTÖTT  felhasználású támogatások</t>
  </si>
  <si>
    <t>Önk. által szervezett közcélú foglalk. Támogatása********</t>
  </si>
  <si>
    <r>
      <t>Ped.szaksz.</t>
    </r>
    <r>
      <rPr>
        <sz val="8"/>
        <rFont val="Times New Roman"/>
        <family val="1"/>
      </rPr>
      <t>( 8*1.020.000</t>
    </r>
    <r>
      <rPr>
        <i/>
        <sz val="8"/>
        <rFont val="Times New Roman"/>
        <family val="1"/>
      </rPr>
      <t>)</t>
    </r>
    <r>
      <rPr>
        <sz val="8"/>
        <rFont val="Times New Roman"/>
        <family val="1"/>
      </rPr>
      <t>(7*1020000)</t>
    </r>
    <r>
      <rPr>
        <b/>
        <sz val="8"/>
        <rFont val="Times New Roman"/>
        <family val="1"/>
      </rPr>
      <t>8*1100000*8/12+8*970000*4/12</t>
    </r>
  </si>
  <si>
    <r>
      <t>Ped.szakv.tovább</t>
    </r>
    <r>
      <rPr>
        <sz val="8"/>
        <rFont val="Times New Roman"/>
        <family val="1"/>
      </rPr>
      <t xml:space="preserve">(308*11700) </t>
    </r>
    <r>
      <rPr>
        <sz val="7"/>
        <rFont val="Times New Roman"/>
        <family val="1"/>
      </rPr>
      <t>(303*11700)</t>
    </r>
    <r>
      <rPr>
        <b/>
        <sz val="7"/>
        <rFont val="Times New Roman"/>
        <family val="1"/>
      </rPr>
      <t xml:space="preserve"> 301*11700*8/12+296*11700*4/12</t>
    </r>
  </si>
  <si>
    <r>
      <t>Szoc.továbbk szakv.(</t>
    </r>
    <r>
      <rPr>
        <sz val="10"/>
        <rFont val="Times New Roman"/>
        <family val="1"/>
      </rPr>
      <t>38*9400) (18*9400)(</t>
    </r>
    <r>
      <rPr>
        <b/>
        <sz val="10"/>
        <rFont val="Times New Roman"/>
        <family val="1"/>
      </rPr>
      <t>18*9400) 16*9400</t>
    </r>
  </si>
  <si>
    <t>Diáksport támogatása</t>
  </si>
  <si>
    <t xml:space="preserve">Személyi juttatáshoz </t>
  </si>
  <si>
    <r>
      <t>a./ készenl.szolg.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(62*3920172) (</t>
    </r>
    <r>
      <rPr>
        <b/>
        <sz val="10"/>
        <rFont val="Times New Roman"/>
        <family val="1"/>
      </rPr>
      <t>66*3813425) 68*3620169</t>
    </r>
  </si>
  <si>
    <r>
      <t>a./ tűzoltólakt.üzem.(1083*4717)(1083*4717)</t>
    </r>
    <r>
      <rPr>
        <b/>
        <sz val="10"/>
        <rFont val="Times New Roman"/>
        <family val="1"/>
      </rPr>
      <t>1083*4897</t>
    </r>
  </si>
  <si>
    <r>
      <t>b./ járm. üzem, karb (84548*115)</t>
    </r>
    <r>
      <rPr>
        <b/>
        <sz val="10"/>
        <rFont val="Times New Roman"/>
        <family val="1"/>
      </rPr>
      <t>(87133*138)82979*138</t>
    </r>
  </si>
  <si>
    <r>
      <t xml:space="preserve">     (3*500.000)(3*500000) </t>
    </r>
    <r>
      <rPr>
        <b/>
        <sz val="10"/>
        <rFont val="Times New Roman"/>
        <family val="1"/>
      </rPr>
      <t>3*500000</t>
    </r>
  </si>
  <si>
    <t xml:space="preserve">e./ irodaszer, inform.eszk  </t>
  </si>
  <si>
    <t>Kötött normatív támog. Össz.</t>
  </si>
  <si>
    <t>Központi támogatás mindösszesen:</t>
  </si>
  <si>
    <t>SZJA lakhelyen maradó rész</t>
  </si>
  <si>
    <t>SZJA kiegészítés *************</t>
  </si>
  <si>
    <t>2. sz. tájékoztató</t>
  </si>
  <si>
    <t>Kimutatás az Európai Uniós forrással megvalósuló beruházásokról</t>
  </si>
  <si>
    <t>Bevételek</t>
  </si>
  <si>
    <t>Támogatások</t>
  </si>
  <si>
    <t xml:space="preserve">              -Szent Imre tagiskola rekonst.</t>
  </si>
  <si>
    <t xml:space="preserve">              -Szennyvíz-csat.hálózat felj.</t>
  </si>
  <si>
    <t xml:space="preserve">              -Kerékpárút fejlesztés</t>
  </si>
  <si>
    <t>Fejlesztési hitel (önkorm. saját forrás)</t>
  </si>
  <si>
    <t>Önkormányzati sajátforrás</t>
  </si>
  <si>
    <t>Bevételek összesen:</t>
  </si>
  <si>
    <t>Kiadások:</t>
  </si>
  <si>
    <t>Kiadás összesen:</t>
  </si>
  <si>
    <t>3. sz. tájékoztató</t>
  </si>
  <si>
    <t>Út - híd keret</t>
  </si>
  <si>
    <t>eFt-ban</t>
  </si>
  <si>
    <t>Dologi jellegű kiadások</t>
  </si>
  <si>
    <t xml:space="preserve">  2009. évi áthúzódó út-járda karb.</t>
  </si>
  <si>
    <t xml:space="preserve">  2010. évi kátyúzás</t>
  </si>
  <si>
    <t xml:space="preserve">  Külterületi földutak karbantartása</t>
  </si>
  <si>
    <t xml:space="preserve">   Útfestés</t>
  </si>
  <si>
    <t xml:space="preserve">   Kresz-táblák cseréje, pótlása</t>
  </si>
  <si>
    <t xml:space="preserve">   Síkosságmentesítés, hóeltakarítás</t>
  </si>
  <si>
    <t xml:space="preserve">   Egyéb lakossági igények kezelése (Br.10 mó)</t>
  </si>
  <si>
    <t xml:space="preserve">   Vásárolt termékek és szolg. ÁFA-ja</t>
  </si>
  <si>
    <t xml:space="preserve">   Egyéb különféle dologi kiad.</t>
  </si>
  <si>
    <t>Dologi jellegű kiadások összesen:</t>
  </si>
  <si>
    <t>Felhalmozási kiadás összesen</t>
  </si>
  <si>
    <t>Kiadások mindösszesen:</t>
  </si>
  <si>
    <t>4. sz. tájékoztató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</si>
  <si>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</si>
  <si>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</si>
  <si>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</si>
  <si>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</si>
  <si>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</si>
  <si>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</si>
  <si>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</si>
  <si>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</si>
  <si>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</si>
  <si>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</si>
  <si>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</si>
  <si>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</si>
  <si>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</si>
  <si>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</si>
  <si>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</si>
  <si>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</si>
  <si>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</si>
  <si>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</si>
  <si>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</si>
  <si>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</si>
  <si>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</si>
  <si>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Eper út közlekedésfejlesztés ÉMOP3.1.2/B</t>
  </si>
  <si>
    <t>Okmány-iroda, Gyámhiv. Építésügy</t>
  </si>
  <si>
    <t>Finanszíro-zási műv.</t>
  </si>
  <si>
    <t xml:space="preserve">            Épület építése összesen:</t>
  </si>
  <si>
    <t>Városi Bölcsőde kapacitásbővítő fejlesztése</t>
  </si>
  <si>
    <t xml:space="preserve">          Víz-,csatorna felujitás</t>
  </si>
  <si>
    <t xml:space="preserve">         Táncpajta tető felújítás</t>
  </si>
  <si>
    <t xml:space="preserve">      Praxisvásárlás támogatása</t>
  </si>
  <si>
    <t xml:space="preserve">Pénzforgalom nélküli bevételek </t>
  </si>
  <si>
    <t>Praxisvásárlásra kamatmentes kölcsön</t>
  </si>
  <si>
    <t>V. Pénzforgalom nélküli bevételek (pénzmaradvány igénybevétel)</t>
  </si>
  <si>
    <t>Kánya patak középső szakaszának rekonstrukciója</t>
  </si>
  <si>
    <t>Ebből Önkorm. pályázatokra:</t>
  </si>
  <si>
    <t xml:space="preserve">          - Szennyvízcsat. Hál.  KEOP</t>
  </si>
  <si>
    <t xml:space="preserve">          - Klementina közvil. TEKI</t>
  </si>
  <si>
    <t xml:space="preserve">          - Szent I. tagisk.  Bőv. ÉMOP</t>
  </si>
  <si>
    <t xml:space="preserve">          - Sas Út járda TEKI</t>
  </si>
  <si>
    <t xml:space="preserve">          - Kerékpárforg.hálózat fejl. ÉMOP</t>
  </si>
  <si>
    <t xml:space="preserve">          - Eper út közlekedés fejl. ÉMOP</t>
  </si>
  <si>
    <t xml:space="preserve">          - Bölcsőde kapacitásbőv.fejl.ÉMOP</t>
  </si>
  <si>
    <t xml:space="preserve">          - Kánya patak középső szakasz.rek. ÉMOP</t>
  </si>
  <si>
    <t>TÁRGYÉVI KÖLTSÉGVETÉSI BEVÉTELEK       ÖSSZESEN(I…+IV.)</t>
  </si>
  <si>
    <t xml:space="preserve">          -                    Iskolagyümölcs rendezése</t>
  </si>
  <si>
    <t xml:space="preserve">          -                    OKM-Útravaló ösztöndíj</t>
  </si>
  <si>
    <t xml:space="preserve">          -                    Szentistváni tagozat tám. </t>
  </si>
  <si>
    <t xml:space="preserve">                   Magyar Olimpiai Biz.- olimpiai isk. tám.</t>
  </si>
  <si>
    <t xml:space="preserve">                   Baz.M-i Közokt.Közal.-ped.innováció f. </t>
  </si>
  <si>
    <t xml:space="preserve">                   Esélyegy.Közal.-esélyegyenlőségi pály. </t>
  </si>
  <si>
    <t>Ford Focus beszerzés</t>
  </si>
  <si>
    <t>Hangrözzítő berendezés</t>
  </si>
  <si>
    <t>2 db szivattyú</t>
  </si>
  <si>
    <t>Önállóan működő intézmények összesen:</t>
  </si>
  <si>
    <t xml:space="preserve">          - Tűzoltóság -Nyírbogdány Önkormányzat viharkár</t>
  </si>
  <si>
    <r>
      <t xml:space="preserve">          - Gimnázium:</t>
    </r>
    <r>
      <rPr>
        <sz val="10"/>
        <rFont val="Arial"/>
        <family val="2"/>
      </rPr>
      <t xml:space="preserve">  OKM - Útravaló ösztöndíj</t>
    </r>
  </si>
  <si>
    <t xml:space="preserve">                                 Munkaügyi Központ bértámog.</t>
  </si>
  <si>
    <r>
      <t xml:space="preserve">          </t>
    </r>
    <r>
      <rPr>
        <b/>
        <sz val="10"/>
        <rFont val="Arial"/>
        <family val="2"/>
      </rPr>
      <t xml:space="preserve">- Széchenyi:   </t>
    </r>
    <r>
      <rPr>
        <sz val="10"/>
        <rFont val="Arial"/>
        <family val="2"/>
      </rPr>
      <t xml:space="preserve"> OKM - Útravaló ösztöndíj</t>
    </r>
  </si>
  <si>
    <t xml:space="preserve">                                 NSZFI - Szakisk.tanulm.öszt.díj</t>
  </si>
  <si>
    <r>
      <t xml:space="preserve">          - Bayer R. Koll.: </t>
    </r>
    <r>
      <rPr>
        <sz val="10"/>
        <rFont val="Arial"/>
        <family val="2"/>
      </rPr>
      <t>Munkaügyi Központ bértámog.</t>
    </r>
  </si>
  <si>
    <t xml:space="preserve">             Oktatási célok összesen:</t>
  </si>
  <si>
    <t xml:space="preserve">          - TÁMOP 3.1.4 pályázat támogatás</t>
  </si>
  <si>
    <r>
      <t xml:space="preserve">          - </t>
    </r>
    <r>
      <rPr>
        <b/>
        <sz val="10"/>
        <rFont val="Arial"/>
        <family val="2"/>
      </rPr>
      <t>Városgondnokság:</t>
    </r>
    <r>
      <rPr>
        <sz val="10"/>
        <rFont val="Arial"/>
        <family val="2"/>
      </rPr>
      <t xml:space="preserve"> Munkaügyi K.-bértámogatás</t>
    </r>
  </si>
  <si>
    <t>Önállóan működő intézmények</t>
  </si>
  <si>
    <t>Belgyógy. Oszt. Intenzív oxigén ell.</t>
  </si>
  <si>
    <t>Kardiológiai szekrend. Kerékpárergométer</t>
  </si>
  <si>
    <t>Bérpolitikai intézkedések támogatása</t>
  </si>
  <si>
    <t>Prémium évek program támogatása</t>
  </si>
  <si>
    <t xml:space="preserve">          - Körzetközponti jegyzők feladatainak tám.</t>
  </si>
  <si>
    <t>Magasból mentő gépjármű beszerzés</t>
  </si>
  <si>
    <t xml:space="preserve">          - Magasból mentő gépjármű besz. támogatás</t>
  </si>
  <si>
    <t xml:space="preserve">          Szent László tér rekonst.</t>
  </si>
  <si>
    <t xml:space="preserve">         Önkormányzati ingatlanok felújítása össz.</t>
  </si>
  <si>
    <t xml:space="preserve">         Ovodai nevelés</t>
  </si>
  <si>
    <t>Ovodai nevelés</t>
  </si>
  <si>
    <t>Háziorvosi alapellátás</t>
  </si>
  <si>
    <t>Térfigyelő rendszer kiépítése a buszpályaudvaron</t>
  </si>
  <si>
    <t xml:space="preserve">    - Polg.Hiv.Ifjúsági pályázat v.fiz. </t>
  </si>
  <si>
    <t>Gyermektartdíj megelőleg.</t>
  </si>
  <si>
    <t xml:space="preserve">          - Kp-i kv-i szervtől Gyermektartásdíj megel. támog.</t>
  </si>
  <si>
    <t>TEUT támogatás-utakra</t>
  </si>
  <si>
    <t xml:space="preserve">          - CÉDE tám. - Váci Mihály utcai játszótér</t>
  </si>
  <si>
    <t>Hálózatfejl.</t>
  </si>
  <si>
    <t>Közvilágítási hálózat bővítés - lakosságtól</t>
  </si>
  <si>
    <t>PH-hoz tartozó önállóan műk. Int. összesen</t>
  </si>
  <si>
    <t xml:space="preserve">  - Pénzmaradvány felhasználás</t>
  </si>
  <si>
    <t xml:space="preserve"> - Önkormányzati támogatás</t>
  </si>
  <si>
    <t xml:space="preserve"> - Központi támogatás</t>
  </si>
  <si>
    <t xml:space="preserve"> - Átvett pénz(pály.tám. Mü.Kp.)</t>
  </si>
  <si>
    <t>Kulturális rendezvény</t>
  </si>
  <si>
    <t>Irodai rezsi</t>
  </si>
  <si>
    <t>Közéleti szakember képzés</t>
  </si>
  <si>
    <t xml:space="preserve">                                 TÁMOP-3.1.5.Ped.képz.pály.tám.</t>
  </si>
  <si>
    <t xml:space="preserve">                                            - term.tudomány</t>
  </si>
  <si>
    <t xml:space="preserve">                                            - matematika</t>
  </si>
  <si>
    <t xml:space="preserve">          - Kp-i kv-i szervtől Országgyűlési képviselővál.</t>
  </si>
  <si>
    <t>Óvodáztatási támogtás</t>
  </si>
  <si>
    <t>Közműfejlesztési hozzájárulás</t>
  </si>
  <si>
    <t>Bölcsődék és közok. int. infrastrukturális fejl.-László K. úti tagóvóda felúj</t>
  </si>
  <si>
    <t>Könyvtári, közm.érdnövn.tám.</t>
  </si>
  <si>
    <t xml:space="preserve">          - Szennyvízcsat. Alap III. ütem</t>
  </si>
  <si>
    <t xml:space="preserve">          - Matyó Népműv. Egy. felújításra</t>
  </si>
  <si>
    <t xml:space="preserve">civil szerv.  tám. </t>
  </si>
  <si>
    <t>Nyári gyermekétkeztetés</t>
  </si>
  <si>
    <t xml:space="preserve">          - SzMM  kríziskezelő program </t>
  </si>
  <si>
    <t>Lakossági víz,csat. szolg.tám.</t>
  </si>
  <si>
    <t xml:space="preserve">          - VG Zrt.-Lakossági víz-és csat.szolg</t>
  </si>
  <si>
    <t>Alapfokú művészetoktatás tám.</t>
  </si>
  <si>
    <t>Pedagógus-szakvizsga és továbbképzéstám.</t>
  </si>
  <si>
    <t>Érettségi és szakmai vizsgák lebonyolítás tám.</t>
  </si>
  <si>
    <t xml:space="preserve">Új Tudás-Műveltség Program </t>
  </si>
  <si>
    <t xml:space="preserve">          - CKÖ-nek B.A.Z. Megyei Önk.-Kulturális találkozó</t>
  </si>
  <si>
    <t>Városi Rendelőintézet fejlesztése</t>
  </si>
  <si>
    <t>Szent Imre tagiskola korszerűsítés</t>
  </si>
  <si>
    <t xml:space="preserve">             Könyvtári áll. gyarapítása, nyilvánt. össz:</t>
  </si>
  <si>
    <t>Tudásdepó expresz TIOP 1.2.3.</t>
  </si>
  <si>
    <t>Könyvtári állomány nyilvántart.</t>
  </si>
  <si>
    <t xml:space="preserve">          - Tudásdepó expresz TIOP 1.2.3.</t>
  </si>
  <si>
    <t>Starter berendezés - új létrához</t>
  </si>
  <si>
    <t>5 db védősisak beszerzés</t>
  </si>
  <si>
    <t xml:space="preserve">                             -OKF-től árvizi költségek térítése</t>
  </si>
  <si>
    <t xml:space="preserve">                          - Munkaügyi Központtól</t>
  </si>
  <si>
    <t xml:space="preserve">                          - ÁNTSZ-től</t>
  </si>
  <si>
    <t>Fogászati röntgen készülék</t>
  </si>
  <si>
    <t>Belgyógyászati osztály ablakcsere</t>
  </si>
  <si>
    <r>
      <t xml:space="preserve">    </t>
    </r>
    <r>
      <rPr>
        <b/>
        <u val="single"/>
        <sz val="10"/>
        <rFont val="Arial CE"/>
        <family val="2"/>
      </rPr>
      <t>6/c. sz. melléklet</t>
    </r>
  </si>
  <si>
    <t>Pályázati pénzeszközből foglalkoztatottak létszámkerete</t>
  </si>
  <si>
    <t>Városi Önk. Rendelőintézet - Munkaügyi Központ tám.</t>
  </si>
  <si>
    <t>Felhalmozási célú hitel törlesztés</t>
  </si>
  <si>
    <t>PH-hoz tartozó önállóan működő intézmények:</t>
  </si>
  <si>
    <t xml:space="preserve">  SZISZI  ISK. pártólói tagdíj</t>
  </si>
  <si>
    <t xml:space="preserve">  Gimnázium: Közokt.Közalap.:Tehetséggondoz.pály.:</t>
  </si>
  <si>
    <t xml:space="preserve">  MÁAMIPSZ: Alpítványi kieg.- Kultúra Élmény pály.</t>
  </si>
  <si>
    <t>PH-hoz tartozó önállóan működő int.</t>
  </si>
  <si>
    <t xml:space="preserve">   Szent László Gimnázium - SZKHJ</t>
  </si>
  <si>
    <t xml:space="preserve">   Széchenyi István Szakképző Isk. - SZKHJ</t>
  </si>
  <si>
    <t xml:space="preserve">              -Kánya patak rekonstrukció</t>
  </si>
  <si>
    <t xml:space="preserve">              -Városi Bölcsőde kapacitásbővítő fejl.</t>
  </si>
  <si>
    <t xml:space="preserve">              -Tudásdepó expresz</t>
  </si>
  <si>
    <t xml:space="preserve">              -Eper út közlekedésfejlesztés</t>
  </si>
  <si>
    <t xml:space="preserve">  - TÁMOP-3.1.5. Ped.képz.támog. laptop beszerzés</t>
  </si>
  <si>
    <t xml:space="preserve">              -Ped.képz.támog.(Gimnázium)</t>
  </si>
  <si>
    <t>Összeg (eFt)</t>
  </si>
  <si>
    <t>Beruh-hoz kapcs. Fordított ÁFA</t>
  </si>
  <si>
    <t xml:space="preserve">          - rövid lejáratú hit.kamata</t>
  </si>
  <si>
    <t>5. Felhalm. Kapcs. Ford. ÁFA befizetés</t>
  </si>
  <si>
    <t>5.Felhalm. Kapcs. Ford. ÁFA befizetés</t>
  </si>
  <si>
    <t>Pedagógiai szakmai szolgáltatás</t>
  </si>
  <si>
    <t>1.6. ÖNHIKI támogatás</t>
  </si>
  <si>
    <t>1. Önkormányz. költségv.-i támogatása (1.1..+1.6)</t>
  </si>
  <si>
    <t>II/1.5. ÖNHIKI támogatás</t>
  </si>
  <si>
    <t xml:space="preserve">II/1.4. Fejlesztési célú támogatások részletezése </t>
  </si>
  <si>
    <t xml:space="preserve">1.4.1. Címzett támogatás </t>
  </si>
  <si>
    <t>1.4.2. Céltámogatás: egészségügyi gép-műszer</t>
  </si>
  <si>
    <t>1.4.3. A helyi önk.-ok fejlesztési és vis maior feladatainak támogatása</t>
  </si>
  <si>
    <t xml:space="preserve">II/1.4. Fejlesztési célú támogatások összesen </t>
  </si>
  <si>
    <t>2010-ben hátrányos helyzetű iskolások füzetcsomag vásárlása, pótlása</t>
  </si>
  <si>
    <t>III/3. Pénzügyi befektetés bevétele összesen</t>
  </si>
  <si>
    <t xml:space="preserve">   - Fénymásoló beszerzés OKM pályázat terhére</t>
  </si>
  <si>
    <r>
      <t xml:space="preserve">          - </t>
    </r>
    <r>
      <rPr>
        <b/>
        <sz val="10"/>
        <rFont val="Arial"/>
        <family val="2"/>
      </rPr>
      <t>MÁAMIPSZ</t>
    </r>
    <r>
      <rPr>
        <sz val="10"/>
        <rFont val="Arial"/>
        <family val="2"/>
      </rPr>
      <t xml:space="preserve">: Tanulói tk.tám.vidéki önk. által </t>
    </r>
  </si>
  <si>
    <r>
      <rPr>
        <b/>
        <sz val="10"/>
        <rFont val="Arial"/>
        <family val="2"/>
      </rPr>
      <t>Széchenyi Szki:</t>
    </r>
    <r>
      <rPr>
        <sz val="10"/>
        <rFont val="Arial"/>
        <family val="2"/>
      </rPr>
      <t xml:space="preserve"> Decentralizált szakképz.pály.tám.előleg</t>
    </r>
  </si>
  <si>
    <r>
      <rPr>
        <b/>
        <sz val="10"/>
        <rFont val="Arial"/>
        <family val="2"/>
      </rPr>
      <t xml:space="preserve">Gimnázium:- </t>
    </r>
    <r>
      <rPr>
        <sz val="10"/>
        <rFont val="Arial"/>
        <family val="2"/>
      </rPr>
      <t>TÁMOP-3.1.5. Ped.képz.támog.pály</t>
    </r>
  </si>
  <si>
    <t xml:space="preserve">                   - SzKHJ célú bevétel (Zemplén TISZK SzSzT)</t>
  </si>
  <si>
    <t>TÁMOP 3.1.4. pályázat: - ügyviteli-, számítástechnikai eszközök</t>
  </si>
  <si>
    <t xml:space="preserve">                                    - vagyoni értékű jogok</t>
  </si>
  <si>
    <t xml:space="preserve">          - TÁMOP 3.2.4 (0010) pályázat támogatás</t>
  </si>
  <si>
    <t>Polgármesteri Hivatal: OFA-Foglalkoztatási Paktum pály.</t>
  </si>
  <si>
    <t xml:space="preserve">          - TÁMOP 3.1.4 (0142) pályázat támogatás</t>
  </si>
  <si>
    <t xml:space="preserve">          - TIOP 1.1.1.    (0111) pályázat támogatás</t>
  </si>
  <si>
    <t>Számítógép</t>
  </si>
  <si>
    <t>Pedagógiai szakszolgálatok szervezésének támogatása</t>
  </si>
  <si>
    <t>Közoktatási informatikai fejlesztési feladatok működési tám.</t>
  </si>
  <si>
    <t>Közoktatási informatikai fejlesztési feladatok felhalmozási tám.</t>
  </si>
  <si>
    <t>Közoktatási informatikai fejlesztési feladatok - szoftver</t>
  </si>
  <si>
    <t>EU-s fejlestési pályázat saját forrás kiegészítés támogatása</t>
  </si>
  <si>
    <t xml:space="preserve">                  OFA Közfoglalkoztatás-szervezők fogl.</t>
  </si>
  <si>
    <t xml:space="preserve">          - Kp-i kv-i szervtől Önk. képviselő és polgárm. vál.</t>
  </si>
  <si>
    <t xml:space="preserve">          - Kp-i kv-i szervtől Kisebbségi Önk. képviselő. vál.</t>
  </si>
  <si>
    <t>Országgyű-lési, Önk., Kisebbs.Önk. kpév.vál.</t>
  </si>
  <si>
    <t xml:space="preserve">    - Zempléni Szakképzés-szerv.Társ</t>
  </si>
  <si>
    <t xml:space="preserve">    - MITISZK Szakképzés-szerv. Társ.</t>
  </si>
  <si>
    <t xml:space="preserve">         Városgazd. szolg. összesen</t>
  </si>
  <si>
    <t xml:space="preserve">         Város rehabilitáció - Városi Galéria</t>
  </si>
  <si>
    <t xml:space="preserve">              Városgazd. szolg. mindösszesen</t>
  </si>
  <si>
    <t>Város rehabilitáció</t>
  </si>
  <si>
    <t xml:space="preserve">          - Város rehabilitáció ÉMOP</t>
  </si>
  <si>
    <t xml:space="preserve">              -Város rehabilitáció</t>
  </si>
  <si>
    <t xml:space="preserve">          - TEKI tám. - Klementina közvilágítás</t>
  </si>
  <si>
    <t xml:space="preserve">          - TEKI tám. - Sas út járda</t>
  </si>
  <si>
    <t>2010. évi kiküldetés, saját szgk*haszn.</t>
  </si>
  <si>
    <t>Reprezentáció</t>
  </si>
  <si>
    <t>Milulás rendezvény</t>
  </si>
  <si>
    <t>Rendelőintézet alapítványtól vércukor vizsgálatra</t>
  </si>
  <si>
    <t>Nőgyógyászati ultrahang készülék</t>
  </si>
  <si>
    <t>Rendelőintézet kazáncsere</t>
  </si>
  <si>
    <r>
      <t xml:space="preserve"> </t>
    </r>
    <r>
      <rPr>
        <b/>
        <u val="single"/>
        <sz val="10"/>
        <rFont val="Times New Roman"/>
        <family val="1"/>
      </rPr>
      <t>3. sz. melléklet</t>
    </r>
  </si>
  <si>
    <t>Zsóry Gyógy- és Standfürdő fejlesztése KEOP-4.2.0/B09-2010-0010</t>
  </si>
  <si>
    <t xml:space="preserve">          - Zsóry fejlesztés KEOP-4.2.0/B09-2010-0010</t>
  </si>
  <si>
    <t xml:space="preserve">          - Zsóry fejlesztés ÉMOP-2.1.1/B-2f-2009-0024</t>
  </si>
  <si>
    <t>Zsóry Gyógy- és Standfürdő fejlesztése ÉMOP-2.1.1/B-2f-2009-0024</t>
  </si>
  <si>
    <t xml:space="preserve">              - Zsóry fejlesztés ÉMOP-2.1.1/B-2f-2009-0024</t>
  </si>
  <si>
    <t xml:space="preserve">              - Zsóry fejlesztés KEOP-4.2.0/B09-2010-0010</t>
  </si>
  <si>
    <t>Felhalmozási áfa visszatérülés, fordított áfa</t>
  </si>
  <si>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- gépjárműdiagnosztikai szoftver</t>
    </r>
  </si>
  <si>
    <t xml:space="preserve">  - lap-top 9 db</t>
  </si>
  <si>
    <t xml:space="preserve">  - ROMER mérőgép kiegészítőkkel, Wolfram köszörű, egyéb tanm.berendezés</t>
  </si>
  <si>
    <t xml:space="preserve">                   - SzKHJ célú bevétel (MI TISZK SzSzT)</t>
  </si>
  <si>
    <t xml:space="preserve">  - szavazó, értékelő rendszer; 19 db számítógép; fénymásoló berendezés </t>
  </si>
  <si>
    <t xml:space="preserve">  - interaktív tábla</t>
  </si>
  <si>
    <t xml:space="preserve">   - 21/2010(V.13.)OKM r. alapján számítógépkonfigurációk Asus</t>
  </si>
  <si>
    <t xml:space="preserve">   - Jó Gyakorlat terhére 3 db számítógép beszerzése</t>
  </si>
  <si>
    <t xml:space="preserve">          -                    Munkaügyi K.bértámogatás</t>
  </si>
  <si>
    <t>közter. rendjének fennt.</t>
  </si>
  <si>
    <t>Pedagógiai szakmai szolg.</t>
  </si>
  <si>
    <t>Közhasznú fogl.</t>
  </si>
  <si>
    <t xml:space="preserve">          - Rendsz. gyermekvéd.pénzbeni ellátás támog.</t>
  </si>
  <si>
    <t xml:space="preserve">          - Kiegészítő gyermekvédelmi támog.</t>
  </si>
  <si>
    <t>Nemzeti ünnepek programjai</t>
  </si>
  <si>
    <t xml:space="preserve"> - építményadó</t>
  </si>
  <si>
    <t xml:space="preserve"> - gépjárműadó</t>
  </si>
  <si>
    <t xml:space="preserve"> - pótlék, bírság</t>
  </si>
  <si>
    <t>Közmunka</t>
  </si>
  <si>
    <t>Ár- és belvíz-védelemmel összefüggő tev.</t>
  </si>
  <si>
    <t xml:space="preserve">          - CKÖ-nek Munkaügyi Közp. támog.</t>
  </si>
  <si>
    <t xml:space="preserve">          - Munkaügyi Közp. támog.</t>
  </si>
  <si>
    <t xml:space="preserve">          - Polgármesteri Hivatal szervezetfejlesztés</t>
  </si>
  <si>
    <t>Adóelengedések:</t>
  </si>
  <si>
    <t xml:space="preserve">    - előző évi pm. átadás (alulfin.)</t>
  </si>
  <si>
    <t>Önkorm. elszám.</t>
  </si>
  <si>
    <t>Esélyegyenlőséget, felzárkóztatást segítő támogatások</t>
  </si>
  <si>
    <t xml:space="preserve">          - Kp-i kv-i szervtől Kisebbségi Orsz. és ter.Önk.vál.</t>
  </si>
  <si>
    <t xml:space="preserve">          - OKM teljesítmány motivációs pályázati alap tám.</t>
  </si>
  <si>
    <t xml:space="preserve">          - Magyar Vöröskereszt</t>
  </si>
  <si>
    <t xml:space="preserve">    - Tisza-tavi Egycélú Társ.</t>
  </si>
  <si>
    <t>melléképület felújítása</t>
  </si>
  <si>
    <t>3. Előrő évi költségvetési visszatérülés</t>
  </si>
  <si>
    <t xml:space="preserve">Szennyvízcsatorna Zsóry </t>
  </si>
  <si>
    <t>Szennyvízcsatorna III. ütem</t>
  </si>
  <si>
    <t xml:space="preserve">            Városi Napközi-otthonos Óvoda László Károly úti tagóvoda</t>
  </si>
  <si>
    <t>Sportpálya elektromos hálózat bővítés</t>
  </si>
  <si>
    <t xml:space="preserve">             Fürdő és Strandszolg. Összesen</t>
  </si>
  <si>
    <t xml:space="preserve">           Sportlétesítmények fejlesztése összesen:</t>
  </si>
  <si>
    <t xml:space="preserve">             Önkormányzat igazgatási tev. összesen:</t>
  </si>
  <si>
    <t>Informatikai szoba kialakítása</t>
  </si>
  <si>
    <t>Játszótér kerítés építés</t>
  </si>
  <si>
    <t xml:space="preserve">             Bölcsődei ellátás öszesen:</t>
  </si>
  <si>
    <t>Bölcsődei ellátás</t>
  </si>
  <si>
    <t xml:space="preserve">          - Könyvtári szolg. Fejlesztése TÁMOP</t>
  </si>
  <si>
    <t>Könyvtári szolg. Fejlesztése TÁMOP</t>
  </si>
  <si>
    <t xml:space="preserve">         Szent Imre Tagiskola kerítés felújítás</t>
  </si>
  <si>
    <t xml:space="preserve">         Oktatási célok összesen:</t>
  </si>
  <si>
    <t xml:space="preserve">          - Iskolatej program tám.</t>
  </si>
  <si>
    <t xml:space="preserve">          - TÁMOP 3.3.2 Esélyegyenlőségi pály. tám.</t>
  </si>
  <si>
    <t xml:space="preserve">          - Rendelőintézet akadálymentesítés ÉMOP</t>
  </si>
  <si>
    <t xml:space="preserve">          - Bárdos Lajos tagiskola akadálymentesítés</t>
  </si>
  <si>
    <t xml:space="preserve">          - Bayer R. Kollégium akadálymentesítés</t>
  </si>
  <si>
    <t>Gép, berend., felsz. értékesítés</t>
  </si>
  <si>
    <t>Polg.Hiv.</t>
  </si>
  <si>
    <t xml:space="preserve">          - Városi jegyzők által műk. szakértői biz.</t>
  </si>
  <si>
    <t xml:space="preserve">          - IFJ-G-EM pályázat támogatás</t>
  </si>
  <si>
    <t xml:space="preserve">          - Közhasznú foglalkoztatás</t>
  </si>
  <si>
    <t xml:space="preserve">              -Könyvtári szolg. fejlesztése</t>
  </si>
  <si>
    <t xml:space="preserve">              -Rendelőintézet akadálymentesítés ÉMOP</t>
  </si>
  <si>
    <t xml:space="preserve">              -Zsóry fejlesztés ÉMOP-2.1.1/B-2f-2009-0024</t>
  </si>
  <si>
    <t xml:space="preserve">              -Zsóry fejlesztés KEOP-4.2.0/B09-2010-0010</t>
  </si>
  <si>
    <t xml:space="preserve">              -Bárdos Lajos tagiskola akadálymentesítés</t>
  </si>
  <si>
    <t xml:space="preserve">              -Bayer R. Kollégium akadálymentesítés</t>
  </si>
  <si>
    <t xml:space="preserve">              -Laptop és vagyoni értékű jog vásárlás</t>
  </si>
  <si>
    <t xml:space="preserve">              -Rendelőintézet akadálymentesítés </t>
  </si>
  <si>
    <t xml:space="preserve">Közoktatási informatikai fejlesztési feladatok </t>
  </si>
  <si>
    <t>Önállóan működő és önállóan gazdálkodó intézmények összesen:</t>
  </si>
  <si>
    <t>Módosított előir.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</si>
</sst>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Times New Roman CE"/>
      <family val="1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E"/>
      <family val="2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name val="Arial"/>
      <family val="2"/>
    </font>
    <font>
      <b/>
      <u val="single"/>
      <sz val="11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2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14" xfId="0" applyNumberFormat="1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13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19" fillId="0" borderId="13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5" fillId="0" borderId="21" xfId="0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5" fillId="0" borderId="22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25" fillId="0" borderId="24" xfId="0" applyNumberFormat="1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3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0" fontId="25" fillId="0" borderId="26" xfId="0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3" fontId="25" fillId="0" borderId="27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0" fillId="0" borderId="29" xfId="0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4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0" fontId="32" fillId="0" borderId="14" xfId="0" applyFont="1" applyBorder="1" applyAlignment="1">
      <alignment/>
    </xf>
    <xf numFmtId="3" fontId="0" fillId="0" borderId="25" xfId="0" applyNumberFormat="1" applyBorder="1" applyAlignment="1">
      <alignment/>
    </xf>
    <xf numFmtId="0" fontId="32" fillId="0" borderId="27" xfId="0" applyFont="1" applyBorder="1" applyAlignment="1">
      <alignment/>
    </xf>
    <xf numFmtId="3" fontId="33" fillId="0" borderId="27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2" fillId="0" borderId="3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4" fillId="0" borderId="14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4" fillId="0" borderId="30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3" fillId="0" borderId="26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0" fontId="32" fillId="0" borderId="30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27" xfId="0" applyNumberFormat="1" applyBorder="1" applyAlignment="1">
      <alignment/>
    </xf>
    <xf numFmtId="0" fontId="3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4" fillId="0" borderId="21" xfId="0" applyFont="1" applyBorder="1" applyAlignment="1">
      <alignment/>
    </xf>
    <xf numFmtId="0" fontId="14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32" fillId="24" borderId="27" xfId="0" applyFont="1" applyFill="1" applyBorder="1" applyAlignment="1">
      <alignment wrapText="1"/>
    </xf>
    <xf numFmtId="3" fontId="33" fillId="24" borderId="27" xfId="0" applyNumberFormat="1" applyFont="1" applyFill="1" applyBorder="1" applyAlignment="1">
      <alignment/>
    </xf>
    <xf numFmtId="0" fontId="32" fillId="24" borderId="35" xfId="0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36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Border="1" applyAlignment="1">
      <alignment/>
    </xf>
    <xf numFmtId="0" fontId="32" fillId="24" borderId="27" xfId="0" applyFont="1" applyFill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26" xfId="0" applyFont="1" applyBorder="1" applyAlignment="1">
      <alignment/>
    </xf>
    <xf numFmtId="0" fontId="34" fillId="0" borderId="2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26" xfId="0" applyFont="1" applyBorder="1" applyAlignment="1">
      <alignment/>
    </xf>
    <xf numFmtId="0" fontId="33" fillId="0" borderId="0" xfId="0" applyFont="1" applyAlignment="1">
      <alignment/>
    </xf>
    <xf numFmtId="3" fontId="0" fillId="0" borderId="37" xfId="0" applyNumberFormat="1" applyBorder="1" applyAlignment="1">
      <alignment/>
    </xf>
    <xf numFmtId="0" fontId="32" fillId="0" borderId="21" xfId="0" applyFont="1" applyBorder="1" applyAlignment="1">
      <alignment/>
    </xf>
    <xf numFmtId="3" fontId="0" fillId="0" borderId="38" xfId="0" applyNumberFormat="1" applyBorder="1" applyAlignment="1">
      <alignment/>
    </xf>
    <xf numFmtId="0" fontId="35" fillId="0" borderId="13" xfId="0" applyFont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32" fillId="0" borderId="39" xfId="0" applyFont="1" applyBorder="1" applyAlignment="1">
      <alignment/>
    </xf>
    <xf numFmtId="0" fontId="14" fillId="0" borderId="39" xfId="0" applyFont="1" applyBorder="1" applyAlignment="1">
      <alignment/>
    </xf>
    <xf numFmtId="0" fontId="32" fillId="0" borderId="13" xfId="0" applyFont="1" applyBorder="1" applyAlignment="1">
      <alignment/>
    </xf>
    <xf numFmtId="3" fontId="0" fillId="0" borderId="2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33" fillId="24" borderId="26" xfId="0" applyNumberFormat="1" applyFont="1" applyFill="1" applyBorder="1" applyAlignment="1">
      <alignment/>
    </xf>
    <xf numFmtId="0" fontId="32" fillId="24" borderId="26" xfId="0" applyFont="1" applyFill="1" applyBorder="1" applyAlignment="1">
      <alignment/>
    </xf>
    <xf numFmtId="3" fontId="0" fillId="24" borderId="2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33" fillId="0" borderId="26" xfId="0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5" fillId="0" borderId="11" xfId="0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25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25" fillId="0" borderId="30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19" fillId="0" borderId="29" xfId="0" applyFont="1" applyBorder="1" applyAlignment="1">
      <alignment/>
    </xf>
    <xf numFmtId="3" fontId="25" fillId="0" borderId="37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0" fontId="25" fillId="24" borderId="26" xfId="0" applyFont="1" applyFill="1" applyBorder="1" applyAlignment="1">
      <alignment/>
    </xf>
    <xf numFmtId="3" fontId="19" fillId="24" borderId="26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1" xfId="0" applyNumberFormat="1" applyBorder="1" applyAlignment="1">
      <alignment/>
    </xf>
    <xf numFmtId="0" fontId="14" fillId="0" borderId="45" xfId="0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32" fillId="24" borderId="16" xfId="0" applyFon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32" fillId="24" borderId="39" xfId="0" applyFont="1" applyFill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24" borderId="10" xfId="0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32" fillId="0" borderId="45" xfId="0" applyFont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33" fillId="0" borderId="29" xfId="0" applyNumberFormat="1" applyFont="1" applyBorder="1" applyAlignment="1">
      <alignment/>
    </xf>
    <xf numFmtId="0" fontId="32" fillId="24" borderId="26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0" fillId="0" borderId="20" xfId="0" applyBorder="1" applyAlignment="1">
      <alignment/>
    </xf>
    <xf numFmtId="0" fontId="32" fillId="24" borderId="46" xfId="0" applyFon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4" xfId="0" applyNumberFormat="1" applyFill="1" applyBorder="1" applyAlignment="1">
      <alignment/>
    </xf>
    <xf numFmtId="0" fontId="32" fillId="24" borderId="0" xfId="0" applyFon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3" fillId="24" borderId="29" xfId="0" applyNumberFormat="1" applyFont="1" applyFill="1" applyBorder="1" applyAlignment="1">
      <alignment/>
    </xf>
    <xf numFmtId="0" fontId="32" fillId="0" borderId="46" xfId="0" applyFont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43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43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3" fontId="33" fillId="24" borderId="0" xfId="0" applyNumberFormat="1" applyFont="1" applyFill="1" applyBorder="1" applyAlignment="1">
      <alignment/>
    </xf>
    <xf numFmtId="0" fontId="38" fillId="0" borderId="17" xfId="0" applyFont="1" applyBorder="1" applyAlignment="1">
      <alignment horizontal="center" wrapText="1"/>
    </xf>
    <xf numFmtId="0" fontId="32" fillId="24" borderId="10" xfId="0" applyFon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32" fillId="0" borderId="36" xfId="0" applyFont="1" applyBorder="1" applyAlignment="1">
      <alignment/>
    </xf>
    <xf numFmtId="0" fontId="32" fillId="24" borderId="18" xfId="0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33" fillId="0" borderId="26" xfId="0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0" fontId="32" fillId="24" borderId="26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32" fillId="0" borderId="18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3" fillId="0" borderId="27" xfId="0" applyFont="1" applyBorder="1" applyAlignment="1">
      <alignment/>
    </xf>
    <xf numFmtId="3" fontId="33" fillId="0" borderId="27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8" xfId="0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33" fillId="0" borderId="2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2" fillId="0" borderId="28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3" fontId="33" fillId="0" borderId="28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3" xfId="0" applyFont="1" applyBorder="1" applyAlignment="1">
      <alignment/>
    </xf>
    <xf numFmtId="0" fontId="41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32" fillId="0" borderId="29" xfId="0" applyFont="1" applyBorder="1" applyAlignment="1">
      <alignment horizontal="center"/>
    </xf>
    <xf numFmtId="0" fontId="33" fillId="0" borderId="13" xfId="0" applyFont="1" applyBorder="1" applyAlignment="1">
      <alignment/>
    </xf>
    <xf numFmtId="3" fontId="33" fillId="0" borderId="14" xfId="0" applyNumberFormat="1" applyFont="1" applyBorder="1" applyAlignment="1">
      <alignment/>
    </xf>
    <xf numFmtId="0" fontId="0" fillId="0" borderId="39" xfId="0" applyBorder="1" applyAlignment="1">
      <alignment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33" fillId="0" borderId="5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0" fillId="0" borderId="39" xfId="0" applyBorder="1" applyAlignment="1">
      <alignment/>
    </xf>
    <xf numFmtId="3" fontId="23" fillId="24" borderId="27" xfId="0" applyNumberFormat="1" applyFont="1" applyFill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37" fillId="0" borderId="27" xfId="0" applyNumberFormat="1" applyFont="1" applyBorder="1" applyAlignment="1">
      <alignment/>
    </xf>
    <xf numFmtId="3" fontId="37" fillId="24" borderId="27" xfId="0" applyNumberFormat="1" applyFont="1" applyFill="1" applyBorder="1" applyAlignment="1">
      <alignment/>
    </xf>
    <xf numFmtId="3" fontId="37" fillId="24" borderId="34" xfId="0" applyNumberFormat="1" applyFont="1" applyFill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37" fillId="0" borderId="22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24" borderId="26" xfId="0" applyNumberFormat="1" applyFont="1" applyFill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44" xfId="0" applyFont="1" applyBorder="1" applyAlignment="1">
      <alignment/>
    </xf>
    <xf numFmtId="3" fontId="37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37" fillId="0" borderId="3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1" xfId="0" applyNumberFormat="1" applyFont="1" applyBorder="1" applyAlignment="1">
      <alignment/>
    </xf>
    <xf numFmtId="0" fontId="32" fillId="0" borderId="26" xfId="0" applyFont="1" applyBorder="1" applyAlignment="1">
      <alignment wrapText="1"/>
    </xf>
    <xf numFmtId="3" fontId="23" fillId="0" borderId="27" xfId="0" applyNumberFormat="1" applyFont="1" applyBorder="1" applyAlignment="1">
      <alignment/>
    </xf>
    <xf numFmtId="3" fontId="37" fillId="0" borderId="4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32" fillId="0" borderId="27" xfId="0" applyFont="1" applyBorder="1" applyAlignment="1">
      <alignment wrapText="1"/>
    </xf>
    <xf numFmtId="0" fontId="32" fillId="0" borderId="37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14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7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33" fillId="0" borderId="27" xfId="0" applyNumberFormat="1" applyFont="1" applyBorder="1" applyAlignment="1">
      <alignment/>
    </xf>
    <xf numFmtId="0" fontId="43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16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0" fillId="24" borderId="0" xfId="0" applyFill="1" applyBorder="1" applyAlignment="1">
      <alignment/>
    </xf>
    <xf numFmtId="3" fontId="14" fillId="0" borderId="30" xfId="0" applyNumberFormat="1" applyFont="1" applyBorder="1" applyAlignment="1">
      <alignment/>
    </xf>
    <xf numFmtId="3" fontId="33" fillId="0" borderId="30" xfId="0" applyNumberFormat="1" applyFont="1" applyBorder="1" applyAlignment="1">
      <alignment/>
    </xf>
    <xf numFmtId="0" fontId="0" fillId="0" borderId="54" xfId="0" applyBorder="1" applyAlignment="1">
      <alignment/>
    </xf>
    <xf numFmtId="0" fontId="4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5" fillId="0" borderId="55" xfId="0" applyFont="1" applyBorder="1" applyAlignment="1">
      <alignment/>
    </xf>
    <xf numFmtId="3" fontId="19" fillId="0" borderId="55" xfId="0" applyNumberFormat="1" applyFont="1" applyBorder="1" applyAlignment="1">
      <alignment/>
    </xf>
    <xf numFmtId="0" fontId="46" fillId="0" borderId="55" xfId="0" applyFont="1" applyBorder="1" applyAlignment="1">
      <alignment/>
    </xf>
    <xf numFmtId="0" fontId="19" fillId="0" borderId="55" xfId="0" applyFont="1" applyBorder="1" applyAlignment="1">
      <alignment wrapText="1"/>
    </xf>
    <xf numFmtId="0" fontId="47" fillId="0" borderId="55" xfId="0" applyFont="1" applyBorder="1" applyAlignment="1">
      <alignment/>
    </xf>
    <xf numFmtId="0" fontId="46" fillId="0" borderId="55" xfId="0" applyFont="1" applyBorder="1" applyAlignment="1">
      <alignment wrapText="1"/>
    </xf>
    <xf numFmtId="0" fontId="19" fillId="0" borderId="55" xfId="0" applyFont="1" applyBorder="1" applyAlignment="1">
      <alignment/>
    </xf>
    <xf numFmtId="0" fontId="49" fillId="0" borderId="55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50" fillId="0" borderId="55" xfId="0" applyFont="1" applyBorder="1" applyAlignment="1">
      <alignment/>
    </xf>
    <xf numFmtId="3" fontId="48" fillId="0" borderId="55" xfId="0" applyNumberFormat="1" applyFont="1" applyBorder="1" applyAlignment="1">
      <alignment/>
    </xf>
    <xf numFmtId="3" fontId="51" fillId="0" borderId="55" xfId="0" applyNumberFormat="1" applyFont="1" applyBorder="1" applyAlignment="1">
      <alignment/>
    </xf>
    <xf numFmtId="0" fontId="25" fillId="0" borderId="55" xfId="0" applyFont="1" applyBorder="1" applyAlignment="1">
      <alignment/>
    </xf>
    <xf numFmtId="3" fontId="25" fillId="0" borderId="55" xfId="0" applyNumberFormat="1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42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44" xfId="0" applyBorder="1" applyAlignment="1">
      <alignment/>
    </xf>
    <xf numFmtId="0" fontId="32" fillId="0" borderId="2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right" vertical="center"/>
    </xf>
    <xf numFmtId="3" fontId="32" fillId="0" borderId="18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31" fillId="0" borderId="14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/>
    </xf>
    <xf numFmtId="3" fontId="32" fillId="0" borderId="14" xfId="0" applyNumberFormat="1" applyFont="1" applyBorder="1" applyAlignment="1">
      <alignment horizontal="right" vertical="center"/>
    </xf>
    <xf numFmtId="0" fontId="31" fillId="0" borderId="24" xfId="0" applyFont="1" applyBorder="1" applyAlignment="1">
      <alignment horizontal="center"/>
    </xf>
    <xf numFmtId="3" fontId="31" fillId="0" borderId="24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/>
    </xf>
    <xf numFmtId="3" fontId="32" fillId="0" borderId="24" xfId="0" applyNumberFormat="1" applyFont="1" applyBorder="1" applyAlignment="1">
      <alignment horizontal="right" vertical="center"/>
    </xf>
    <xf numFmtId="0" fontId="30" fillId="0" borderId="27" xfId="0" applyFont="1" applyBorder="1" applyAlignment="1">
      <alignment horizontal="center"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53" fillId="0" borderId="29" xfId="0" applyFont="1" applyBorder="1" applyAlignment="1">
      <alignment/>
    </xf>
    <xf numFmtId="0" fontId="30" fillId="0" borderId="39" xfId="0" applyFont="1" applyBorder="1" applyAlignment="1">
      <alignment/>
    </xf>
    <xf numFmtId="3" fontId="32" fillId="0" borderId="2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0" fillId="0" borderId="26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40" xfId="0" applyFont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40" xfId="0" applyNumberFormat="1" applyFont="1" applyBorder="1" applyAlignment="1">
      <alignment horizontal="right"/>
    </xf>
    <xf numFmtId="3" fontId="31" fillId="0" borderId="13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3" fontId="31" fillId="0" borderId="39" xfId="0" applyNumberFormat="1" applyFont="1" applyBorder="1" applyAlignment="1">
      <alignment horizontal="right"/>
    </xf>
    <xf numFmtId="3" fontId="31" fillId="0" borderId="41" xfId="0" applyNumberFormat="1" applyFont="1" applyBorder="1" applyAlignment="1">
      <alignment horizontal="right"/>
    </xf>
    <xf numFmtId="3" fontId="30" fillId="0" borderId="26" xfId="0" applyNumberFormat="1" applyFont="1" applyBorder="1" applyAlignment="1">
      <alignment horizontal="right" vertical="center"/>
    </xf>
    <xf numFmtId="3" fontId="30" fillId="0" borderId="34" xfId="0" applyNumberFormat="1" applyFont="1" applyBorder="1" applyAlignment="1">
      <alignment horizontal="right" vertical="center"/>
    </xf>
    <xf numFmtId="0" fontId="32" fillId="0" borderId="26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3" fontId="31" fillId="0" borderId="44" xfId="0" applyNumberFormat="1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3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33" fillId="0" borderId="0" xfId="0" applyFont="1" applyBorder="1" applyAlignment="1">
      <alignment wrapText="1"/>
    </xf>
    <xf numFmtId="3" fontId="31" fillId="0" borderId="40" xfId="0" applyNumberFormat="1" applyFont="1" applyBorder="1" applyAlignment="1">
      <alignment horizontal="right" vertical="center"/>
    </xf>
    <xf numFmtId="3" fontId="31" fillId="0" borderId="47" xfId="0" applyNumberFormat="1" applyFont="1" applyBorder="1" applyAlignment="1">
      <alignment horizontal="right" vertical="center"/>
    </xf>
    <xf numFmtId="3" fontId="0" fillId="24" borderId="37" xfId="0" applyNumberForma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32" fillId="0" borderId="34" xfId="0" applyNumberFormat="1" applyFont="1" applyBorder="1" applyAlignment="1">
      <alignment/>
    </xf>
    <xf numFmtId="0" fontId="57" fillId="0" borderId="21" xfId="0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57" fillId="0" borderId="3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57" fillId="0" borderId="29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3" fontId="57" fillId="0" borderId="43" xfId="0" applyNumberFormat="1" applyFont="1" applyBorder="1" applyAlignment="1">
      <alignment/>
    </xf>
    <xf numFmtId="3" fontId="32" fillId="0" borderId="41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34" fillId="0" borderId="27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24" borderId="16" xfId="0" applyNumberForma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43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14" fillId="0" borderId="31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57" fillId="0" borderId="21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3" fontId="57" fillId="0" borderId="31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2" fillId="0" borderId="39" xfId="0" applyNumberFormat="1" applyFont="1" applyBorder="1" applyAlignment="1">
      <alignment/>
    </xf>
    <xf numFmtId="3" fontId="33" fillId="24" borderId="34" xfId="0" applyNumberFormat="1" applyFont="1" applyFill="1" applyBorder="1" applyAlignment="1">
      <alignment/>
    </xf>
    <xf numFmtId="3" fontId="14" fillId="0" borderId="40" xfId="0" applyNumberFormat="1" applyFont="1" applyBorder="1" applyAlignment="1">
      <alignment/>
    </xf>
    <xf numFmtId="3" fontId="57" fillId="0" borderId="39" xfId="0" applyNumberFormat="1" applyFont="1" applyBorder="1" applyAlignment="1">
      <alignment/>
    </xf>
    <xf numFmtId="3" fontId="57" fillId="0" borderId="47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14" fillId="0" borderId="2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30" xfId="0" applyNumberFormat="1" applyFont="1" applyBorder="1" applyAlignment="1">
      <alignment/>
    </xf>
    <xf numFmtId="3" fontId="33" fillId="24" borderId="26" xfId="0" applyNumberFormat="1" applyFont="1" applyFill="1" applyBorder="1" applyAlignment="1">
      <alignment/>
    </xf>
    <xf numFmtId="3" fontId="33" fillId="24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22" xfId="0" applyFont="1" applyBorder="1" applyAlignment="1">
      <alignment/>
    </xf>
    <xf numFmtId="0" fontId="32" fillId="0" borderId="0" xfId="0" applyFont="1" applyAlignment="1">
      <alignment/>
    </xf>
    <xf numFmtId="0" fontId="59" fillId="0" borderId="0" xfId="0" applyFont="1" applyAlignment="1">
      <alignment horizontal="center"/>
    </xf>
    <xf numFmtId="0" fontId="37" fillId="0" borderId="13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0" xfId="4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wrapText="1"/>
    </xf>
    <xf numFmtId="0" fontId="59" fillId="0" borderId="21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/>
    </xf>
    <xf numFmtId="3" fontId="31" fillId="0" borderId="22" xfId="0" applyNumberFormat="1" applyFont="1" applyBorder="1" applyAlignment="1">
      <alignment horizontal="right" wrapText="1"/>
    </xf>
    <xf numFmtId="0" fontId="31" fillId="0" borderId="13" xfId="0" applyFont="1" applyBorder="1" applyAlignment="1">
      <alignment wrapText="1"/>
    </xf>
    <xf numFmtId="3" fontId="31" fillId="0" borderId="14" xfId="40" applyNumberFormat="1" applyFont="1" applyFill="1" applyBorder="1" applyAlignment="1" applyProtection="1">
      <alignment/>
      <protection/>
    </xf>
    <xf numFmtId="3" fontId="31" fillId="0" borderId="24" xfId="4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3" fontId="31" fillId="0" borderId="30" xfId="40" applyNumberFormat="1" applyFont="1" applyFill="1" applyBorder="1" applyAlignment="1" applyProtection="1">
      <alignment/>
      <protection/>
    </xf>
    <xf numFmtId="0" fontId="30" fillId="0" borderId="26" xfId="0" applyFont="1" applyBorder="1" applyAlignment="1">
      <alignment wrapText="1"/>
    </xf>
    <xf numFmtId="3" fontId="30" fillId="0" borderId="27" xfId="40" applyNumberFormat="1" applyFont="1" applyFill="1" applyBorder="1" applyAlignment="1" applyProtection="1">
      <alignment/>
      <protection/>
    </xf>
    <xf numFmtId="3" fontId="31" fillId="0" borderId="22" xfId="4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 wrapText="1"/>
    </xf>
    <xf numFmtId="3" fontId="62" fillId="0" borderId="14" xfId="40" applyNumberFormat="1" applyFont="1" applyFill="1" applyBorder="1" applyAlignment="1" applyProtection="1">
      <alignment/>
      <protection/>
    </xf>
    <xf numFmtId="3" fontId="30" fillId="0" borderId="27" xfId="0" applyNumberFormat="1" applyFont="1" applyBorder="1" applyAlignment="1">
      <alignment/>
    </xf>
    <xf numFmtId="0" fontId="30" fillId="0" borderId="34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167" fontId="31" fillId="0" borderId="32" xfId="0" applyNumberFormat="1" applyFont="1" applyBorder="1" applyAlignment="1">
      <alignment horizontal="right"/>
    </xf>
    <xf numFmtId="0" fontId="31" fillId="0" borderId="24" xfId="0" applyFont="1" applyBorder="1" applyAlignment="1">
      <alignment/>
    </xf>
    <xf numFmtId="167" fontId="31" fillId="0" borderId="33" xfId="0" applyNumberFormat="1" applyFont="1" applyBorder="1" applyAlignment="1">
      <alignment horizontal="right"/>
    </xf>
    <xf numFmtId="167" fontId="30" fillId="0" borderId="34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7" fontId="30" fillId="0" borderId="0" xfId="0" applyNumberFormat="1" applyFont="1" applyBorder="1" applyAlignment="1">
      <alignment horizontal="right"/>
    </xf>
    <xf numFmtId="0" fontId="19" fillId="0" borderId="0" xfId="54" applyFont="1" applyProtection="1">
      <alignment/>
      <protection/>
    </xf>
    <xf numFmtId="0" fontId="19" fillId="0" borderId="22" xfId="54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22" xfId="54" applyNumberFormat="1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3" fontId="25" fillId="0" borderId="41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0" fontId="25" fillId="0" borderId="43" xfId="54" applyFont="1" applyBorder="1" applyProtection="1">
      <alignment/>
      <protection/>
    </xf>
    <xf numFmtId="3" fontId="25" fillId="0" borderId="43" xfId="54" applyNumberFormat="1" applyFont="1" applyBorder="1" applyProtection="1">
      <alignment/>
      <protection/>
    </xf>
    <xf numFmtId="0" fontId="25" fillId="0" borderId="27" xfId="54" applyFont="1" applyBorder="1" applyAlignment="1" applyProtection="1">
      <alignment vertical="center"/>
      <protection/>
    </xf>
    <xf numFmtId="0" fontId="25" fillId="0" borderId="34" xfId="54" applyFont="1" applyBorder="1" applyAlignment="1" applyProtection="1">
      <alignment horizontal="center" vertical="center" wrapText="1"/>
      <protection/>
    </xf>
    <xf numFmtId="0" fontId="19" fillId="0" borderId="38" xfId="54" applyFont="1" applyBorder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32" xfId="54" applyFont="1" applyBorder="1" applyProtection="1">
      <alignment/>
      <protection/>
    </xf>
    <xf numFmtId="0" fontId="19" fillId="0" borderId="14" xfId="54" applyFont="1" applyBorder="1" applyAlignment="1" applyProtection="1">
      <alignment wrapText="1"/>
      <protection/>
    </xf>
    <xf numFmtId="0" fontId="19" fillId="0" borderId="24" xfId="54" applyFont="1" applyBorder="1" applyProtection="1">
      <alignment/>
      <protection/>
    </xf>
    <xf numFmtId="0" fontId="25" fillId="0" borderId="26" xfId="54" applyFont="1" applyBorder="1" applyProtection="1">
      <alignment/>
      <protection/>
    </xf>
    <xf numFmtId="3" fontId="25" fillId="0" borderId="27" xfId="54" applyNumberFormat="1" applyFont="1" applyBorder="1" applyProtection="1">
      <alignment/>
      <protection/>
    </xf>
    <xf numFmtId="0" fontId="19" fillId="0" borderId="26" xfId="54" applyFont="1" applyBorder="1" applyProtection="1">
      <alignment/>
      <protection/>
    </xf>
    <xf numFmtId="0" fontId="19" fillId="0" borderId="20" xfId="54" applyFont="1" applyBorder="1" applyProtection="1">
      <alignment/>
      <protection/>
    </xf>
    <xf numFmtId="3" fontId="19" fillId="0" borderId="30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0" fontId="38" fillId="0" borderId="21" xfId="54" applyFont="1" applyBorder="1" applyProtection="1">
      <alignment/>
      <protection/>
    </xf>
    <xf numFmtId="3" fontId="25" fillId="0" borderId="22" xfId="54" applyNumberFormat="1" applyFont="1" applyBorder="1" applyProtection="1">
      <alignment/>
      <protection/>
    </xf>
    <xf numFmtId="0" fontId="25" fillId="0" borderId="21" xfId="54" applyFont="1" applyBorder="1" applyProtection="1">
      <alignment/>
      <protection/>
    </xf>
    <xf numFmtId="0" fontId="25" fillId="0" borderId="13" xfId="54" applyFont="1" applyBorder="1" applyProtection="1">
      <alignment/>
      <protection/>
    </xf>
    <xf numFmtId="3" fontId="25" fillId="0" borderId="14" xfId="54" applyNumberFormat="1" applyFont="1" applyBorder="1" applyProtection="1">
      <alignment/>
      <protection/>
    </xf>
    <xf numFmtId="0" fontId="25" fillId="0" borderId="44" xfId="54" applyFont="1" applyBorder="1" applyProtection="1">
      <alignment/>
      <protection/>
    </xf>
    <xf numFmtId="0" fontId="25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39" xfId="0" applyFont="1" applyBorder="1" applyAlignment="1">
      <alignment/>
    </xf>
    <xf numFmtId="3" fontId="25" fillId="24" borderId="27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44" xfId="0" applyFont="1" applyBorder="1" applyAlignment="1">
      <alignment/>
    </xf>
    <xf numFmtId="0" fontId="25" fillId="24" borderId="39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32" fillId="0" borderId="3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64" fillId="0" borderId="0" xfId="0" applyFont="1" applyAlignment="1">
      <alignment/>
    </xf>
    <xf numFmtId="0" fontId="31" fillId="0" borderId="2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0" fillId="0" borderId="28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3" fontId="37" fillId="0" borderId="22" xfId="40" applyNumberFormat="1" applyFont="1" applyFill="1" applyBorder="1" applyAlignment="1" applyProtection="1">
      <alignment vertical="center"/>
      <protection/>
    </xf>
    <xf numFmtId="3" fontId="37" fillId="0" borderId="23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 wrapText="1"/>
      <protection/>
    </xf>
    <xf numFmtId="3" fontId="37" fillId="0" borderId="15" xfId="40" applyNumberFormat="1" applyFont="1" applyFill="1" applyBorder="1" applyAlignment="1" applyProtection="1">
      <alignment vertical="center" wrapText="1"/>
      <protection/>
    </xf>
    <xf numFmtId="0" fontId="36" fillId="0" borderId="13" xfId="0" applyFont="1" applyBorder="1" applyAlignment="1">
      <alignment vertical="center" wrapText="1"/>
    </xf>
    <xf numFmtId="3" fontId="37" fillId="0" borderId="14" xfId="40" applyNumberFormat="1" applyFont="1" applyFill="1" applyBorder="1" applyAlignment="1" applyProtection="1">
      <alignment vertical="center"/>
      <protection/>
    </xf>
    <xf numFmtId="3" fontId="37" fillId="0" borderId="15" xfId="40" applyNumberFormat="1" applyFont="1" applyFill="1" applyBorder="1" applyAlignment="1" applyProtection="1">
      <alignment vertical="center"/>
      <protection/>
    </xf>
    <xf numFmtId="0" fontId="37" fillId="0" borderId="13" xfId="0" applyFont="1" applyBorder="1" applyAlignment="1">
      <alignment vertical="center" shrinkToFit="1"/>
    </xf>
    <xf numFmtId="0" fontId="19" fillId="0" borderId="13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3" fontId="37" fillId="0" borderId="30" xfId="40" applyNumberFormat="1" applyFont="1" applyFill="1" applyBorder="1" applyAlignment="1" applyProtection="1">
      <alignment vertical="center"/>
      <protection/>
    </xf>
    <xf numFmtId="3" fontId="37" fillId="0" borderId="0" xfId="40" applyNumberFormat="1" applyFont="1" applyFill="1" applyBorder="1" applyAlignment="1" applyProtection="1">
      <alignment vertical="center"/>
      <protection/>
    </xf>
    <xf numFmtId="3" fontId="23" fillId="0" borderId="27" xfId="4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3" fillId="0" borderId="26" xfId="0" applyFont="1" applyBorder="1" applyAlignment="1">
      <alignment/>
    </xf>
    <xf numFmtId="0" fontId="58" fillId="0" borderId="0" xfId="0" applyFont="1" applyAlignment="1">
      <alignment horizontal="right"/>
    </xf>
    <xf numFmtId="0" fontId="30" fillId="0" borderId="20" xfId="0" applyFont="1" applyBorder="1" applyAlignment="1">
      <alignment vertical="center"/>
    </xf>
    <xf numFmtId="0" fontId="30" fillId="0" borderId="3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9" fillId="0" borderId="0" xfId="0" applyFont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3" fontId="31" fillId="0" borderId="23" xfId="40" applyNumberFormat="1" applyFont="1" applyFill="1" applyBorder="1" applyAlignment="1" applyProtection="1">
      <alignment horizontal="right" vertical="center"/>
      <protection/>
    </xf>
    <xf numFmtId="3" fontId="31" fillId="0" borderId="22" xfId="40" applyNumberFormat="1" applyFont="1" applyFill="1" applyBorder="1" applyAlignment="1" applyProtection="1">
      <alignment horizontal="right" vertical="center"/>
      <protection/>
    </xf>
    <xf numFmtId="3" fontId="31" fillId="0" borderId="14" xfId="4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3" fontId="31" fillId="0" borderId="30" xfId="40" applyNumberFormat="1" applyFont="1" applyFill="1" applyBorder="1" applyAlignment="1" applyProtection="1">
      <alignment horizontal="right" vertical="center"/>
      <protection/>
    </xf>
    <xf numFmtId="3" fontId="30" fillId="0" borderId="28" xfId="40" applyNumberFormat="1" applyFont="1" applyFill="1" applyBorder="1" applyAlignment="1" applyProtection="1">
      <alignment horizontal="right" vertical="center"/>
      <protection/>
    </xf>
    <xf numFmtId="3" fontId="30" fillId="0" borderId="27" xfId="40" applyNumberFormat="1" applyFont="1" applyFill="1" applyBorder="1" applyAlignment="1" applyProtection="1">
      <alignment horizontal="right" vertical="center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40" xfId="40" applyNumberFormat="1" applyFont="1" applyFill="1" applyBorder="1" applyAlignment="1" applyProtection="1">
      <alignment vertical="center"/>
      <protection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3" fontId="19" fillId="0" borderId="13" xfId="40" applyNumberFormat="1" applyFont="1" applyFill="1" applyBorder="1" applyAlignment="1" applyProtection="1">
      <alignment vertical="center"/>
      <protection/>
    </xf>
    <xf numFmtId="3" fontId="19" fillId="0" borderId="14" xfId="40" applyNumberFormat="1" applyFont="1" applyFill="1" applyBorder="1" applyAlignment="1" applyProtection="1">
      <alignment vertical="center"/>
      <protection/>
    </xf>
    <xf numFmtId="3" fontId="19" fillId="0" borderId="32" xfId="40" applyNumberFormat="1" applyFont="1" applyFill="1" applyBorder="1" applyAlignment="1" applyProtection="1">
      <alignment vertical="center"/>
      <protection/>
    </xf>
    <xf numFmtId="3" fontId="19" fillId="0" borderId="38" xfId="4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Border="1" applyAlignment="1">
      <alignment vertical="center"/>
    </xf>
    <xf numFmtId="3" fontId="19" fillId="0" borderId="31" xfId="40" applyNumberFormat="1" applyFont="1" applyFill="1" applyBorder="1" applyAlignment="1" applyProtection="1">
      <alignment vertical="center"/>
      <protection/>
    </xf>
    <xf numFmtId="3" fontId="19" fillId="0" borderId="19" xfId="0" applyNumberFormat="1" applyFont="1" applyBorder="1" applyAlignment="1">
      <alignment horizontal="right" vertical="center"/>
    </xf>
    <xf numFmtId="3" fontId="54" fillId="0" borderId="24" xfId="0" applyNumberFormat="1" applyFont="1" applyBorder="1" applyAlignment="1">
      <alignment/>
    </xf>
    <xf numFmtId="3" fontId="54" fillId="0" borderId="33" xfId="0" applyNumberFormat="1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32" xfId="0" applyNumberFormat="1" applyFont="1" applyBorder="1" applyAlignment="1">
      <alignment/>
    </xf>
    <xf numFmtId="0" fontId="19" fillId="0" borderId="44" xfId="0" applyFont="1" applyFill="1" applyBorder="1" applyAlignment="1">
      <alignment horizontal="left" vertical="center"/>
    </xf>
    <xf numFmtId="0" fontId="0" fillId="0" borderId="47" xfId="0" applyBorder="1" applyAlignment="1">
      <alignment/>
    </xf>
    <xf numFmtId="3" fontId="19" fillId="0" borderId="47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30" fillId="0" borderId="34" xfId="0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 vertical="center"/>
    </xf>
    <xf numFmtId="0" fontId="0" fillId="0" borderId="33" xfId="0" applyBorder="1" applyAlignment="1">
      <alignment/>
    </xf>
    <xf numFmtId="0" fontId="54" fillId="0" borderId="0" xfId="0" applyFont="1" applyAlignment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55" fillId="0" borderId="22" xfId="0" applyFont="1" applyBorder="1" applyAlignment="1">
      <alignment horizontal="left" vertical="center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/>
    </xf>
    <xf numFmtId="3" fontId="54" fillId="0" borderId="22" xfId="40" applyNumberFormat="1" applyFont="1" applyFill="1" applyBorder="1" applyAlignment="1" applyProtection="1">
      <alignment horizontal="right"/>
      <protection/>
    </xf>
    <xf numFmtId="0" fontId="41" fillId="0" borderId="14" xfId="0" applyFont="1" applyBorder="1" applyAlignment="1">
      <alignment/>
    </xf>
    <xf numFmtId="3" fontId="55" fillId="0" borderId="22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/>
    </xf>
    <xf numFmtId="0" fontId="55" fillId="0" borderId="24" xfId="0" applyFont="1" applyBorder="1" applyAlignment="1">
      <alignment wrapText="1"/>
    </xf>
    <xf numFmtId="3" fontId="55" fillId="0" borderId="24" xfId="40" applyNumberFormat="1" applyFont="1" applyFill="1" applyBorder="1" applyAlignment="1" applyProtection="1">
      <alignment horizontal="right"/>
      <protection/>
    </xf>
    <xf numFmtId="0" fontId="55" fillId="0" borderId="14" xfId="0" applyFont="1" applyBorder="1" applyAlignment="1">
      <alignment wrapText="1"/>
    </xf>
    <xf numFmtId="3" fontId="55" fillId="0" borderId="14" xfId="40" applyNumberFormat="1" applyFont="1" applyFill="1" applyBorder="1" applyAlignment="1" applyProtection="1">
      <alignment horizontal="right"/>
      <protection/>
    </xf>
    <xf numFmtId="0" fontId="54" fillId="0" borderId="14" xfId="0" applyFont="1" applyBorder="1" applyAlignment="1">
      <alignment wrapText="1"/>
    </xf>
    <xf numFmtId="0" fontId="69" fillId="0" borderId="29" xfId="0" applyFont="1" applyBorder="1" applyAlignment="1">
      <alignment/>
    </xf>
    <xf numFmtId="3" fontId="69" fillId="0" borderId="29" xfId="40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 horizontal="justify"/>
    </xf>
    <xf numFmtId="0" fontId="67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33" fillId="0" borderId="42" xfId="0" applyNumberFormat="1" applyFont="1" applyBorder="1" applyAlignment="1">
      <alignment/>
    </xf>
    <xf numFmtId="3" fontId="33" fillId="0" borderId="4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9" fillId="0" borderId="45" xfId="0" applyFont="1" applyBorder="1" applyAlignment="1">
      <alignment/>
    </xf>
    <xf numFmtId="0" fontId="36" fillId="0" borderId="55" xfId="0" applyFont="1" applyBorder="1" applyAlignment="1">
      <alignment wrapText="1"/>
    </xf>
    <xf numFmtId="3" fontId="36" fillId="0" borderId="57" xfId="40" applyNumberFormat="1" applyFont="1" applyFill="1" applyBorder="1" applyAlignment="1" applyProtection="1">
      <alignment/>
      <protection/>
    </xf>
    <xf numFmtId="3" fontId="36" fillId="0" borderId="55" xfId="0" applyNumberFormat="1" applyFont="1" applyBorder="1" applyAlignment="1">
      <alignment/>
    </xf>
    <xf numFmtId="3" fontId="36" fillId="0" borderId="58" xfId="0" applyNumberFormat="1" applyFont="1" applyBorder="1" applyAlignment="1">
      <alignment/>
    </xf>
    <xf numFmtId="3" fontId="36" fillId="0" borderId="15" xfId="40" applyNumberFormat="1" applyFont="1" applyFill="1" applyBorder="1" applyAlignment="1" applyProtection="1">
      <alignment/>
      <protection/>
    </xf>
    <xf numFmtId="3" fontId="36" fillId="0" borderId="50" xfId="0" applyNumberFormat="1" applyFont="1" applyBorder="1" applyAlignment="1">
      <alignment/>
    </xf>
    <xf numFmtId="3" fontId="36" fillId="0" borderId="55" xfId="40" applyNumberFormat="1" applyFont="1" applyFill="1" applyBorder="1" applyAlignment="1" applyProtection="1">
      <alignment/>
      <protection/>
    </xf>
    <xf numFmtId="3" fontId="36" fillId="0" borderId="50" xfId="40" applyNumberFormat="1" applyFont="1" applyFill="1" applyBorder="1" applyAlignment="1" applyProtection="1">
      <alignment/>
      <protection/>
    </xf>
    <xf numFmtId="0" fontId="19" fillId="0" borderId="45" xfId="0" applyFont="1" applyBorder="1" applyAlignment="1">
      <alignment wrapText="1"/>
    </xf>
    <xf numFmtId="0" fontId="25" fillId="0" borderId="59" xfId="0" applyFont="1" applyBorder="1" applyAlignment="1">
      <alignment/>
    </xf>
    <xf numFmtId="0" fontId="61" fillId="0" borderId="60" xfId="0" applyFont="1" applyBorder="1" applyAlignment="1">
      <alignment/>
    </xf>
    <xf numFmtId="3" fontId="25" fillId="0" borderId="60" xfId="40" applyNumberFormat="1" applyFont="1" applyFill="1" applyBorder="1" applyAlignment="1" applyProtection="1">
      <alignment/>
      <protection/>
    </xf>
    <xf numFmtId="3" fontId="61" fillId="0" borderId="60" xfId="40" applyNumberFormat="1" applyFont="1" applyFill="1" applyBorder="1" applyAlignment="1" applyProtection="1">
      <alignment/>
      <protection/>
    </xf>
    <xf numFmtId="3" fontId="61" fillId="0" borderId="61" xfId="40" applyNumberFormat="1" applyFont="1" applyFill="1" applyBorder="1" applyAlignment="1" applyProtection="1">
      <alignment/>
      <protection/>
    </xf>
    <xf numFmtId="3" fontId="61" fillId="0" borderId="62" xfId="4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/>
    </xf>
    <xf numFmtId="3" fontId="61" fillId="0" borderId="0" xfId="40" applyNumberFormat="1" applyFont="1" applyFill="1" applyBorder="1" applyAlignment="1" applyProtection="1">
      <alignment/>
      <protection/>
    </xf>
    <xf numFmtId="0" fontId="25" fillId="0" borderId="4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3" fontId="36" fillId="0" borderId="58" xfId="40" applyNumberFormat="1" applyFont="1" applyFill="1" applyBorder="1" applyAlignment="1" applyProtection="1">
      <alignment/>
      <protection/>
    </xf>
    <xf numFmtId="0" fontId="61" fillId="0" borderId="63" xfId="0" applyFont="1" applyBorder="1" applyAlignment="1">
      <alignment/>
    </xf>
    <xf numFmtId="0" fontId="61" fillId="0" borderId="64" xfId="0" applyFont="1" applyBorder="1" applyAlignment="1">
      <alignment/>
    </xf>
    <xf numFmtId="3" fontId="25" fillId="0" borderId="64" xfId="40" applyNumberFormat="1" applyFont="1" applyFill="1" applyBorder="1" applyAlignment="1" applyProtection="1">
      <alignment/>
      <protection/>
    </xf>
    <xf numFmtId="3" fontId="61" fillId="0" borderId="64" xfId="40" applyNumberFormat="1" applyFont="1" applyFill="1" applyBorder="1" applyAlignment="1" applyProtection="1">
      <alignment/>
      <protection/>
    </xf>
    <xf numFmtId="3" fontId="61" fillId="0" borderId="65" xfId="40" applyNumberFormat="1" applyFont="1" applyFill="1" applyBorder="1" applyAlignment="1" applyProtection="1">
      <alignment/>
      <protection/>
    </xf>
    <xf numFmtId="3" fontId="25" fillId="0" borderId="62" xfId="40" applyNumberFormat="1" applyFont="1" applyFill="1" applyBorder="1" applyAlignment="1" applyProtection="1">
      <alignment/>
      <protection/>
    </xf>
    <xf numFmtId="0" fontId="32" fillId="0" borderId="0" xfId="0" applyFont="1" applyAlignment="1">
      <alignment horizontal="right"/>
    </xf>
    <xf numFmtId="0" fontId="31" fillId="0" borderId="11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0" fontId="63" fillId="0" borderId="0" xfId="0" applyFont="1" applyAlignment="1">
      <alignment horizontal="right"/>
    </xf>
    <xf numFmtId="0" fontId="23" fillId="0" borderId="4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vertical="center"/>
    </xf>
    <xf numFmtId="0" fontId="19" fillId="0" borderId="51" xfId="0" applyFont="1" applyBorder="1" applyAlignment="1">
      <alignment vertical="center" wrapText="1"/>
    </xf>
    <xf numFmtId="3" fontId="19" fillId="0" borderId="67" xfId="0" applyNumberFormat="1" applyFont="1" applyBorder="1" applyAlignment="1">
      <alignment vertical="center"/>
    </xf>
    <xf numFmtId="3" fontId="19" fillId="0" borderId="52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3" fontId="25" fillId="0" borderId="6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5" fillId="0" borderId="50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3" fontId="25" fillId="0" borderId="5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45" fillId="0" borderId="0" xfId="0" applyFont="1" applyAlignment="1">
      <alignment/>
    </xf>
    <xf numFmtId="0" fontId="23" fillId="0" borderId="55" xfId="0" applyFont="1" applyBorder="1" applyAlignment="1">
      <alignment/>
    </xf>
    <xf numFmtId="0" fontId="61" fillId="0" borderId="55" xfId="0" applyFont="1" applyBorder="1" applyAlignment="1">
      <alignment/>
    </xf>
    <xf numFmtId="0" fontId="50" fillId="0" borderId="55" xfId="0" applyFont="1" applyBorder="1" applyAlignment="1">
      <alignment wrapText="1"/>
    </xf>
    <xf numFmtId="0" fontId="46" fillId="0" borderId="58" xfId="0" applyFont="1" applyBorder="1" applyAlignment="1">
      <alignment wrapText="1"/>
    </xf>
    <xf numFmtId="3" fontId="25" fillId="0" borderId="69" xfId="0" applyNumberFormat="1" applyFont="1" applyBorder="1" applyAlignment="1">
      <alignment/>
    </xf>
    <xf numFmtId="0" fontId="49" fillId="0" borderId="58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3" fontId="19" fillId="0" borderId="58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0" fontId="48" fillId="0" borderId="55" xfId="0" applyFont="1" applyBorder="1" applyAlignment="1">
      <alignment/>
    </xf>
    <xf numFmtId="3" fontId="37" fillId="0" borderId="55" xfId="0" applyNumberFormat="1" applyFont="1" applyBorder="1" applyAlignment="1">
      <alignment/>
    </xf>
    <xf numFmtId="0" fontId="60" fillId="0" borderId="0" xfId="0" applyFont="1" applyAlignment="1">
      <alignment/>
    </xf>
    <xf numFmtId="0" fontId="23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 wrapText="1"/>
    </xf>
    <xf numFmtId="10" fontId="37" fillId="0" borderId="55" xfId="0" applyNumberFormat="1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55" xfId="0" applyFont="1" applyBorder="1" applyAlignment="1">
      <alignment horizontal="justify"/>
    </xf>
    <xf numFmtId="3" fontId="37" fillId="0" borderId="55" xfId="0" applyNumberFormat="1" applyFont="1" applyBorder="1" applyAlignment="1">
      <alignment horizontal="justify"/>
    </xf>
    <xf numFmtId="3" fontId="37" fillId="0" borderId="71" xfId="0" applyNumberFormat="1" applyFont="1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8" fillId="0" borderId="37" xfId="0" applyFont="1" applyBorder="1" applyAlignment="1">
      <alignment horizontal="center" vertical="center" wrapText="1"/>
    </xf>
    <xf numFmtId="3" fontId="33" fillId="0" borderId="72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0" fontId="25" fillId="0" borderId="74" xfId="0" applyFont="1" applyBorder="1" applyAlignment="1">
      <alignment horizontal="left" vertical="center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19" fillId="0" borderId="78" xfId="0" applyFont="1" applyBorder="1" applyAlignment="1">
      <alignment/>
    </xf>
    <xf numFmtId="3" fontId="19" fillId="0" borderId="79" xfId="0" applyNumberFormat="1" applyFont="1" applyBorder="1" applyAlignment="1">
      <alignment/>
    </xf>
    <xf numFmtId="0" fontId="25" fillId="0" borderId="80" xfId="0" applyFont="1" applyBorder="1" applyAlignment="1">
      <alignment/>
    </xf>
    <xf numFmtId="3" fontId="19" fillId="0" borderId="81" xfId="0" applyNumberFormat="1" applyFont="1" applyBorder="1" applyAlignment="1">
      <alignment/>
    </xf>
    <xf numFmtId="0" fontId="45" fillId="0" borderId="82" xfId="0" applyFont="1" applyBorder="1" applyAlignment="1">
      <alignment/>
    </xf>
    <xf numFmtId="0" fontId="46" fillId="0" borderId="82" xfId="0" applyFont="1" applyBorder="1" applyAlignment="1">
      <alignment/>
    </xf>
    <xf numFmtId="0" fontId="19" fillId="0" borderId="82" xfId="0" applyFont="1" applyBorder="1" applyAlignment="1">
      <alignment wrapText="1"/>
    </xf>
    <xf numFmtId="0" fontId="47" fillId="0" borderId="82" xfId="0" applyFont="1" applyBorder="1" applyAlignment="1">
      <alignment/>
    </xf>
    <xf numFmtId="0" fontId="46" fillId="0" borderId="82" xfId="0" applyFont="1" applyBorder="1" applyAlignment="1">
      <alignment wrapText="1"/>
    </xf>
    <xf numFmtId="0" fontId="19" fillId="0" borderId="82" xfId="0" applyFont="1" applyBorder="1" applyAlignment="1">
      <alignment/>
    </xf>
    <xf numFmtId="0" fontId="49" fillId="0" borderId="82" xfId="0" applyFont="1" applyBorder="1" applyAlignment="1">
      <alignment/>
    </xf>
    <xf numFmtId="0" fontId="49" fillId="0" borderId="83" xfId="0" applyFont="1" applyBorder="1" applyAlignment="1">
      <alignment/>
    </xf>
    <xf numFmtId="3" fontId="48" fillId="0" borderId="79" xfId="0" applyNumberFormat="1" applyFont="1" applyBorder="1" applyAlignment="1">
      <alignment/>
    </xf>
    <xf numFmtId="3" fontId="51" fillId="0" borderId="79" xfId="0" applyNumberFormat="1" applyFont="1" applyBorder="1" applyAlignment="1">
      <alignment/>
    </xf>
    <xf numFmtId="0" fontId="50" fillId="0" borderId="82" xfId="0" applyFont="1" applyBorder="1" applyAlignment="1">
      <alignment/>
    </xf>
    <xf numFmtId="0" fontId="47" fillId="0" borderId="84" xfId="0" applyFont="1" applyBorder="1" applyAlignment="1">
      <alignment/>
    </xf>
    <xf numFmtId="3" fontId="19" fillId="0" borderId="85" xfId="0" applyNumberFormat="1" applyFont="1" applyBorder="1" applyAlignment="1">
      <alignment/>
    </xf>
    <xf numFmtId="0" fontId="25" fillId="0" borderId="72" xfId="0" applyFont="1" applyBorder="1" applyAlignment="1">
      <alignment/>
    </xf>
    <xf numFmtId="3" fontId="25" fillId="0" borderId="86" xfId="0" applyNumberFormat="1" applyFont="1" applyBorder="1" applyAlignment="1">
      <alignment/>
    </xf>
    <xf numFmtId="0" fontId="25" fillId="0" borderId="87" xfId="0" applyFont="1" applyBorder="1" applyAlignment="1">
      <alignment/>
    </xf>
    <xf numFmtId="3" fontId="25" fillId="0" borderId="88" xfId="0" applyNumberFormat="1" applyFont="1" applyBorder="1" applyAlignment="1">
      <alignment/>
    </xf>
    <xf numFmtId="0" fontId="49" fillId="0" borderId="89" xfId="0" applyFont="1" applyBorder="1" applyAlignment="1">
      <alignment/>
    </xf>
    <xf numFmtId="3" fontId="19" fillId="0" borderId="90" xfId="0" applyNumberFormat="1" applyFont="1" applyBorder="1" applyAlignment="1">
      <alignment/>
    </xf>
    <xf numFmtId="0" fontId="25" fillId="0" borderId="72" xfId="0" applyFont="1" applyBorder="1" applyAlignment="1">
      <alignment horizontal="left" vertical="center"/>
    </xf>
    <xf numFmtId="0" fontId="25" fillId="0" borderId="86" xfId="0" applyFont="1" applyBorder="1" applyAlignment="1">
      <alignment horizontal="center" vertical="center" wrapText="1"/>
    </xf>
    <xf numFmtId="0" fontId="45" fillId="0" borderId="89" xfId="0" applyFont="1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1" fillId="0" borderId="21" xfId="40" applyNumberFormat="1" applyFont="1" applyFill="1" applyBorder="1" applyAlignment="1" applyProtection="1">
      <alignment horizontal="right" vertical="center"/>
      <protection/>
    </xf>
    <xf numFmtId="3" fontId="31" fillId="0" borderId="39" xfId="40" applyNumberFormat="1" applyFont="1" applyFill="1" applyBorder="1" applyAlignment="1" applyProtection="1">
      <alignment horizontal="right" vertical="center"/>
      <protection/>
    </xf>
    <xf numFmtId="3" fontId="31" fillId="0" borderId="89" xfId="40" applyNumberFormat="1" applyFont="1" applyFill="1" applyBorder="1" applyAlignment="1" applyProtection="1">
      <alignment horizontal="right" vertical="center"/>
      <protection/>
    </xf>
    <xf numFmtId="3" fontId="31" fillId="0" borderId="91" xfId="40" applyNumberFormat="1" applyFont="1" applyFill="1" applyBorder="1" applyAlignment="1" applyProtection="1">
      <alignment horizontal="right" vertical="center"/>
      <protection/>
    </xf>
    <xf numFmtId="0" fontId="43" fillId="0" borderId="72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3" fontId="30" fillId="0" borderId="72" xfId="4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Border="1" applyAlignment="1">
      <alignment horizontal="right"/>
    </xf>
    <xf numFmtId="3" fontId="0" fillId="0" borderId="92" xfId="0" applyNumberFormat="1" applyBorder="1" applyAlignment="1">
      <alignment horizontal="right"/>
    </xf>
    <xf numFmtId="3" fontId="33" fillId="0" borderId="86" xfId="0" applyNumberFormat="1" applyFont="1" applyBorder="1" applyAlignment="1">
      <alignment horizontal="right"/>
    </xf>
    <xf numFmtId="0" fontId="38" fillId="24" borderId="14" xfId="0" applyFont="1" applyFill="1" applyBorder="1" applyAlignment="1">
      <alignment/>
    </xf>
    <xf numFmtId="0" fontId="49" fillId="0" borderId="0" xfId="0" applyFont="1" applyBorder="1" applyAlignment="1">
      <alignment/>
    </xf>
    <xf numFmtId="3" fontId="23" fillId="0" borderId="9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33" fillId="0" borderId="94" xfId="0" applyFont="1" applyBorder="1" applyAlignment="1">
      <alignment/>
    </xf>
    <xf numFmtId="3" fontId="33" fillId="0" borderId="95" xfId="0" applyNumberFormat="1" applyFont="1" applyBorder="1" applyAlignment="1">
      <alignment/>
    </xf>
    <xf numFmtId="3" fontId="33" fillId="0" borderId="96" xfId="0" applyNumberFormat="1" applyFont="1" applyBorder="1" applyAlignment="1">
      <alignment/>
    </xf>
    <xf numFmtId="0" fontId="33" fillId="0" borderId="92" xfId="0" applyFont="1" applyBorder="1" applyAlignment="1">
      <alignment horizontal="left"/>
    </xf>
    <xf numFmtId="3" fontId="0" fillId="0" borderId="97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97" xfId="0" applyNumberFormat="1" applyFont="1" applyBorder="1" applyAlignment="1">
      <alignment/>
    </xf>
    <xf numFmtId="3" fontId="33" fillId="0" borderId="99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94" xfId="0" applyNumberFormat="1" applyFont="1" applyBorder="1" applyAlignment="1">
      <alignment horizontal="right"/>
    </xf>
    <xf numFmtId="3" fontId="32" fillId="0" borderId="95" xfId="0" applyNumberFormat="1" applyFont="1" applyBorder="1" applyAlignment="1">
      <alignment/>
    </xf>
    <xf numFmtId="3" fontId="32" fillId="0" borderId="96" xfId="0" applyNumberFormat="1" applyFont="1" applyBorder="1" applyAlignment="1">
      <alignment/>
    </xf>
    <xf numFmtId="0" fontId="0" fillId="0" borderId="71" xfId="0" applyFont="1" applyBorder="1" applyAlignment="1">
      <alignment/>
    </xf>
    <xf numFmtId="3" fontId="0" fillId="0" borderId="100" xfId="0" applyNumberFormat="1" applyFill="1" applyBorder="1" applyAlignment="1">
      <alignment/>
    </xf>
    <xf numFmtId="3" fontId="32" fillId="0" borderId="94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14" fillId="0" borderId="101" xfId="0" applyFont="1" applyBorder="1" applyAlignment="1">
      <alignment vertical="center"/>
    </xf>
    <xf numFmtId="0" fontId="33" fillId="0" borderId="92" xfId="0" applyFont="1" applyBorder="1" applyAlignment="1">
      <alignment/>
    </xf>
    <xf numFmtId="0" fontId="33" fillId="0" borderId="95" xfId="0" applyFont="1" applyBorder="1" applyAlignment="1">
      <alignment/>
    </xf>
    <xf numFmtId="3" fontId="33" fillId="0" borderId="86" xfId="0" applyNumberFormat="1" applyFont="1" applyBorder="1" applyAlignment="1">
      <alignment/>
    </xf>
    <xf numFmtId="0" fontId="0" fillId="0" borderId="101" xfId="0" applyBorder="1" applyAlignment="1">
      <alignment/>
    </xf>
    <xf numFmtId="3" fontId="0" fillId="0" borderId="102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91" xfId="0" applyNumberFormat="1" applyBorder="1" applyAlignment="1">
      <alignment/>
    </xf>
    <xf numFmtId="3" fontId="33" fillId="0" borderId="16" xfId="0" applyNumberFormat="1" applyFont="1" applyBorder="1" applyAlignment="1">
      <alignment/>
    </xf>
    <xf numFmtId="0" fontId="0" fillId="0" borderId="97" xfId="0" applyBorder="1" applyAlignment="1">
      <alignment horizontal="left"/>
    </xf>
    <xf numFmtId="0" fontId="0" fillId="0" borderId="104" xfId="0" applyFont="1" applyBorder="1" applyAlignment="1">
      <alignment/>
    </xf>
    <xf numFmtId="3" fontId="0" fillId="0" borderId="105" xfId="0" applyNumberFormat="1" applyFill="1" applyBorder="1" applyAlignment="1">
      <alignment/>
    </xf>
    <xf numFmtId="0" fontId="0" fillId="0" borderId="106" xfId="0" applyBorder="1" applyAlignment="1">
      <alignment/>
    </xf>
    <xf numFmtId="3" fontId="0" fillId="0" borderId="92" xfId="0" applyNumberFormat="1" applyBorder="1" applyAlignment="1">
      <alignment/>
    </xf>
    <xf numFmtId="3" fontId="33" fillId="0" borderId="86" xfId="0" applyNumberFormat="1" applyFont="1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31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109" xfId="0" applyFont="1" applyBorder="1" applyAlignment="1">
      <alignment horizontal="center" vertical="center"/>
    </xf>
    <xf numFmtId="0" fontId="60" fillId="0" borderId="101" xfId="0" applyFont="1" applyBorder="1" applyAlignment="1">
      <alignment horizontal="left" vertical="center"/>
    </xf>
    <xf numFmtId="0" fontId="60" fillId="0" borderId="101" xfId="0" applyFont="1" applyBorder="1" applyAlignment="1">
      <alignment vertical="center" wrapText="1"/>
    </xf>
    <xf numFmtId="0" fontId="60" fillId="0" borderId="110" xfId="0" applyFont="1" applyBorder="1" applyAlignment="1">
      <alignment vertical="center"/>
    </xf>
    <xf numFmtId="0" fontId="37" fillId="0" borderId="110" xfId="0" applyFont="1" applyBorder="1" applyAlignment="1">
      <alignment vertical="center"/>
    </xf>
    <xf numFmtId="0" fontId="23" fillId="0" borderId="111" xfId="0" applyFont="1" applyBorder="1" applyAlignment="1">
      <alignment horizontal="left" vertical="center"/>
    </xf>
    <xf numFmtId="3" fontId="23" fillId="0" borderId="112" xfId="0" applyNumberFormat="1" applyFont="1" applyBorder="1" applyAlignment="1">
      <alignment horizontal="right" vertical="center" wrapText="1"/>
    </xf>
    <xf numFmtId="0" fontId="23" fillId="0" borderId="113" xfId="0" applyFont="1" applyBorder="1" applyAlignment="1">
      <alignment vertical="center"/>
    </xf>
    <xf numFmtId="0" fontId="23" fillId="0" borderId="111" xfId="0" applyFont="1" applyBorder="1" applyAlignment="1">
      <alignment vertical="center"/>
    </xf>
    <xf numFmtId="0" fontId="60" fillId="0" borderId="101" xfId="0" applyFont="1" applyBorder="1" applyAlignment="1">
      <alignment vertical="center"/>
    </xf>
    <xf numFmtId="3" fontId="37" fillId="0" borderId="114" xfId="40" applyNumberFormat="1" applyFont="1" applyFill="1" applyBorder="1" applyAlignment="1" applyProtection="1">
      <alignment horizontal="right" vertical="center"/>
      <protection/>
    </xf>
    <xf numFmtId="0" fontId="37" fillId="0" borderId="111" xfId="0" applyFont="1" applyBorder="1" applyAlignment="1">
      <alignment vertical="center"/>
    </xf>
    <xf numFmtId="3" fontId="37" fillId="0" borderId="115" xfId="40" applyNumberFormat="1" applyFont="1" applyFill="1" applyBorder="1" applyAlignment="1" applyProtection="1">
      <alignment horizontal="right" vertical="center"/>
      <protection/>
    </xf>
    <xf numFmtId="0" fontId="23" fillId="0" borderId="110" xfId="0" applyFont="1" applyBorder="1" applyAlignment="1">
      <alignment vertical="center"/>
    </xf>
    <xf numFmtId="3" fontId="23" fillId="0" borderId="115" xfId="40" applyNumberFormat="1" applyFont="1" applyFill="1" applyBorder="1" applyAlignment="1" applyProtection="1">
      <alignment horizontal="right" vertical="center"/>
      <protection/>
    </xf>
    <xf numFmtId="3" fontId="23" fillId="0" borderId="116" xfId="40" applyNumberFormat="1" applyFont="1" applyFill="1" applyBorder="1" applyAlignment="1" applyProtection="1">
      <alignment horizontal="right" vertical="center"/>
      <protection/>
    </xf>
    <xf numFmtId="0" fontId="23" fillId="0" borderId="117" xfId="0" applyFont="1" applyBorder="1" applyAlignment="1">
      <alignment vertical="center"/>
    </xf>
    <xf numFmtId="0" fontId="23" fillId="0" borderId="118" xfId="0" applyFont="1" applyBorder="1" applyAlignment="1">
      <alignment vertical="center"/>
    </xf>
    <xf numFmtId="3" fontId="23" fillId="0" borderId="119" xfId="40" applyNumberFormat="1" applyFont="1" applyFill="1" applyBorder="1" applyAlignment="1" applyProtection="1">
      <alignment horizontal="right" vertical="center"/>
      <protection/>
    </xf>
    <xf numFmtId="3" fontId="23" fillId="0" borderId="120" xfId="40" applyNumberFormat="1" applyFont="1" applyFill="1" applyBorder="1" applyAlignment="1" applyProtection="1">
      <alignment horizontal="right" vertical="center"/>
      <protection/>
    </xf>
    <xf numFmtId="3" fontId="23" fillId="0" borderId="121" xfId="40" applyNumberFormat="1" applyFont="1" applyFill="1" applyBorder="1" applyAlignment="1" applyProtection="1">
      <alignment horizontal="right" vertical="center"/>
      <protection/>
    </xf>
    <xf numFmtId="0" fontId="23" fillId="0" borderId="122" xfId="0" applyFont="1" applyBorder="1" applyAlignment="1">
      <alignment vertical="center"/>
    </xf>
    <xf numFmtId="3" fontId="23" fillId="0" borderId="123" xfId="40" applyNumberFormat="1" applyFont="1" applyFill="1" applyBorder="1" applyAlignment="1" applyProtection="1">
      <alignment horizontal="right" vertical="center"/>
      <protection/>
    </xf>
    <xf numFmtId="0" fontId="23" fillId="0" borderId="124" xfId="0" applyFont="1" applyBorder="1" applyAlignment="1">
      <alignment vertical="center"/>
    </xf>
    <xf numFmtId="3" fontId="23" fillId="0" borderId="125" xfId="4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30" fillId="0" borderId="126" xfId="0" applyFont="1" applyBorder="1" applyAlignment="1">
      <alignment/>
    </xf>
    <xf numFmtId="0" fontId="32" fillId="0" borderId="127" xfId="0" applyFont="1" applyBorder="1" applyAlignment="1">
      <alignment/>
    </xf>
    <xf numFmtId="0" fontId="32" fillId="0" borderId="128" xfId="0" applyFont="1" applyBorder="1" applyAlignment="1">
      <alignment/>
    </xf>
    <xf numFmtId="0" fontId="32" fillId="0" borderId="129" xfId="0" applyFont="1" applyBorder="1" applyAlignment="1">
      <alignment/>
    </xf>
    <xf numFmtId="0" fontId="0" fillId="0" borderId="111" xfId="0" applyBorder="1" applyAlignment="1">
      <alignment/>
    </xf>
    <xf numFmtId="0" fontId="32" fillId="0" borderId="112" xfId="0" applyFont="1" applyBorder="1" applyAlignment="1">
      <alignment/>
    </xf>
    <xf numFmtId="164" fontId="33" fillId="0" borderId="113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0" fontId="0" fillId="0" borderId="101" xfId="0" applyFont="1" applyBorder="1" applyAlignment="1">
      <alignment/>
    </xf>
    <xf numFmtId="3" fontId="0" fillId="0" borderId="77" xfId="0" applyNumberFormat="1" applyFont="1" applyBorder="1" applyAlignment="1">
      <alignment/>
    </xf>
    <xf numFmtId="0" fontId="0" fillId="0" borderId="110" xfId="0" applyFont="1" applyBorder="1" applyAlignment="1">
      <alignment/>
    </xf>
    <xf numFmtId="3" fontId="0" fillId="0" borderId="79" xfId="0" applyNumberFormat="1" applyFont="1" applyBorder="1" applyAlignment="1">
      <alignment/>
    </xf>
    <xf numFmtId="0" fontId="0" fillId="0" borderId="110" xfId="0" applyBorder="1" applyAlignment="1">
      <alignment/>
    </xf>
    <xf numFmtId="0" fontId="33" fillId="0" borderId="122" xfId="0" applyFont="1" applyBorder="1" applyAlignment="1">
      <alignment/>
    </xf>
    <xf numFmtId="3" fontId="33" fillId="0" borderId="130" xfId="0" applyNumberFormat="1" applyFont="1" applyBorder="1" applyAlignment="1">
      <alignment/>
    </xf>
    <xf numFmtId="0" fontId="0" fillId="0" borderId="131" xfId="0" applyBorder="1" applyAlignment="1">
      <alignment/>
    </xf>
    <xf numFmtId="3" fontId="0" fillId="0" borderId="90" xfId="0" applyNumberFormat="1" applyFont="1" applyBorder="1" applyAlignment="1">
      <alignment/>
    </xf>
    <xf numFmtId="0" fontId="0" fillId="0" borderId="110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3" fontId="0" fillId="0" borderId="85" xfId="0" applyNumberFormat="1" applyFont="1" applyBorder="1" applyAlignment="1">
      <alignment/>
    </xf>
    <xf numFmtId="0" fontId="0" fillId="0" borderId="117" xfId="0" applyBorder="1" applyAlignment="1">
      <alignment horizontal="left"/>
    </xf>
    <xf numFmtId="0" fontId="0" fillId="0" borderId="118" xfId="0" applyFont="1" applyBorder="1" applyAlignment="1">
      <alignment horizontal="left"/>
    </xf>
    <xf numFmtId="3" fontId="0" fillId="0" borderId="132" xfId="0" applyNumberFormat="1" applyFont="1" applyBorder="1" applyAlignment="1">
      <alignment/>
    </xf>
    <xf numFmtId="0" fontId="0" fillId="0" borderId="111" xfId="0" applyFont="1" applyBorder="1" applyAlignment="1">
      <alignment horizontal="left"/>
    </xf>
    <xf numFmtId="0" fontId="0" fillId="0" borderId="106" xfId="0" applyBorder="1" applyAlignment="1">
      <alignment horizontal="left"/>
    </xf>
    <xf numFmtId="0" fontId="33" fillId="0" borderId="106" xfId="0" applyFont="1" applyBorder="1" applyAlignment="1">
      <alignment horizontal="left"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0" fontId="0" fillId="0" borderId="117" xfId="0" applyBorder="1" applyAlignment="1">
      <alignment/>
    </xf>
    <xf numFmtId="3" fontId="0" fillId="0" borderId="116" xfId="0" applyNumberFormat="1" applyFont="1" applyBorder="1" applyAlignment="1">
      <alignment/>
    </xf>
    <xf numFmtId="0" fontId="0" fillId="0" borderId="117" xfId="0" applyFill="1" applyBorder="1" applyAlignment="1">
      <alignment/>
    </xf>
    <xf numFmtId="0" fontId="0" fillId="0" borderId="118" xfId="0" applyBorder="1" applyAlignment="1">
      <alignment/>
    </xf>
    <xf numFmtId="3" fontId="0" fillId="0" borderId="119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0" fontId="78" fillId="0" borderId="110" xfId="0" applyFont="1" applyBorder="1" applyAlignment="1">
      <alignment horizontal="left" vertical="center"/>
    </xf>
    <xf numFmtId="0" fontId="36" fillId="0" borderId="110" xfId="0" applyFont="1" applyBorder="1" applyAlignment="1">
      <alignment horizontal="left" vertical="center"/>
    </xf>
    <xf numFmtId="0" fontId="61" fillId="0" borderId="110" xfId="0" applyFont="1" applyBorder="1" applyAlignment="1">
      <alignment horizontal="left" vertical="center"/>
    </xf>
    <xf numFmtId="0" fontId="23" fillId="0" borderId="129" xfId="0" applyFont="1" applyBorder="1" applyAlignment="1">
      <alignment horizontal="center" vertical="center" wrapText="1"/>
    </xf>
    <xf numFmtId="3" fontId="23" fillId="0" borderId="120" xfId="0" applyNumberFormat="1" applyFont="1" applyBorder="1" applyAlignment="1">
      <alignment horizontal="right" vertical="center" wrapText="1"/>
    </xf>
    <xf numFmtId="3" fontId="37" fillId="0" borderId="102" xfId="0" applyNumberFormat="1" applyFont="1" applyBorder="1" applyAlignment="1">
      <alignment horizontal="right" vertical="center" wrapText="1"/>
    </xf>
    <xf numFmtId="3" fontId="37" fillId="0" borderId="82" xfId="0" applyNumberFormat="1" applyFont="1" applyBorder="1" applyAlignment="1">
      <alignment horizontal="right" vertical="center" wrapText="1"/>
    </xf>
    <xf numFmtId="3" fontId="37" fillId="0" borderId="91" xfId="0" applyNumberFormat="1" applyFont="1" applyBorder="1" applyAlignment="1">
      <alignment horizontal="right" vertical="center" wrapText="1"/>
    </xf>
    <xf numFmtId="3" fontId="37" fillId="0" borderId="89" xfId="0" applyNumberFormat="1" applyFont="1" applyBorder="1" applyAlignment="1">
      <alignment horizontal="right" vertical="center" wrapText="1"/>
    </xf>
    <xf numFmtId="3" fontId="23" fillId="0" borderId="134" xfId="0" applyNumberFormat="1" applyFont="1" applyBorder="1" applyAlignment="1">
      <alignment horizontal="right" vertical="center" wrapText="1"/>
    </xf>
    <xf numFmtId="0" fontId="0" fillId="0" borderId="91" xfId="0" applyBorder="1" applyAlignment="1">
      <alignment horizontal="left"/>
    </xf>
    <xf numFmtId="3" fontId="0" fillId="0" borderId="20" xfId="0" applyNumberForma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0" fontId="0" fillId="0" borderId="135" xfId="0" applyBorder="1" applyAlignment="1">
      <alignment/>
    </xf>
    <xf numFmtId="0" fontId="0" fillId="0" borderId="14" xfId="0" applyBorder="1" applyAlignment="1">
      <alignment/>
    </xf>
    <xf numFmtId="0" fontId="0" fillId="0" borderId="136" xfId="0" applyBorder="1" applyAlignment="1">
      <alignment/>
    </xf>
    <xf numFmtId="0" fontId="0" fillId="0" borderId="137" xfId="0" applyFont="1" applyBorder="1" applyAlignment="1">
      <alignment/>
    </xf>
    <xf numFmtId="3" fontId="0" fillId="0" borderId="138" xfId="0" applyNumberFormat="1" applyFill="1" applyBorder="1" applyAlignment="1">
      <alignment/>
    </xf>
    <xf numFmtId="3" fontId="0" fillId="0" borderId="139" xfId="0" applyNumberFormat="1" applyFont="1" applyFill="1" applyBorder="1" applyAlignment="1">
      <alignment/>
    </xf>
    <xf numFmtId="3" fontId="0" fillId="0" borderId="140" xfId="0" applyNumberFormat="1" applyFont="1" applyBorder="1" applyAlignment="1">
      <alignment/>
    </xf>
    <xf numFmtId="0" fontId="0" fillId="0" borderId="134" xfId="0" applyBorder="1" applyAlignment="1">
      <alignment horizontal="left"/>
    </xf>
    <xf numFmtId="0" fontId="0" fillId="0" borderId="141" xfId="0" applyFont="1" applyBorder="1" applyAlignment="1">
      <alignment/>
    </xf>
    <xf numFmtId="3" fontId="0" fillId="0" borderId="142" xfId="0" applyNumberFormat="1" applyFill="1" applyBorder="1" applyAlignment="1">
      <alignment/>
    </xf>
    <xf numFmtId="3" fontId="0" fillId="0" borderId="143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0" fillId="0" borderId="72" xfId="0" applyFont="1" applyBorder="1" applyAlignment="1">
      <alignment/>
    </xf>
    <xf numFmtId="3" fontId="33" fillId="0" borderId="99" xfId="0" applyNumberFormat="1" applyFont="1" applyFill="1" applyBorder="1" applyAlignment="1">
      <alignment/>
    </xf>
    <xf numFmtId="3" fontId="33" fillId="0" borderId="72" xfId="0" applyNumberFormat="1" applyFont="1" applyFill="1" applyBorder="1" applyAlignment="1">
      <alignment/>
    </xf>
    <xf numFmtId="0" fontId="32" fillId="0" borderId="92" xfId="0" applyFont="1" applyBorder="1" applyAlignment="1">
      <alignment wrapText="1"/>
    </xf>
    <xf numFmtId="3" fontId="0" fillId="0" borderId="144" xfId="0" applyNumberFormat="1" applyFont="1" applyBorder="1" applyAlignment="1">
      <alignment/>
    </xf>
    <xf numFmtId="3" fontId="0" fillId="0" borderId="145" xfId="0" applyNumberFormat="1" applyFont="1" applyBorder="1" applyAlignment="1">
      <alignment/>
    </xf>
    <xf numFmtId="3" fontId="0" fillId="0" borderId="146" xfId="0" applyNumberFormat="1" applyFont="1" applyBorder="1" applyAlignment="1">
      <alignment/>
    </xf>
    <xf numFmtId="0" fontId="30" fillId="0" borderId="74" xfId="0" applyFont="1" applyBorder="1" applyAlignment="1">
      <alignment/>
    </xf>
    <xf numFmtId="0" fontId="32" fillId="0" borderId="127" xfId="0" applyFont="1" applyBorder="1" applyAlignment="1">
      <alignment wrapText="1"/>
    </xf>
    <xf numFmtId="0" fontId="32" fillId="0" borderId="128" xfId="0" applyFont="1" applyBorder="1" applyAlignment="1">
      <alignment wrapText="1"/>
    </xf>
    <xf numFmtId="0" fontId="32" fillId="0" borderId="129" xfId="0" applyFont="1" applyBorder="1" applyAlignment="1">
      <alignment wrapText="1"/>
    </xf>
    <xf numFmtId="0" fontId="19" fillId="0" borderId="111" xfId="0" applyFont="1" applyBorder="1" applyAlignment="1">
      <alignment/>
    </xf>
    <xf numFmtId="3" fontId="0" fillId="0" borderId="147" xfId="0" applyNumberFormat="1" applyFont="1" applyBorder="1" applyAlignment="1">
      <alignment/>
    </xf>
    <xf numFmtId="0" fontId="19" fillId="0" borderId="118" xfId="0" applyFont="1" applyBorder="1" applyAlignment="1">
      <alignment/>
    </xf>
    <xf numFmtId="0" fontId="19" fillId="0" borderId="106" xfId="0" applyFont="1" applyBorder="1" applyAlignment="1">
      <alignment/>
    </xf>
    <xf numFmtId="3" fontId="33" fillId="0" borderId="148" xfId="0" applyNumberFormat="1" applyFont="1" applyBorder="1" applyAlignment="1">
      <alignment/>
    </xf>
    <xf numFmtId="3" fontId="33" fillId="0" borderId="93" xfId="0" applyNumberFormat="1" applyFont="1" applyBorder="1" applyAlignment="1">
      <alignment/>
    </xf>
    <xf numFmtId="3" fontId="33" fillId="0" borderId="125" xfId="0" applyNumberFormat="1" applyFont="1" applyBorder="1" applyAlignment="1">
      <alignment/>
    </xf>
    <xf numFmtId="3" fontId="0" fillId="0" borderId="14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150" xfId="0" applyFont="1" applyBorder="1" applyAlignment="1">
      <alignment/>
    </xf>
    <xf numFmtId="3" fontId="0" fillId="0" borderId="15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152" xfId="0" applyNumberFormat="1" applyFont="1" applyBorder="1" applyAlignment="1">
      <alignment/>
    </xf>
    <xf numFmtId="3" fontId="0" fillId="0" borderId="153" xfId="0" applyNumberFormat="1" applyFont="1" applyBorder="1" applyAlignment="1">
      <alignment/>
    </xf>
    <xf numFmtId="3" fontId="0" fillId="0" borderId="119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19" fillId="24" borderId="44" xfId="0" applyFont="1" applyFill="1" applyBorder="1" applyAlignment="1">
      <alignment/>
    </xf>
    <xf numFmtId="0" fontId="19" fillId="24" borderId="19" xfId="0" applyFont="1" applyFill="1" applyBorder="1" applyAlignment="1">
      <alignment wrapText="1"/>
    </xf>
    <xf numFmtId="0" fontId="25" fillId="0" borderId="53" xfId="0" applyFont="1" applyBorder="1" applyAlignment="1">
      <alignment/>
    </xf>
    <xf numFmtId="0" fontId="25" fillId="0" borderId="154" xfId="0" applyFont="1" applyBorder="1" applyAlignment="1">
      <alignment/>
    </xf>
    <xf numFmtId="0" fontId="19" fillId="24" borderId="16" xfId="0" applyFont="1" applyFill="1" applyBorder="1" applyAlignment="1">
      <alignment/>
    </xf>
    <xf numFmtId="0" fontId="46" fillId="0" borderId="13" xfId="0" applyFont="1" applyBorder="1" applyAlignment="1">
      <alignment/>
    </xf>
    <xf numFmtId="0" fontId="0" fillId="0" borderId="73" xfId="0" applyFont="1" applyBorder="1" applyAlignment="1">
      <alignment horizontal="right" wrapText="1"/>
    </xf>
    <xf numFmtId="0" fontId="40" fillId="0" borderId="155" xfId="0" applyFont="1" applyBorder="1" applyAlignment="1">
      <alignment horizontal="center" wrapText="1"/>
    </xf>
    <xf numFmtId="3" fontId="0" fillId="0" borderId="140" xfId="0" applyNumberFormat="1" applyBorder="1" applyAlignment="1">
      <alignment/>
    </xf>
    <xf numFmtId="3" fontId="0" fillId="0" borderId="90" xfId="0" applyNumberFormat="1" applyBorder="1" applyAlignment="1">
      <alignment/>
    </xf>
    <xf numFmtId="0" fontId="33" fillId="0" borderId="73" xfId="0" applyFont="1" applyBorder="1" applyAlignment="1">
      <alignment horizontal="center" wrapText="1"/>
    </xf>
    <xf numFmtId="0" fontId="0" fillId="0" borderId="97" xfId="0" applyFont="1" applyBorder="1" applyAlignment="1">
      <alignment horizontal="right" wrapText="1"/>
    </xf>
    <xf numFmtId="3" fontId="0" fillId="0" borderId="89" xfId="0" applyNumberFormat="1" applyBorder="1" applyAlignment="1">
      <alignment/>
    </xf>
    <xf numFmtId="3" fontId="33" fillId="0" borderId="156" xfId="0" applyNumberFormat="1" applyFont="1" applyBorder="1" applyAlignment="1">
      <alignment/>
    </xf>
    <xf numFmtId="3" fontId="33" fillId="0" borderId="91" xfId="0" applyNumberFormat="1" applyFont="1" applyBorder="1" applyAlignment="1">
      <alignment/>
    </xf>
    <xf numFmtId="3" fontId="33" fillId="0" borderId="84" xfId="0" applyNumberFormat="1" applyFont="1" applyBorder="1" applyAlignment="1">
      <alignment/>
    </xf>
    <xf numFmtId="3" fontId="33" fillId="0" borderId="157" xfId="0" applyNumberFormat="1" applyFont="1" applyBorder="1" applyAlignment="1">
      <alignment/>
    </xf>
    <xf numFmtId="3" fontId="0" fillId="0" borderId="158" xfId="0" applyNumberFormat="1" applyBorder="1" applyAlignment="1">
      <alignment/>
    </xf>
    <xf numFmtId="3" fontId="0" fillId="0" borderId="159" xfId="0" applyNumberFormat="1" applyFont="1" applyBorder="1" applyAlignment="1">
      <alignment/>
    </xf>
    <xf numFmtId="3" fontId="33" fillId="0" borderId="160" xfId="0" applyNumberFormat="1" applyFont="1" applyBorder="1" applyAlignment="1">
      <alignment/>
    </xf>
    <xf numFmtId="0" fontId="33" fillId="0" borderId="161" xfId="0" applyFont="1" applyBorder="1" applyAlignment="1">
      <alignment horizontal="center" wrapText="1"/>
    </xf>
    <xf numFmtId="0" fontId="0" fillId="0" borderId="91" xfId="0" applyFont="1" applyBorder="1" applyAlignment="1">
      <alignment horizontal="right" wrapText="1"/>
    </xf>
    <xf numFmtId="3" fontId="0" fillId="0" borderId="91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0" fontId="0" fillId="0" borderId="162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32" fillId="0" borderId="0" xfId="0" applyFont="1" applyBorder="1" applyAlignment="1">
      <alignment wrapText="1"/>
    </xf>
    <xf numFmtId="3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0" fontId="32" fillId="0" borderId="113" xfId="0" applyFont="1" applyBorder="1" applyAlignment="1">
      <alignment/>
    </xf>
    <xf numFmtId="0" fontId="0" fillId="0" borderId="163" xfId="0" applyFont="1" applyBorder="1" applyAlignment="1">
      <alignment/>
    </xf>
    <xf numFmtId="0" fontId="0" fillId="0" borderId="164" xfId="0" applyFont="1" applyBorder="1" applyAlignment="1">
      <alignment/>
    </xf>
    <xf numFmtId="0" fontId="33" fillId="0" borderId="163" xfId="0" applyFont="1" applyBorder="1" applyAlignment="1">
      <alignment/>
    </xf>
    <xf numFmtId="3" fontId="0" fillId="0" borderId="164" xfId="0" applyNumberFormat="1" applyBorder="1" applyAlignment="1">
      <alignment/>
    </xf>
    <xf numFmtId="3" fontId="0" fillId="0" borderId="164" xfId="0" applyNumberFormat="1" applyFont="1" applyBorder="1" applyAlignment="1">
      <alignment/>
    </xf>
    <xf numFmtId="0" fontId="0" fillId="0" borderId="162" xfId="0" applyFill="1" applyBorder="1" applyAlignment="1">
      <alignment/>
    </xf>
    <xf numFmtId="0" fontId="0" fillId="0" borderId="165" xfId="0" applyFont="1" applyBorder="1" applyAlignment="1">
      <alignment/>
    </xf>
    <xf numFmtId="3" fontId="0" fillId="0" borderId="79" xfId="0" applyNumberFormat="1" applyBorder="1" applyAlignment="1">
      <alignment/>
    </xf>
    <xf numFmtId="0" fontId="0" fillId="0" borderId="166" xfId="0" applyFont="1" applyBorder="1" applyAlignment="1">
      <alignment/>
    </xf>
    <xf numFmtId="0" fontId="0" fillId="0" borderId="167" xfId="0" applyFont="1" applyBorder="1" applyAlignment="1">
      <alignment/>
    </xf>
    <xf numFmtId="0" fontId="33" fillId="0" borderId="87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87" xfId="0" applyFont="1" applyBorder="1" applyAlignment="1">
      <alignment/>
    </xf>
    <xf numFmtId="3" fontId="33" fillId="0" borderId="88" xfId="0" applyNumberFormat="1" applyFont="1" applyBorder="1" applyAlignment="1">
      <alignment/>
    </xf>
    <xf numFmtId="0" fontId="0" fillId="0" borderId="168" xfId="0" applyFont="1" applyBorder="1" applyAlignment="1">
      <alignment/>
    </xf>
    <xf numFmtId="0" fontId="0" fillId="0" borderId="169" xfId="0" applyFont="1" applyBorder="1" applyAlignment="1">
      <alignment/>
    </xf>
    <xf numFmtId="3" fontId="0" fillId="0" borderId="170" xfId="0" applyNumberFormat="1" applyBorder="1" applyAlignment="1">
      <alignment/>
    </xf>
    <xf numFmtId="0" fontId="25" fillId="0" borderId="110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17" xfId="0" applyFont="1" applyBorder="1" applyAlignment="1">
      <alignment/>
    </xf>
    <xf numFmtId="3" fontId="25" fillId="0" borderId="171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3" fontId="25" fillId="0" borderId="82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25" fillId="0" borderId="83" xfId="0" applyNumberFormat="1" applyFont="1" applyBorder="1" applyAlignment="1">
      <alignment/>
    </xf>
    <xf numFmtId="0" fontId="0" fillId="0" borderId="172" xfId="0" applyBorder="1" applyAlignment="1">
      <alignment/>
    </xf>
    <xf numFmtId="3" fontId="0" fillId="0" borderId="77" xfId="0" applyNumberFormat="1" applyBorder="1" applyAlignment="1">
      <alignment horizontal="right"/>
    </xf>
    <xf numFmtId="3" fontId="0" fillId="0" borderId="79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0" fontId="32" fillId="0" borderId="124" xfId="0" applyFont="1" applyBorder="1" applyAlignment="1">
      <alignment/>
    </xf>
    <xf numFmtId="0" fontId="0" fillId="0" borderId="173" xfId="0" applyBorder="1" applyAlignment="1">
      <alignment/>
    </xf>
    <xf numFmtId="3" fontId="0" fillId="0" borderId="142" xfId="0" applyNumberFormat="1" applyBorder="1" applyAlignment="1">
      <alignment horizontal="right"/>
    </xf>
    <xf numFmtId="3" fontId="33" fillId="0" borderId="174" xfId="0" applyNumberFormat="1" applyFont="1" applyBorder="1" applyAlignment="1">
      <alignment horizontal="right"/>
    </xf>
    <xf numFmtId="0" fontId="27" fillId="0" borderId="175" xfId="0" applyFont="1" applyBorder="1" applyAlignment="1">
      <alignment/>
    </xf>
    <xf numFmtId="0" fontId="32" fillId="0" borderId="176" xfId="0" applyFont="1" applyBorder="1" applyAlignment="1">
      <alignment horizontal="center"/>
    </xf>
    <xf numFmtId="0" fontId="37" fillId="0" borderId="163" xfId="0" applyFont="1" applyBorder="1" applyAlignment="1">
      <alignment/>
    </xf>
    <xf numFmtId="3" fontId="37" fillId="0" borderId="164" xfId="0" applyNumberFormat="1" applyFont="1" applyBorder="1" applyAlignment="1">
      <alignment/>
    </xf>
    <xf numFmtId="0" fontId="23" fillId="0" borderId="163" xfId="0" applyFont="1" applyBorder="1" applyAlignment="1">
      <alignment/>
    </xf>
    <xf numFmtId="3" fontId="23" fillId="0" borderId="164" xfId="0" applyNumberFormat="1" applyFont="1" applyBorder="1" applyAlignment="1">
      <alignment/>
    </xf>
    <xf numFmtId="0" fontId="23" fillId="0" borderId="165" xfId="0" applyFont="1" applyBorder="1" applyAlignment="1">
      <alignment/>
    </xf>
    <xf numFmtId="3" fontId="23" fillId="0" borderId="169" xfId="0" applyNumberFormat="1" applyFont="1" applyBorder="1" applyAlignment="1">
      <alignment/>
    </xf>
    <xf numFmtId="0" fontId="30" fillId="0" borderId="87" xfId="0" applyFont="1" applyBorder="1" applyAlignment="1">
      <alignment vertical="center"/>
    </xf>
    <xf numFmtId="168" fontId="30" fillId="0" borderId="88" xfId="40" applyNumberFormat="1" applyFont="1" applyFill="1" applyBorder="1" applyAlignment="1" applyProtection="1">
      <alignment horizontal="right" vertical="center"/>
      <protection/>
    </xf>
    <xf numFmtId="0" fontId="25" fillId="0" borderId="40" xfId="54" applyFont="1" applyBorder="1" applyAlignment="1" applyProtection="1">
      <alignment vertical="center"/>
      <protection/>
    </xf>
    <xf numFmtId="0" fontId="19" fillId="0" borderId="31" xfId="54" applyFont="1" applyFill="1" applyBorder="1" applyProtection="1">
      <alignment/>
      <protection/>
    </xf>
    <xf numFmtId="3" fontId="25" fillId="0" borderId="177" xfId="54" applyNumberFormat="1" applyFont="1" applyBorder="1" applyProtection="1">
      <alignment/>
      <protection/>
    </xf>
    <xf numFmtId="0" fontId="25" fillId="0" borderId="102" xfId="54" applyFont="1" applyBorder="1" applyAlignment="1" applyProtection="1">
      <alignment horizontal="center" vertical="center" wrapText="1"/>
      <protection/>
    </xf>
    <xf numFmtId="3" fontId="19" fillId="0" borderId="82" xfId="54" applyNumberFormat="1" applyFont="1" applyBorder="1" applyProtection="1">
      <alignment/>
      <protection/>
    </xf>
    <xf numFmtId="3" fontId="19" fillId="0" borderId="89" xfId="54" applyNumberFormat="1" applyFont="1" applyBorder="1" applyProtection="1">
      <alignment/>
      <protection/>
    </xf>
    <xf numFmtId="3" fontId="25" fillId="0" borderId="134" xfId="54" applyNumberFormat="1" applyFont="1" applyBorder="1" applyProtection="1">
      <alignment/>
      <protection/>
    </xf>
    <xf numFmtId="0" fontId="25" fillId="0" borderId="63" xfId="54" applyFont="1" applyBorder="1" applyProtection="1">
      <alignment/>
      <protection/>
    </xf>
    <xf numFmtId="0" fontId="25" fillId="0" borderId="177" xfId="54" applyFont="1" applyBorder="1" applyProtection="1">
      <alignment/>
      <protection/>
    </xf>
    <xf numFmtId="0" fontId="25" fillId="0" borderId="131" xfId="54" applyFont="1" applyBorder="1" applyAlignment="1" applyProtection="1">
      <alignment vertical="center"/>
      <protection/>
    </xf>
    <xf numFmtId="0" fontId="25" fillId="0" borderId="90" xfId="54" applyFont="1" applyBorder="1" applyAlignment="1" applyProtection="1">
      <alignment horizontal="center" vertical="center" wrapText="1"/>
      <protection/>
    </xf>
    <xf numFmtId="0" fontId="19" fillId="0" borderId="101" xfId="54" applyFont="1" applyBorder="1" applyProtection="1">
      <alignment/>
      <protection/>
    </xf>
    <xf numFmtId="3" fontId="19" fillId="0" borderId="90" xfId="54" applyNumberFormat="1" applyFont="1" applyBorder="1" applyProtection="1">
      <alignment/>
      <protection/>
    </xf>
    <xf numFmtId="0" fontId="50" fillId="0" borderId="101" xfId="54" applyFont="1" applyBorder="1" applyProtection="1">
      <alignment/>
      <protection/>
    </xf>
    <xf numFmtId="0" fontId="19" fillId="0" borderId="110" xfId="54" applyFont="1" applyBorder="1" applyProtection="1">
      <alignment/>
      <protection/>
    </xf>
    <xf numFmtId="3" fontId="19" fillId="0" borderId="79" xfId="54" applyNumberFormat="1" applyFont="1" applyBorder="1" applyProtection="1">
      <alignment/>
      <protection/>
    </xf>
    <xf numFmtId="0" fontId="25" fillId="0" borderId="178" xfId="54" applyFont="1" applyBorder="1" applyProtection="1">
      <alignment/>
      <protection/>
    </xf>
    <xf numFmtId="0" fontId="25" fillId="0" borderId="179" xfId="54" applyFont="1" applyBorder="1" applyProtection="1">
      <alignment/>
      <protection/>
    </xf>
    <xf numFmtId="3" fontId="25" fillId="0" borderId="174" xfId="54" applyNumberFormat="1" applyFont="1" applyBorder="1" applyProtection="1">
      <alignment/>
      <protection/>
    </xf>
    <xf numFmtId="3" fontId="19" fillId="0" borderId="103" xfId="0" applyNumberFormat="1" applyFont="1" applyBorder="1" applyAlignment="1">
      <alignment/>
    </xf>
    <xf numFmtId="0" fontId="25" fillId="0" borderId="26" xfId="54" applyFont="1" applyBorder="1" applyAlignment="1" applyProtection="1">
      <alignment vertical="center"/>
      <protection/>
    </xf>
    <xf numFmtId="0" fontId="19" fillId="0" borderId="23" xfId="54" applyFont="1" applyBorder="1" applyProtection="1">
      <alignment/>
      <protection/>
    </xf>
    <xf numFmtId="0" fontId="19" fillId="0" borderId="15" xfId="54" applyFont="1" applyBorder="1" applyProtection="1">
      <alignment/>
      <protection/>
    </xf>
    <xf numFmtId="0" fontId="25" fillId="0" borderId="16" xfId="54" applyFont="1" applyBorder="1" applyProtection="1">
      <alignment/>
      <protection/>
    </xf>
    <xf numFmtId="0" fontId="38" fillId="0" borderId="10" xfId="54" applyFont="1" applyBorder="1" applyProtection="1">
      <alignment/>
      <protection/>
    </xf>
    <xf numFmtId="0" fontId="25" fillId="0" borderId="161" xfId="54" applyFont="1" applyBorder="1" applyAlignment="1" applyProtection="1">
      <alignment horizontal="center" vertical="center" wrapText="1"/>
      <protection/>
    </xf>
    <xf numFmtId="3" fontId="25" fillId="0" borderId="156" xfId="54" applyNumberFormat="1" applyFont="1" applyBorder="1" applyProtection="1">
      <alignment/>
      <protection/>
    </xf>
    <xf numFmtId="3" fontId="19" fillId="0" borderId="91" xfId="54" applyNumberFormat="1" applyFont="1" applyBorder="1" applyProtection="1">
      <alignment/>
      <protection/>
    </xf>
    <xf numFmtId="3" fontId="19" fillId="0" borderId="156" xfId="54" applyNumberFormat="1" applyFont="1" applyBorder="1" applyProtection="1">
      <alignment/>
      <protection/>
    </xf>
    <xf numFmtId="3" fontId="25" fillId="0" borderId="89" xfId="54" applyNumberFormat="1" applyFont="1" applyBorder="1" applyProtection="1">
      <alignment/>
      <protection/>
    </xf>
    <xf numFmtId="3" fontId="25" fillId="0" borderId="82" xfId="54" applyNumberFormat="1" applyFont="1" applyBorder="1" applyProtection="1">
      <alignment/>
      <protection/>
    </xf>
    <xf numFmtId="3" fontId="25" fillId="0" borderId="83" xfId="54" applyNumberFormat="1" applyFont="1" applyBorder="1" applyProtection="1">
      <alignment/>
      <protection/>
    </xf>
    <xf numFmtId="0" fontId="0" fillId="0" borderId="30" xfId="0" applyBorder="1" applyAlignment="1">
      <alignment/>
    </xf>
    <xf numFmtId="0" fontId="50" fillId="0" borderId="30" xfId="0" applyFont="1" applyBorder="1" applyAlignment="1">
      <alignment/>
    </xf>
    <xf numFmtId="3" fontId="19" fillId="0" borderId="24" xfId="0" applyNumberFormat="1" applyFont="1" applyBorder="1" applyAlignment="1">
      <alignment/>
    </xf>
    <xf numFmtId="3" fontId="25" fillId="0" borderId="94" xfId="0" applyNumberFormat="1" applyFont="1" applyBorder="1" applyAlignment="1">
      <alignment/>
    </xf>
    <xf numFmtId="3" fontId="25" fillId="0" borderId="180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71" xfId="0" applyFont="1" applyBorder="1" applyAlignment="1">
      <alignment/>
    </xf>
    <xf numFmtId="0" fontId="32" fillId="0" borderId="94" xfId="0" applyFont="1" applyBorder="1" applyAlignment="1">
      <alignment/>
    </xf>
    <xf numFmtId="3" fontId="25" fillId="0" borderId="99" xfId="0" applyNumberFormat="1" applyFont="1" applyBorder="1" applyAlignment="1">
      <alignment/>
    </xf>
    <xf numFmtId="3" fontId="25" fillId="0" borderId="72" xfId="0" applyNumberFormat="1" applyFont="1" applyBorder="1" applyAlignment="1">
      <alignment/>
    </xf>
    <xf numFmtId="0" fontId="42" fillId="0" borderId="92" xfId="0" applyFont="1" applyBorder="1" applyAlignment="1">
      <alignment/>
    </xf>
    <xf numFmtId="3" fontId="37" fillId="0" borderId="95" xfId="0" applyNumberFormat="1" applyFont="1" applyBorder="1" applyAlignment="1">
      <alignment/>
    </xf>
    <xf numFmtId="3" fontId="37" fillId="0" borderId="96" xfId="0" applyNumberFormat="1" applyFont="1" applyBorder="1" applyAlignment="1">
      <alignment/>
    </xf>
    <xf numFmtId="0" fontId="32" fillId="0" borderId="92" xfId="0" applyFont="1" applyBorder="1" applyAlignment="1">
      <alignment/>
    </xf>
    <xf numFmtId="0" fontId="0" fillId="0" borderId="99" xfId="0" applyBorder="1" applyAlignment="1">
      <alignment/>
    </xf>
    <xf numFmtId="0" fontId="0" fillId="0" borderId="92" xfId="0" applyBorder="1" applyAlignment="1">
      <alignment/>
    </xf>
    <xf numFmtId="0" fontId="0" fillId="0" borderId="72" xfId="0" applyBorder="1" applyAlignment="1">
      <alignment horizontal="left"/>
    </xf>
    <xf numFmtId="3" fontId="0" fillId="0" borderId="72" xfId="0" applyNumberForma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181" xfId="0" applyBorder="1" applyAlignment="1">
      <alignment horizontal="left"/>
    </xf>
    <xf numFmtId="3" fontId="0" fillId="0" borderId="182" xfId="0" applyNumberFormat="1" applyBorder="1" applyAlignment="1">
      <alignment/>
    </xf>
    <xf numFmtId="3" fontId="0" fillId="0" borderId="183" xfId="0" applyNumberFormat="1" applyFont="1" applyBorder="1" applyAlignment="1">
      <alignment/>
    </xf>
    <xf numFmtId="3" fontId="0" fillId="0" borderId="184" xfId="0" applyNumberFormat="1" applyFont="1" applyBorder="1" applyAlignment="1">
      <alignment/>
    </xf>
    <xf numFmtId="0" fontId="0" fillId="0" borderId="185" xfId="0" applyBorder="1" applyAlignment="1">
      <alignment horizontal="left"/>
    </xf>
    <xf numFmtId="3" fontId="0" fillId="0" borderId="183" xfId="0" applyNumberFormat="1" applyBorder="1" applyAlignment="1">
      <alignment/>
    </xf>
    <xf numFmtId="3" fontId="0" fillId="0" borderId="186" xfId="0" applyNumberFormat="1" applyBorder="1" applyAlignment="1">
      <alignment/>
    </xf>
    <xf numFmtId="0" fontId="0" fillId="0" borderId="187" xfId="0" applyBorder="1" applyAlignment="1">
      <alignment horizontal="left"/>
    </xf>
    <xf numFmtId="3" fontId="0" fillId="0" borderId="188" xfId="0" applyNumberFormat="1" applyBorder="1" applyAlignment="1">
      <alignment/>
    </xf>
    <xf numFmtId="3" fontId="0" fillId="0" borderId="189" xfId="0" applyNumberFormat="1" applyFont="1" applyBorder="1" applyAlignment="1">
      <alignment/>
    </xf>
    <xf numFmtId="3" fontId="33" fillId="0" borderId="180" xfId="0" applyNumberFormat="1" applyFont="1" applyBorder="1" applyAlignment="1">
      <alignment/>
    </xf>
    <xf numFmtId="167" fontId="30" fillId="0" borderId="72" xfId="0" applyNumberFormat="1" applyFont="1" applyBorder="1" applyAlignment="1">
      <alignment horizontal="right"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3" fontId="0" fillId="0" borderId="192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133" xfId="0" applyNumberFormat="1" applyFont="1" applyBorder="1" applyAlignment="1">
      <alignment/>
    </xf>
    <xf numFmtId="3" fontId="33" fillId="0" borderId="26" xfId="0" applyNumberFormat="1" applyFont="1" applyBorder="1" applyAlignment="1">
      <alignment horizontal="right"/>
    </xf>
    <xf numFmtId="3" fontId="33" fillId="0" borderId="94" xfId="0" applyNumberFormat="1" applyFont="1" applyBorder="1" applyAlignment="1">
      <alignment horizontal="right"/>
    </xf>
    <xf numFmtId="3" fontId="33" fillId="0" borderId="96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0" fontId="37" fillId="0" borderId="117" xfId="0" applyFont="1" applyBorder="1" applyAlignment="1">
      <alignment vertical="center"/>
    </xf>
    <xf numFmtId="0" fontId="0" fillId="0" borderId="111" xfId="0" applyFill="1" applyBorder="1" applyAlignment="1">
      <alignment/>
    </xf>
    <xf numFmtId="0" fontId="0" fillId="0" borderId="106" xfId="0" applyFill="1" applyBorder="1" applyAlignment="1">
      <alignment/>
    </xf>
    <xf numFmtId="3" fontId="0" fillId="0" borderId="193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100" xfId="0" applyBorder="1" applyAlignment="1">
      <alignment/>
    </xf>
    <xf numFmtId="3" fontId="23" fillId="0" borderId="96" xfId="40" applyNumberFormat="1" applyFont="1" applyFill="1" applyBorder="1" applyAlignment="1" applyProtection="1">
      <alignment vertical="center"/>
      <protection/>
    </xf>
    <xf numFmtId="3" fontId="23" fillId="0" borderId="92" xfId="40" applyNumberFormat="1" applyFont="1" applyFill="1" applyBorder="1" applyAlignment="1" applyProtection="1">
      <alignment vertical="center"/>
      <protection/>
    </xf>
    <xf numFmtId="3" fontId="14" fillId="0" borderId="29" xfId="0" applyNumberFormat="1" applyFont="1" applyBorder="1" applyAlignment="1">
      <alignment/>
    </xf>
    <xf numFmtId="3" fontId="32" fillId="0" borderId="86" xfId="0" applyNumberFormat="1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7" xfId="0" applyFont="1" applyBorder="1" applyAlignment="1">
      <alignment/>
    </xf>
    <xf numFmtId="3" fontId="14" fillId="0" borderId="102" xfId="0" applyNumberFormat="1" applyFont="1" applyBorder="1" applyAlignment="1">
      <alignment/>
    </xf>
    <xf numFmtId="3" fontId="0" fillId="0" borderId="83" xfId="0" applyNumberFormat="1" applyBorder="1" applyAlignment="1">
      <alignment/>
    </xf>
    <xf numFmtId="3" fontId="0" fillId="24" borderId="73" xfId="0" applyNumberFormat="1" applyFill="1" applyBorder="1" applyAlignment="1">
      <alignment/>
    </xf>
    <xf numFmtId="3" fontId="14" fillId="0" borderId="82" xfId="0" applyNumberFormat="1" applyFont="1" applyBorder="1" applyAlignment="1">
      <alignment/>
    </xf>
    <xf numFmtId="0" fontId="63" fillId="0" borderId="131" xfId="0" applyFont="1" applyBorder="1" applyAlignment="1">
      <alignment horizontal="left" vertical="center"/>
    </xf>
    <xf numFmtId="0" fontId="19" fillId="0" borderId="110" xfId="0" applyFont="1" applyBorder="1" applyAlignment="1">
      <alignment horizontal="left" vertical="center"/>
    </xf>
    <xf numFmtId="0" fontId="19" fillId="0" borderId="190" xfId="0" applyFont="1" applyBorder="1" applyAlignment="1">
      <alignment horizontal="left" vertical="center"/>
    </xf>
    <xf numFmtId="0" fontId="19" fillId="0" borderId="111" xfId="0" applyFont="1" applyBorder="1" applyAlignment="1">
      <alignment horizontal="left" vertical="center"/>
    </xf>
    <xf numFmtId="0" fontId="25" fillId="0" borderId="113" xfId="0" applyFont="1" applyBorder="1" applyAlignment="1">
      <alignment/>
    </xf>
    <xf numFmtId="0" fontId="25" fillId="0" borderId="111" xfId="0" applyFont="1" applyBorder="1" applyAlignment="1">
      <alignment/>
    </xf>
    <xf numFmtId="0" fontId="63" fillId="0" borderId="106" xfId="0" applyFont="1" applyBorder="1" applyAlignment="1">
      <alignment/>
    </xf>
    <xf numFmtId="0" fontId="37" fillId="0" borderId="101" xfId="0" applyFont="1" applyBorder="1" applyAlignment="1">
      <alignment horizontal="center" vertical="center"/>
    </xf>
    <xf numFmtId="0" fontId="63" fillId="0" borderId="101" xfId="0" applyFont="1" applyBorder="1" applyAlignment="1">
      <alignment/>
    </xf>
    <xf numFmtId="3" fontId="25" fillId="0" borderId="72" xfId="40" applyNumberFormat="1" applyFont="1" applyFill="1" applyBorder="1" applyAlignment="1" applyProtection="1">
      <alignment horizontal="right"/>
      <protection/>
    </xf>
    <xf numFmtId="0" fontId="25" fillId="0" borderId="101" xfId="0" applyFont="1" applyBorder="1" applyAlignment="1">
      <alignment/>
    </xf>
    <xf numFmtId="0" fontId="63" fillId="0" borderId="110" xfId="0" applyFont="1" applyBorder="1" applyAlignment="1">
      <alignment/>
    </xf>
    <xf numFmtId="0" fontId="19" fillId="0" borderId="110" xfId="0" applyFont="1" applyBorder="1" applyAlignment="1">
      <alignment vertical="center"/>
    </xf>
    <xf numFmtId="0" fontId="38" fillId="0" borderId="110" xfId="0" applyFont="1" applyBorder="1" applyAlignment="1">
      <alignment vertical="center"/>
    </xf>
    <xf numFmtId="0" fontId="19" fillId="0" borderId="101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25" fillId="0" borderId="17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/>
      <protection/>
    </xf>
    <xf numFmtId="0" fontId="23" fillId="0" borderId="94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 wrapText="1"/>
    </xf>
    <xf numFmtId="3" fontId="19" fillId="0" borderId="102" xfId="40" applyNumberFormat="1" applyFont="1" applyFill="1" applyBorder="1" applyAlignment="1" applyProtection="1">
      <alignment/>
      <protection/>
    </xf>
    <xf numFmtId="3" fontId="19" fillId="0" borderId="89" xfId="40" applyNumberFormat="1" applyFont="1" applyFill="1" applyBorder="1" applyAlignment="1" applyProtection="1">
      <alignment/>
      <protection/>
    </xf>
    <xf numFmtId="3" fontId="25" fillId="0" borderId="89" xfId="40" applyNumberFormat="1" applyFont="1" applyFill="1" applyBorder="1" applyAlignment="1" applyProtection="1">
      <alignment/>
      <protection/>
    </xf>
    <xf numFmtId="0" fontId="25" fillId="0" borderId="190" xfId="0" applyFont="1" applyBorder="1" applyAlignment="1">
      <alignment vertical="center"/>
    </xf>
    <xf numFmtId="3" fontId="25" fillId="0" borderId="170" xfId="40" applyNumberFormat="1" applyFont="1" applyFill="1" applyBorder="1" applyAlignment="1" applyProtection="1">
      <alignment/>
      <protection/>
    </xf>
    <xf numFmtId="0" fontId="19" fillId="0" borderId="190" xfId="0" applyFont="1" applyBorder="1" applyAlignment="1">
      <alignment vertical="center"/>
    </xf>
    <xf numFmtId="3" fontId="19" fillId="0" borderId="170" xfId="40" applyNumberFormat="1" applyFont="1" applyFill="1" applyBorder="1" applyAlignment="1" applyProtection="1">
      <alignment/>
      <protection/>
    </xf>
    <xf numFmtId="3" fontId="19" fillId="0" borderId="82" xfId="40" applyNumberFormat="1" applyFont="1" applyFill="1" applyBorder="1" applyAlignment="1" applyProtection="1">
      <alignment/>
      <protection/>
    </xf>
    <xf numFmtId="3" fontId="19" fillId="0" borderId="103" xfId="40" applyNumberFormat="1" applyFont="1" applyFill="1" applyBorder="1" applyAlignment="1" applyProtection="1">
      <alignment/>
      <protection/>
    </xf>
    <xf numFmtId="0" fontId="25" fillId="0" borderId="111" xfId="0" applyFont="1" applyBorder="1" applyAlignment="1">
      <alignment vertical="center"/>
    </xf>
    <xf numFmtId="3" fontId="25" fillId="0" borderId="134" xfId="40" applyNumberFormat="1" applyFont="1" applyFill="1" applyBorder="1" applyAlignment="1" applyProtection="1">
      <alignment/>
      <protection/>
    </xf>
    <xf numFmtId="0" fontId="25" fillId="0" borderId="113" xfId="0" applyFont="1" applyBorder="1" applyAlignment="1">
      <alignment vertical="center"/>
    </xf>
    <xf numFmtId="3" fontId="25" fillId="0" borderId="120" xfId="40" applyNumberFormat="1" applyFont="1" applyFill="1" applyBorder="1" applyAlignment="1" applyProtection="1">
      <alignment vertical="center"/>
      <protection/>
    </xf>
    <xf numFmtId="0" fontId="25" fillId="0" borderId="124" xfId="0" applyFont="1" applyBorder="1" applyAlignment="1">
      <alignment vertical="center"/>
    </xf>
    <xf numFmtId="3" fontId="25" fillId="0" borderId="125" xfId="0" applyNumberFormat="1" applyFont="1" applyBorder="1" applyAlignment="1">
      <alignment vertical="center"/>
    </xf>
    <xf numFmtId="0" fontId="19" fillId="0" borderId="181" xfId="0" applyFont="1" applyBorder="1" applyAlignment="1">
      <alignment/>
    </xf>
    <xf numFmtId="0" fontId="25" fillId="0" borderId="92" xfId="0" applyFont="1" applyBorder="1" applyAlignment="1">
      <alignment/>
    </xf>
    <xf numFmtId="0" fontId="25" fillId="0" borderId="161" xfId="0" applyFont="1" applyBorder="1" applyAlignment="1">
      <alignment horizontal="center" vertical="center" wrapText="1"/>
    </xf>
    <xf numFmtId="0" fontId="25" fillId="0" borderId="194" xfId="0" applyFont="1" applyBorder="1" applyAlignment="1">
      <alignment horizontal="center" vertical="center" wrapText="1"/>
    </xf>
    <xf numFmtId="3" fontId="19" fillId="0" borderId="103" xfId="0" applyNumberFormat="1" applyFont="1" applyBorder="1" applyAlignment="1">
      <alignment horizontal="right"/>
    </xf>
    <xf numFmtId="3" fontId="19" fillId="0" borderId="170" xfId="0" applyNumberFormat="1" applyFont="1" applyBorder="1" applyAlignment="1">
      <alignment horizontal="right"/>
    </xf>
    <xf numFmtId="3" fontId="19" fillId="0" borderId="91" xfId="0" applyNumberFormat="1" applyFont="1" applyBorder="1" applyAlignment="1">
      <alignment horizontal="right"/>
    </xf>
    <xf numFmtId="3" fontId="25" fillId="0" borderId="156" xfId="0" applyNumberFormat="1" applyFont="1" applyBorder="1" applyAlignment="1">
      <alignment horizontal="right"/>
    </xf>
    <xf numFmtId="3" fontId="25" fillId="0" borderId="91" xfId="0" applyNumberFormat="1" applyFont="1" applyBorder="1" applyAlignment="1">
      <alignment horizontal="right"/>
    </xf>
    <xf numFmtId="3" fontId="25" fillId="0" borderId="97" xfId="0" applyNumberFormat="1" applyFont="1" applyBorder="1" applyAlignment="1">
      <alignment horizontal="right"/>
    </xf>
    <xf numFmtId="3" fontId="19" fillId="0" borderId="97" xfId="0" applyNumberFormat="1" applyFont="1" applyBorder="1" applyAlignment="1">
      <alignment horizontal="right"/>
    </xf>
    <xf numFmtId="3" fontId="25" fillId="0" borderId="156" xfId="40" applyNumberFormat="1" applyFont="1" applyFill="1" applyBorder="1" applyAlignment="1" applyProtection="1">
      <alignment horizontal="right"/>
      <protection/>
    </xf>
    <xf numFmtId="3" fontId="25" fillId="0" borderId="91" xfId="40" applyNumberFormat="1" applyFont="1" applyFill="1" applyBorder="1" applyAlignment="1" applyProtection="1">
      <alignment horizontal="right"/>
      <protection/>
    </xf>
    <xf numFmtId="3" fontId="25" fillId="0" borderId="97" xfId="40" applyNumberFormat="1" applyFont="1" applyFill="1" applyBorder="1" applyAlignment="1" applyProtection="1">
      <alignment horizontal="right"/>
      <protection/>
    </xf>
    <xf numFmtId="3" fontId="19" fillId="0" borderId="97" xfId="40" applyNumberFormat="1" applyFont="1" applyFill="1" applyBorder="1" applyAlignment="1" applyProtection="1">
      <alignment horizontal="right"/>
      <protection/>
    </xf>
    <xf numFmtId="3" fontId="19" fillId="0" borderId="182" xfId="40" applyNumberFormat="1" applyFont="1" applyFill="1" applyBorder="1" applyAlignment="1" applyProtection="1">
      <alignment horizontal="right"/>
      <protection/>
    </xf>
    <xf numFmtId="3" fontId="19" fillId="0" borderId="89" xfId="0" applyNumberFormat="1" applyFont="1" applyBorder="1" applyAlignment="1">
      <alignment horizontal="right"/>
    </xf>
    <xf numFmtId="166" fontId="19" fillId="0" borderId="89" xfId="40" applyNumberFormat="1" applyFont="1" applyFill="1" applyBorder="1" applyAlignment="1" applyProtection="1">
      <alignment horizontal="right"/>
      <protection/>
    </xf>
    <xf numFmtId="3" fontId="19" fillId="0" borderId="82" xfId="40" applyNumberFormat="1" applyFont="1" applyFill="1" applyBorder="1" applyAlignment="1" applyProtection="1">
      <alignment horizontal="right"/>
      <protection/>
    </xf>
    <xf numFmtId="3" fontId="19" fillId="0" borderId="84" xfId="40" applyNumberFormat="1" applyFont="1" applyFill="1" applyBorder="1" applyAlignment="1" applyProtection="1">
      <alignment horizontal="right"/>
      <protection/>
    </xf>
    <xf numFmtId="3" fontId="25" fillId="0" borderId="89" xfId="40" applyNumberFormat="1" applyFont="1" applyFill="1" applyBorder="1" applyAlignment="1" applyProtection="1">
      <alignment horizontal="right"/>
      <protection/>
    </xf>
    <xf numFmtId="3" fontId="25" fillId="0" borderId="156" xfId="40" applyNumberFormat="1" applyFont="1" applyFill="1" applyBorder="1" applyAlignment="1" applyProtection="1">
      <alignment/>
      <protection/>
    </xf>
    <xf numFmtId="3" fontId="25" fillId="0" borderId="82" xfId="40" applyNumberFormat="1" applyFont="1" applyFill="1" applyBorder="1" applyAlignment="1" applyProtection="1">
      <alignment/>
      <protection/>
    </xf>
    <xf numFmtId="0" fontId="30" fillId="0" borderId="126" xfId="0" applyFont="1" applyBorder="1" applyAlignment="1">
      <alignment/>
    </xf>
    <xf numFmtId="0" fontId="32" fillId="0" borderId="155" xfId="0" applyFont="1" applyBorder="1" applyAlignment="1">
      <alignment/>
    </xf>
    <xf numFmtId="0" fontId="0" fillId="0" borderId="172" xfId="0" applyBorder="1" applyAlignment="1">
      <alignment/>
    </xf>
    <xf numFmtId="0" fontId="32" fillId="0" borderId="195" xfId="0" applyFont="1" applyBorder="1" applyAlignment="1">
      <alignment/>
    </xf>
    <xf numFmtId="0" fontId="32" fillId="24" borderId="113" xfId="0" applyFont="1" applyFill="1" applyBorder="1" applyAlignment="1">
      <alignment/>
    </xf>
    <xf numFmtId="3" fontId="23" fillId="24" borderId="130" xfId="0" applyNumberFormat="1" applyFont="1" applyFill="1" applyBorder="1" applyAlignment="1">
      <alignment/>
    </xf>
    <xf numFmtId="0" fontId="42" fillId="0" borderId="113" xfId="0" applyFont="1" applyBorder="1" applyAlignment="1">
      <alignment/>
    </xf>
    <xf numFmtId="3" fontId="37" fillId="0" borderId="130" xfId="0" applyNumberFormat="1" applyFont="1" applyBorder="1" applyAlignment="1">
      <alignment/>
    </xf>
    <xf numFmtId="164" fontId="42" fillId="0" borderId="122" xfId="0" applyNumberFormat="1" applyFont="1" applyBorder="1" applyAlignment="1">
      <alignment/>
    </xf>
    <xf numFmtId="3" fontId="37" fillId="24" borderId="130" xfId="0" applyNumberFormat="1" applyFont="1" applyFill="1" applyBorder="1" applyAlignment="1">
      <alignment/>
    </xf>
    <xf numFmtId="164" fontId="42" fillId="0" borderId="131" xfId="0" applyNumberFormat="1" applyFont="1" applyBorder="1" applyAlignment="1">
      <alignment/>
    </xf>
    <xf numFmtId="3" fontId="37" fillId="0" borderId="114" xfId="0" applyNumberFormat="1" applyFont="1" applyBorder="1" applyAlignment="1">
      <alignment/>
    </xf>
    <xf numFmtId="164" fontId="42" fillId="0" borderId="110" xfId="0" applyNumberFormat="1" applyFont="1" applyBorder="1" applyAlignment="1">
      <alignment/>
    </xf>
    <xf numFmtId="3" fontId="37" fillId="0" borderId="115" xfId="0" applyNumberFormat="1" applyFont="1" applyBorder="1" applyAlignment="1">
      <alignment/>
    </xf>
    <xf numFmtId="164" fontId="42" fillId="0" borderId="117" xfId="0" applyNumberFormat="1" applyFont="1" applyBorder="1" applyAlignment="1">
      <alignment/>
    </xf>
    <xf numFmtId="3" fontId="37" fillId="0" borderId="116" xfId="0" applyNumberFormat="1" applyFont="1" applyBorder="1" applyAlignment="1">
      <alignment/>
    </xf>
    <xf numFmtId="3" fontId="23" fillId="24" borderId="121" xfId="0" applyNumberFormat="1" applyFont="1" applyFill="1" applyBorder="1" applyAlignment="1">
      <alignment/>
    </xf>
    <xf numFmtId="3" fontId="37" fillId="0" borderId="121" xfId="0" applyNumberFormat="1" applyFont="1" applyBorder="1" applyAlignment="1">
      <alignment/>
    </xf>
    <xf numFmtId="0" fontId="35" fillId="0" borderId="131" xfId="0" applyFont="1" applyBorder="1" applyAlignment="1">
      <alignment/>
    </xf>
    <xf numFmtId="3" fontId="37" fillId="0" borderId="114" xfId="0" applyNumberFormat="1" applyFont="1" applyBorder="1" applyAlignment="1">
      <alignment/>
    </xf>
    <xf numFmtId="0" fontId="35" fillId="0" borderId="117" xfId="0" applyFont="1" applyBorder="1" applyAlignment="1">
      <alignment/>
    </xf>
    <xf numFmtId="164" fontId="35" fillId="0" borderId="110" xfId="0" applyNumberFormat="1" applyFont="1" applyBorder="1" applyAlignment="1">
      <alignment/>
    </xf>
    <xf numFmtId="0" fontId="35" fillId="0" borderId="110" xfId="0" applyFont="1" applyBorder="1" applyAlignment="1">
      <alignment/>
    </xf>
    <xf numFmtId="164" fontId="35" fillId="0" borderId="118" xfId="0" applyNumberFormat="1" applyFont="1" applyBorder="1" applyAlignment="1">
      <alignment/>
    </xf>
    <xf numFmtId="3" fontId="37" fillId="0" borderId="119" xfId="0" applyNumberFormat="1" applyFont="1" applyBorder="1" applyAlignment="1">
      <alignment/>
    </xf>
    <xf numFmtId="164" fontId="35" fillId="0" borderId="111" xfId="0" applyNumberFormat="1" applyFont="1" applyBorder="1" applyAlignment="1">
      <alignment/>
    </xf>
    <xf numFmtId="3" fontId="37" fillId="0" borderId="116" xfId="0" applyNumberFormat="1" applyFont="1" applyBorder="1" applyAlignment="1">
      <alignment/>
    </xf>
    <xf numFmtId="0" fontId="35" fillId="0" borderId="101" xfId="0" applyFont="1" applyFill="1" applyBorder="1" applyAlignment="1">
      <alignment/>
    </xf>
    <xf numFmtId="0" fontId="35" fillId="0" borderId="110" xfId="0" applyFont="1" applyBorder="1" applyAlignment="1">
      <alignment/>
    </xf>
    <xf numFmtId="3" fontId="37" fillId="0" borderId="115" xfId="0" applyNumberFormat="1" applyFont="1" applyBorder="1" applyAlignment="1">
      <alignment/>
    </xf>
    <xf numFmtId="0" fontId="35" fillId="0" borderId="196" xfId="0" applyFont="1" applyBorder="1" applyAlignment="1">
      <alignment/>
    </xf>
    <xf numFmtId="3" fontId="37" fillId="0" borderId="120" xfId="0" applyNumberFormat="1" applyFont="1" applyBorder="1" applyAlignment="1">
      <alignment/>
    </xf>
    <xf numFmtId="0" fontId="14" fillId="0" borderId="113" xfId="0" applyFont="1" applyBorder="1" applyAlignment="1">
      <alignment/>
    </xf>
    <xf numFmtId="3" fontId="23" fillId="24" borderId="121" xfId="0" applyNumberFormat="1" applyFont="1" applyFill="1" applyBorder="1" applyAlignment="1">
      <alignment/>
    </xf>
    <xf numFmtId="0" fontId="14" fillId="0" borderId="111" xfId="0" applyFont="1" applyBorder="1" applyAlignment="1">
      <alignment/>
    </xf>
    <xf numFmtId="3" fontId="37" fillId="0" borderId="112" xfId="0" applyNumberFormat="1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110" xfId="0" applyFont="1" applyBorder="1" applyAlignment="1">
      <alignment/>
    </xf>
    <xf numFmtId="3" fontId="37" fillId="0" borderId="112" xfId="0" applyNumberFormat="1" applyFont="1" applyBorder="1" applyAlignment="1">
      <alignment/>
    </xf>
    <xf numFmtId="0" fontId="32" fillId="24" borderId="113" xfId="0" applyFont="1" applyFill="1" applyBorder="1" applyAlignment="1">
      <alignment wrapText="1"/>
    </xf>
    <xf numFmtId="0" fontId="14" fillId="0" borderId="131" xfId="0" applyFont="1" applyBorder="1" applyAlignment="1">
      <alignment/>
    </xf>
    <xf numFmtId="3" fontId="37" fillId="0" borderId="147" xfId="0" applyNumberFormat="1" applyFont="1" applyBorder="1" applyAlignment="1">
      <alignment/>
    </xf>
    <xf numFmtId="0" fontId="32" fillId="0" borderId="113" xfId="0" applyFont="1" applyBorder="1" applyAlignment="1">
      <alignment wrapText="1"/>
    </xf>
    <xf numFmtId="3" fontId="23" fillId="0" borderId="121" xfId="0" applyNumberFormat="1" applyFont="1" applyBorder="1" applyAlignment="1">
      <alignment/>
    </xf>
    <xf numFmtId="0" fontId="14" fillId="0" borderId="131" xfId="0" applyFont="1" applyBorder="1" applyAlignment="1">
      <alignment/>
    </xf>
    <xf numFmtId="3" fontId="37" fillId="0" borderId="77" xfId="0" applyNumberFormat="1" applyFont="1" applyBorder="1" applyAlignment="1">
      <alignment/>
    </xf>
    <xf numFmtId="0" fontId="0" fillId="0" borderId="196" xfId="0" applyFont="1" applyBorder="1" applyAlignment="1">
      <alignment/>
    </xf>
    <xf numFmtId="3" fontId="37" fillId="0" borderId="195" xfId="0" applyNumberFormat="1" applyFont="1" applyBorder="1" applyAlignment="1">
      <alignment/>
    </xf>
    <xf numFmtId="0" fontId="32" fillId="24" borderId="172" xfId="0" applyFont="1" applyFill="1" applyBorder="1" applyAlignment="1">
      <alignment/>
    </xf>
    <xf numFmtId="3" fontId="23" fillId="0" borderId="195" xfId="0" applyNumberFormat="1" applyFont="1" applyBorder="1" applyAlignment="1">
      <alignment/>
    </xf>
    <xf numFmtId="0" fontId="0" fillId="0" borderId="122" xfId="0" applyFont="1" applyBorder="1" applyAlignment="1">
      <alignment/>
    </xf>
    <xf numFmtId="3" fontId="37" fillId="0" borderId="171" xfId="0" applyNumberFormat="1" applyFont="1" applyBorder="1" applyAlignment="1">
      <alignment/>
    </xf>
    <xf numFmtId="3" fontId="37" fillId="0" borderId="79" xfId="0" applyNumberFormat="1" applyFont="1" applyBorder="1" applyAlignment="1">
      <alignment/>
    </xf>
    <xf numFmtId="3" fontId="23" fillId="0" borderId="16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19" fillId="0" borderId="117" xfId="0" applyFont="1" applyFill="1" applyBorder="1" applyAlignment="1">
      <alignment/>
    </xf>
    <xf numFmtId="3" fontId="37" fillId="0" borderId="116" xfId="40" applyNumberFormat="1" applyFont="1" applyFill="1" applyBorder="1" applyAlignment="1" applyProtection="1">
      <alignment horizontal="right" vertical="center"/>
      <protection/>
    </xf>
    <xf numFmtId="0" fontId="0" fillId="0" borderId="197" xfId="0" applyBorder="1" applyAlignment="1">
      <alignment/>
    </xf>
    <xf numFmtId="0" fontId="0" fillId="0" borderId="162" xfId="0" applyBorder="1" applyAlignment="1">
      <alignment/>
    </xf>
    <xf numFmtId="3" fontId="25" fillId="24" borderId="34" xfId="0" applyNumberFormat="1" applyFont="1" applyFill="1" applyBorder="1" applyAlignment="1">
      <alignment/>
    </xf>
    <xf numFmtId="3" fontId="25" fillId="24" borderId="72" xfId="0" applyNumberFormat="1" applyFont="1" applyFill="1" applyBorder="1" applyAlignment="1">
      <alignment/>
    </xf>
    <xf numFmtId="0" fontId="25" fillId="0" borderId="117" xfId="0" applyFont="1" applyBorder="1" applyAlignment="1">
      <alignment/>
    </xf>
    <xf numFmtId="0" fontId="30" fillId="0" borderId="17" xfId="0" applyFont="1" applyBorder="1" applyAlignment="1">
      <alignment horizontal="left" vertical="center"/>
    </xf>
    <xf numFmtId="3" fontId="0" fillId="0" borderId="158" xfId="0" applyNumberFormat="1" applyFont="1" applyBorder="1" applyAlignment="1">
      <alignment/>
    </xf>
    <xf numFmtId="0" fontId="0" fillId="0" borderId="22" xfId="0" applyBorder="1" applyAlignment="1">
      <alignment/>
    </xf>
    <xf numFmtId="0" fontId="35" fillId="0" borderId="3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35" fillId="0" borderId="100" xfId="0" applyFont="1" applyBorder="1" applyAlignment="1">
      <alignment/>
    </xf>
    <xf numFmtId="3" fontId="0" fillId="0" borderId="71" xfId="0" applyNumberFormat="1" applyFont="1" applyBorder="1" applyAlignment="1">
      <alignment/>
    </xf>
    <xf numFmtId="0" fontId="19" fillId="0" borderId="111" xfId="0" applyFont="1" applyBorder="1" applyAlignment="1">
      <alignment vertical="center"/>
    </xf>
    <xf numFmtId="0" fontId="37" fillId="0" borderId="117" xfId="0" applyFont="1" applyFill="1" applyBorder="1" applyAlignment="1">
      <alignment/>
    </xf>
    <xf numFmtId="0" fontId="37" fillId="0" borderId="198" xfId="0" applyFont="1" applyFill="1" applyBorder="1" applyAlignment="1">
      <alignment/>
    </xf>
    <xf numFmtId="0" fontId="25" fillId="0" borderId="106" xfId="0" applyFont="1" applyBorder="1" applyAlignment="1">
      <alignment vertical="center"/>
    </xf>
    <xf numFmtId="3" fontId="25" fillId="0" borderId="97" xfId="40" applyNumberFormat="1" applyFont="1" applyFill="1" applyBorder="1" applyAlignment="1" applyProtection="1">
      <alignment/>
      <protection/>
    </xf>
    <xf numFmtId="0" fontId="19" fillId="0" borderId="106" xfId="0" applyFont="1" applyBorder="1" applyAlignment="1">
      <alignment vertical="center"/>
    </xf>
    <xf numFmtId="3" fontId="19" fillId="0" borderId="97" xfId="40" applyNumberFormat="1" applyFont="1" applyFill="1" applyBorder="1" applyAlignment="1" applyProtection="1">
      <alignment/>
      <protection/>
    </xf>
    <xf numFmtId="0" fontId="25" fillId="0" borderId="118" xfId="0" applyFont="1" applyBorder="1" applyAlignment="1">
      <alignment vertical="center"/>
    </xf>
    <xf numFmtId="3" fontId="25" fillId="0" borderId="103" xfId="40" applyNumberFormat="1" applyFont="1" applyFill="1" applyBorder="1" applyAlignment="1" applyProtection="1">
      <alignment/>
      <protection/>
    </xf>
    <xf numFmtId="3" fontId="19" fillId="0" borderId="91" xfId="40" applyNumberFormat="1" applyFont="1" applyFill="1" applyBorder="1" applyAlignment="1" applyProtection="1">
      <alignment/>
      <protection/>
    </xf>
    <xf numFmtId="0" fontId="23" fillId="0" borderId="198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" fontId="0" fillId="0" borderId="199" xfId="0" applyNumberFormat="1" applyFont="1" applyBorder="1" applyAlignment="1">
      <alignment/>
    </xf>
    <xf numFmtId="0" fontId="0" fillId="0" borderId="200" xfId="0" applyFill="1" applyBorder="1" applyAlignment="1">
      <alignment/>
    </xf>
    <xf numFmtId="3" fontId="0" fillId="0" borderId="85" xfId="0" applyNumberFormat="1" applyBorder="1" applyAlignment="1">
      <alignment/>
    </xf>
    <xf numFmtId="0" fontId="0" fillId="0" borderId="111" xfId="0" applyBorder="1" applyAlignment="1">
      <alignment horizontal="left"/>
    </xf>
    <xf numFmtId="0" fontId="0" fillId="0" borderId="201" xfId="0" applyFont="1" applyBorder="1" applyAlignment="1">
      <alignment/>
    </xf>
    <xf numFmtId="0" fontId="0" fillId="0" borderId="202" xfId="0" applyFont="1" applyBorder="1" applyAlignment="1">
      <alignment/>
    </xf>
    <xf numFmtId="3" fontId="0" fillId="0" borderId="203" xfId="0" applyNumberFormat="1" applyFill="1" applyBorder="1" applyAlignment="1">
      <alignment/>
    </xf>
    <xf numFmtId="3" fontId="0" fillId="0" borderId="184" xfId="0" applyNumberFormat="1" applyFill="1" applyBorder="1" applyAlignment="1">
      <alignment/>
    </xf>
    <xf numFmtId="3" fontId="0" fillId="0" borderId="204" xfId="0" applyNumberFormat="1" applyFill="1" applyBorder="1" applyAlignment="1">
      <alignment/>
    </xf>
    <xf numFmtId="0" fontId="33" fillId="0" borderId="205" xfId="0" applyFont="1" applyBorder="1" applyAlignment="1">
      <alignment/>
    </xf>
    <xf numFmtId="3" fontId="0" fillId="0" borderId="206" xfId="0" applyNumberFormat="1" applyBorder="1" applyAlignment="1">
      <alignment/>
    </xf>
    <xf numFmtId="0" fontId="0" fillId="0" borderId="207" xfId="0" applyBorder="1" applyAlignment="1">
      <alignment horizontal="left"/>
    </xf>
    <xf numFmtId="0" fontId="0" fillId="0" borderId="162" xfId="0" applyBorder="1" applyAlignment="1">
      <alignment horizontal="left"/>
    </xf>
    <xf numFmtId="3" fontId="33" fillId="0" borderId="73" xfId="0" applyNumberFormat="1" applyFont="1" applyBorder="1" applyAlignment="1">
      <alignment/>
    </xf>
    <xf numFmtId="3" fontId="33" fillId="0" borderId="128" xfId="0" applyNumberFormat="1" applyFont="1" applyBorder="1" applyAlignment="1">
      <alignment/>
    </xf>
    <xf numFmtId="0" fontId="33" fillId="0" borderId="126" xfId="0" applyFont="1" applyBorder="1" applyAlignment="1">
      <alignment horizontal="left"/>
    </xf>
    <xf numFmtId="0" fontId="33" fillId="0" borderId="208" xfId="0" applyFont="1" applyBorder="1" applyAlignment="1">
      <alignment/>
    </xf>
    <xf numFmtId="3" fontId="33" fillId="0" borderId="142" xfId="0" applyNumberFormat="1" applyFont="1" applyBorder="1" applyAlignment="1">
      <alignment/>
    </xf>
    <xf numFmtId="3" fontId="33" fillId="0" borderId="141" xfId="0" applyNumberFormat="1" applyFont="1" applyBorder="1" applyAlignment="1">
      <alignment/>
    </xf>
    <xf numFmtId="3" fontId="33" fillId="0" borderId="143" xfId="0" applyNumberFormat="1" applyFont="1" applyBorder="1" applyAlignment="1">
      <alignment/>
    </xf>
    <xf numFmtId="0" fontId="33" fillId="0" borderId="209" xfId="0" applyFont="1" applyBorder="1" applyAlignment="1">
      <alignment horizontal="left"/>
    </xf>
    <xf numFmtId="3" fontId="0" fillId="0" borderId="210" xfId="0" applyNumberFormat="1" applyBorder="1" applyAlignment="1">
      <alignment/>
    </xf>
    <xf numFmtId="3" fontId="33" fillId="0" borderId="210" xfId="0" applyNumberFormat="1" applyFont="1" applyBorder="1" applyAlignment="1">
      <alignment/>
    </xf>
    <xf numFmtId="3" fontId="33" fillId="0" borderId="211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70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27" xfId="0" applyFont="1" applyBorder="1" applyAlignment="1">
      <alignment horizontal="center"/>
    </xf>
    <xf numFmtId="0" fontId="32" fillId="0" borderId="129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/>
    </xf>
    <xf numFmtId="0" fontId="32" fillId="0" borderId="27" xfId="0" applyFont="1" applyBorder="1" applyAlignment="1">
      <alignment vertical="center"/>
    </xf>
    <xf numFmtId="0" fontId="30" fillId="0" borderId="27" xfId="0" applyFont="1" applyBorder="1" applyAlignment="1">
      <alignment horizontal="left" vertical="center" wrapText="1"/>
    </xf>
    <xf numFmtId="0" fontId="27" fillId="0" borderId="92" xfId="0" applyFont="1" applyBorder="1" applyAlignment="1">
      <alignment/>
    </xf>
    <xf numFmtId="0" fontId="27" fillId="0" borderId="212" xfId="0" applyFont="1" applyBorder="1" applyAlignment="1">
      <alignment/>
    </xf>
    <xf numFmtId="0" fontId="0" fillId="0" borderId="101" xfId="0" applyBorder="1" applyAlignment="1">
      <alignment/>
    </xf>
    <xf numFmtId="0" fontId="0" fillId="0" borderId="21" xfId="0" applyFont="1" applyBorder="1" applyAlignment="1">
      <alignment/>
    </xf>
    <xf numFmtId="0" fontId="0" fillId="0" borderId="110" xfId="0" applyBorder="1" applyAlignment="1">
      <alignment/>
    </xf>
    <xf numFmtId="0" fontId="0" fillId="0" borderId="13" xfId="0" applyFont="1" applyBorder="1" applyAlignment="1">
      <alignment/>
    </xf>
    <xf numFmtId="0" fontId="0" fillId="0" borderId="117" xfId="0" applyBorder="1" applyAlignment="1">
      <alignment/>
    </xf>
    <xf numFmtId="0" fontId="0" fillId="0" borderId="19" xfId="0" applyFont="1" applyBorder="1" applyAlignment="1">
      <alignment/>
    </xf>
    <xf numFmtId="0" fontId="33" fillId="0" borderId="113" xfId="0" applyFont="1" applyBorder="1" applyAlignment="1">
      <alignment/>
    </xf>
    <xf numFmtId="0" fontId="33" fillId="0" borderId="26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2" xfId="0" applyBorder="1" applyAlignment="1">
      <alignment/>
    </xf>
    <xf numFmtId="0" fontId="0" fillId="0" borderId="185" xfId="0" applyFont="1" applyBorder="1" applyAlignment="1">
      <alignment/>
    </xf>
    <xf numFmtId="0" fontId="0" fillId="0" borderId="106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111" xfId="0" applyBorder="1" applyAlignment="1">
      <alignment/>
    </xf>
    <xf numFmtId="0" fontId="0" fillId="0" borderId="20" xfId="0" applyBorder="1" applyAlignment="1">
      <alignment/>
    </xf>
    <xf numFmtId="0" fontId="0" fillId="0" borderId="117" xfId="0" applyFont="1" applyBorder="1" applyAlignment="1">
      <alignment/>
    </xf>
    <xf numFmtId="0" fontId="0" fillId="0" borderId="213" xfId="0" applyBorder="1" applyAlignment="1">
      <alignment/>
    </xf>
    <xf numFmtId="0" fontId="0" fillId="0" borderId="19" xfId="0" applyBorder="1" applyAlignment="1">
      <alignment/>
    </xf>
    <xf numFmtId="0" fontId="33" fillId="0" borderId="214" xfId="0" applyFont="1" applyBorder="1" applyAlignment="1">
      <alignment wrapText="1"/>
    </xf>
    <xf numFmtId="0" fontId="33" fillId="0" borderId="215" xfId="0" applyFont="1" applyBorder="1" applyAlignment="1">
      <alignment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25" fillId="0" borderId="0" xfId="54" applyFont="1" applyBorder="1" applyAlignment="1" applyProtection="1">
      <alignment horizontal="center"/>
      <protection/>
    </xf>
    <xf numFmtId="0" fontId="25" fillId="0" borderId="27" xfId="54" applyFont="1" applyBorder="1" applyAlignment="1" applyProtection="1">
      <alignment horizontal="center"/>
      <protection/>
    </xf>
    <xf numFmtId="0" fontId="25" fillId="0" borderId="17" xfId="54" applyFont="1" applyBorder="1" applyAlignment="1" applyProtection="1">
      <alignment horizontal="center"/>
      <protection/>
    </xf>
    <xf numFmtId="0" fontId="63" fillId="0" borderId="0" xfId="54" applyFont="1" applyBorder="1" applyAlignment="1" applyProtection="1">
      <alignment horizontal="center"/>
      <protection/>
    </xf>
    <xf numFmtId="0" fontId="60" fillId="0" borderId="0" xfId="54" applyFont="1" applyBorder="1" applyAlignment="1" applyProtection="1">
      <alignment horizontal="center"/>
      <protection/>
    </xf>
    <xf numFmtId="0" fontId="25" fillId="0" borderId="74" xfId="54" applyFont="1" applyBorder="1" applyAlignment="1" applyProtection="1">
      <alignment horizontal="center"/>
      <protection/>
    </xf>
    <xf numFmtId="0" fontId="25" fillId="0" borderId="127" xfId="54" applyFont="1" applyBorder="1" applyAlignment="1" applyProtection="1">
      <alignment horizontal="center"/>
      <protection/>
    </xf>
    <xf numFmtId="0" fontId="25" fillId="0" borderId="216" xfId="54" applyFont="1" applyBorder="1" applyAlignment="1" applyProtection="1">
      <alignment horizontal="center"/>
      <protection/>
    </xf>
    <xf numFmtId="0" fontId="25" fillId="0" borderId="217" xfId="54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right"/>
    </xf>
    <xf numFmtId="0" fontId="32" fillId="0" borderId="3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166" fontId="31" fillId="0" borderId="11" xfId="40" applyNumberFormat="1" applyFont="1" applyFill="1" applyBorder="1" applyAlignment="1" applyProtection="1">
      <alignment horizontal="center" vertical="center"/>
      <protection/>
    </xf>
    <xf numFmtId="166" fontId="31" fillId="0" borderId="14" xfId="40" applyNumberFormat="1" applyFont="1" applyFill="1" applyBorder="1" applyAlignment="1" applyProtection="1">
      <alignment horizontal="center" vertical="center"/>
      <protection/>
    </xf>
    <xf numFmtId="166" fontId="31" fillId="0" borderId="24" xfId="40" applyNumberFormat="1" applyFont="1" applyFill="1" applyBorder="1" applyAlignment="1" applyProtection="1">
      <alignment horizontal="center" vertical="center"/>
      <protection/>
    </xf>
    <xf numFmtId="166" fontId="30" fillId="0" borderId="27" xfId="4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horizontal="right"/>
    </xf>
    <xf numFmtId="0" fontId="58" fillId="0" borderId="0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61" fillId="0" borderId="49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6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5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37" fillId="0" borderId="23" xfId="0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54" fillId="0" borderId="21" xfId="0" applyFont="1" applyBorder="1" applyAlignment="1">
      <alignment/>
    </xf>
    <xf numFmtId="166" fontId="54" fillId="0" borderId="11" xfId="40" applyNumberFormat="1" applyFont="1" applyFill="1" applyBorder="1" applyAlignment="1" applyProtection="1">
      <alignment/>
      <protection/>
    </xf>
    <xf numFmtId="166" fontId="54" fillId="0" borderId="22" xfId="40" applyNumberFormat="1" applyFont="1" applyFill="1" applyBorder="1" applyAlignment="1" applyProtection="1">
      <alignment/>
      <protection/>
    </xf>
    <xf numFmtId="166" fontId="54" fillId="0" borderId="30" xfId="40" applyNumberFormat="1" applyFont="1" applyFill="1" applyBorder="1" applyAlignment="1" applyProtection="1">
      <alignment/>
      <protection/>
    </xf>
    <xf numFmtId="0" fontId="54" fillId="0" borderId="39" xfId="0" applyFont="1" applyBorder="1" applyAlignment="1">
      <alignment/>
    </xf>
    <xf numFmtId="166" fontId="54" fillId="0" borderId="43" xfId="40" applyNumberFormat="1" applyFont="1" applyFill="1" applyBorder="1" applyAlignment="1" applyProtection="1">
      <alignment/>
      <protection/>
    </xf>
    <xf numFmtId="0" fontId="70" fillId="0" borderId="74" xfId="0" applyFont="1" applyBorder="1" applyAlignment="1">
      <alignment horizontal="center" vertical="center"/>
    </xf>
    <xf numFmtId="0" fontId="30" fillId="0" borderId="218" xfId="0" applyFont="1" applyBorder="1" applyAlignment="1">
      <alignment/>
    </xf>
    <xf numFmtId="0" fontId="70" fillId="0" borderId="80" xfId="0" applyFont="1" applyBorder="1" applyAlignment="1">
      <alignment horizontal="center" vertical="center"/>
    </xf>
    <xf numFmtId="0" fontId="55" fillId="0" borderId="101" xfId="0" applyFont="1" applyBorder="1" applyAlignment="1">
      <alignment horizontal="left" vertical="center"/>
    </xf>
    <xf numFmtId="0" fontId="55" fillId="0" borderId="101" xfId="0" applyFont="1" applyBorder="1" applyAlignment="1">
      <alignment/>
    </xf>
    <xf numFmtId="0" fontId="41" fillId="0" borderId="110" xfId="0" applyFont="1" applyBorder="1" applyAlignment="1">
      <alignment/>
    </xf>
    <xf numFmtId="0" fontId="55" fillId="0" borderId="110" xfId="0" applyFont="1" applyBorder="1" applyAlignment="1">
      <alignment/>
    </xf>
    <xf numFmtId="0" fontId="55" fillId="0" borderId="117" xfId="0" applyFont="1" applyBorder="1" applyAlignment="1">
      <alignment wrapText="1"/>
    </xf>
    <xf numFmtId="0" fontId="55" fillId="0" borderId="110" xfId="0" applyFont="1" applyBorder="1" applyAlignment="1">
      <alignment wrapText="1"/>
    </xf>
    <xf numFmtId="0" fontId="54" fillId="0" borderId="110" xfId="0" applyFont="1" applyBorder="1" applyAlignment="1">
      <alignment wrapText="1"/>
    </xf>
    <xf numFmtId="0" fontId="54" fillId="0" borderId="117" xfId="0" applyFont="1" applyBorder="1" applyAlignment="1">
      <alignment wrapText="1"/>
    </xf>
    <xf numFmtId="0" fontId="31" fillId="0" borderId="158" xfId="0" applyFont="1" applyBorder="1" applyAlignment="1">
      <alignment vertical="center"/>
    </xf>
    <xf numFmtId="0" fontId="31" fillId="0" borderId="183" xfId="0" applyFont="1" applyBorder="1" applyAlignment="1">
      <alignment vertical="center"/>
    </xf>
    <xf numFmtId="0" fontId="23" fillId="0" borderId="178" xfId="0" applyFont="1" applyBorder="1" applyAlignment="1">
      <alignment horizontal="center"/>
    </xf>
    <xf numFmtId="0" fontId="30" fillId="0" borderId="37" xfId="0" applyFont="1" applyBorder="1" applyAlignment="1">
      <alignment/>
    </xf>
    <xf numFmtId="0" fontId="23" fillId="0" borderId="72" xfId="0" applyFont="1" applyBorder="1" applyAlignment="1">
      <alignment horizontal="center"/>
    </xf>
    <xf numFmtId="0" fontId="31" fillId="0" borderId="155" xfId="0" applyFont="1" applyBorder="1" applyAlignment="1">
      <alignment/>
    </xf>
    <xf numFmtId="0" fontId="69" fillId="0" borderId="92" xfId="0" applyFont="1" applyBorder="1" applyAlignment="1">
      <alignment/>
    </xf>
    <xf numFmtId="0" fontId="31" fillId="0" borderId="86" xfId="0" applyFont="1" applyBorder="1" applyAlignment="1">
      <alignment vertical="center"/>
    </xf>
    <xf numFmtId="3" fontId="31" fillId="0" borderId="219" xfId="0" applyNumberFormat="1" applyFont="1" applyBorder="1" applyAlignment="1">
      <alignment vertical="center"/>
    </xf>
    <xf numFmtId="3" fontId="31" fillId="0" borderId="97" xfId="0" applyNumberFormat="1" applyFont="1" applyBorder="1" applyAlignment="1">
      <alignment vertical="center"/>
    </xf>
    <xf numFmtId="3" fontId="31" fillId="0" borderId="220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3" fontId="31" fillId="0" borderId="23" xfId="0" applyNumberFormat="1" applyFont="1" applyBorder="1" applyAlignment="1">
      <alignment vertical="center"/>
    </xf>
    <xf numFmtId="3" fontId="31" fillId="0" borderId="221" xfId="0" applyNumberFormat="1" applyFont="1" applyBorder="1" applyAlignment="1">
      <alignment vertical="center"/>
    </xf>
    <xf numFmtId="3" fontId="30" fillId="0" borderId="72" xfId="0" applyNumberFormat="1" applyFont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114</xdr:row>
      <xdr:rowOff>38100</xdr:rowOff>
    </xdr:from>
    <xdr:to>
      <xdr:col>1</xdr:col>
      <xdr:colOff>180975</xdr:colOff>
      <xdr:row>115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3781425" y="21469350"/>
          <a:ext cx="123825" cy="200025"/>
        </a:xfrm>
        <a:prstGeom prst="righ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okumentumok\kv2005v&#233;g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&#246;lts&#233;gvet&#233;s%202010\Test&#252;leti\1.2.%20mell&#233;kelktgv20100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sz_melléklet"/>
    </sheetNames>
    <sheetDataSet>
      <sheetData sheetId="0">
        <row r="41">
          <cell r="D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1_a_sz_ melléklet"/>
      <sheetName val="1_b_sz_melléklet"/>
      <sheetName val="1_c_sz_ melléklet"/>
      <sheetName val="1_d_sz_melléklet"/>
      <sheetName val="1_e_f_sz_melléklet"/>
      <sheetName val="1_g_h_sz_melléklet"/>
      <sheetName val="2_sz_ melléklet"/>
      <sheetName val="2_a_d_sz_ melléklet"/>
      <sheetName val="2 _e_1_sz_melléklet"/>
      <sheetName val="2_f_h_sz_ melléklet"/>
      <sheetName val="2_i_j_sz_ mell_"/>
      <sheetName val="2_k_ sz_ melléklet"/>
      <sheetName val="2_l_sz_ melléklet"/>
      <sheetName val="2_m_n_sz_ melléklet"/>
      <sheetName val="3_sz_ melléklet"/>
      <sheetName val="4_sz_ melléklet"/>
      <sheetName val="5_sz_ melléklet"/>
      <sheetName val="6_sz_ melléklet"/>
      <sheetName val="7_sz_ melléklet"/>
      <sheetName val="8_sz_ melléklet"/>
      <sheetName val="9_sz_ melléklet"/>
      <sheetName val="10_ sz_ melléklet"/>
      <sheetName val="11_sz_ melléklet"/>
      <sheetName val="12_sz_ melléklet"/>
      <sheetName val="13_sz_ melléklet"/>
      <sheetName val="14_15_sz_ melléklet"/>
      <sheetName val="16_17_sz_ melléklet"/>
      <sheetName val="16A sz melléklet"/>
      <sheetName val="18_19_ sz_ melléklet"/>
      <sheetName val="20_ sz_ melléklet"/>
      <sheetName val="1_ sz_ tájékoztató"/>
      <sheetName val="2_ sz_ tájékoztató"/>
      <sheetName val="3_ sz_ tájékoztató"/>
      <sheetName val="4_ sz_ tájékoztató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2">
      <selection activeCell="A34" sqref="A34"/>
    </sheetView>
  </sheetViews>
  <sheetFormatPr defaultColWidth="9.140625" defaultRowHeight="12.75"/>
  <cols>
    <col min="1" max="1" width="49.7109375" style="0" customWidth="1"/>
    <col min="2" max="2" width="19.00390625" style="0" customWidth="1"/>
    <col min="3" max="3" width="38.421875" style="0" customWidth="1"/>
    <col min="4" max="4" width="21.140625" style="0" customWidth="1"/>
  </cols>
  <sheetData>
    <row r="1" spans="1:4" ht="12.75">
      <c r="A1" s="1"/>
      <c r="B1" s="1"/>
      <c r="C1" s="1"/>
      <c r="D1" s="2" t="s">
        <v>0</v>
      </c>
    </row>
    <row r="2" spans="1:4" s="3" customFormat="1" ht="15.75">
      <c r="A2" s="1380" t="s">
        <v>1</v>
      </c>
      <c r="B2" s="1380"/>
      <c r="C2" s="1380"/>
      <c r="D2" s="1380"/>
    </row>
    <row r="3" spans="1:4" s="3" customFormat="1" ht="15.75">
      <c r="A3" s="1380" t="s">
        <v>2</v>
      </c>
      <c r="B3" s="1380"/>
      <c r="C3" s="1380"/>
      <c r="D3" s="1380"/>
    </row>
    <row r="4" spans="1:4" ht="15.75">
      <c r="A4" s="1381" t="s">
        <v>3</v>
      </c>
      <c r="B4" s="1381"/>
      <c r="C4" s="1381" t="s">
        <v>4</v>
      </c>
      <c r="D4" s="1381"/>
    </row>
    <row r="5" spans="1:4" s="7" customFormat="1" ht="15.75">
      <c r="A5" s="4" t="s">
        <v>5</v>
      </c>
      <c r="B5" s="5" t="s">
        <v>6</v>
      </c>
      <c r="C5" s="6" t="s">
        <v>5</v>
      </c>
      <c r="D5" s="5" t="s">
        <v>6</v>
      </c>
    </row>
    <row r="6" spans="1:4" s="7" customFormat="1" ht="15">
      <c r="A6" s="8" t="s">
        <v>7</v>
      </c>
      <c r="B6" s="9">
        <f>'2_sz_ melléklet'!D6</f>
        <v>1636852</v>
      </c>
      <c r="C6" s="10" t="s">
        <v>8</v>
      </c>
      <c r="D6" s="11">
        <f>'1_a_sz_ melléklet'!D15</f>
        <v>3922941</v>
      </c>
    </row>
    <row r="7" spans="1:4" s="7" customFormat="1" ht="15">
      <c r="A7" s="8" t="s">
        <v>9</v>
      </c>
      <c r="B7" s="9">
        <f>'2_a_d_sz_ melléklet'!D10</f>
        <v>11819</v>
      </c>
      <c r="C7" s="10"/>
      <c r="D7" s="11"/>
    </row>
    <row r="8" spans="1:4" s="7" customFormat="1" ht="7.5" customHeight="1">
      <c r="A8" s="8"/>
      <c r="B8" s="9"/>
      <c r="C8" s="12"/>
      <c r="D8" s="13"/>
    </row>
    <row r="9" spans="1:4" s="7" customFormat="1" ht="16.5" customHeight="1">
      <c r="A9" s="14" t="s">
        <v>10</v>
      </c>
      <c r="B9" s="9">
        <f>'2_sz_ melléklet'!D13</f>
        <v>4941721.994666667</v>
      </c>
      <c r="C9" s="10" t="s">
        <v>11</v>
      </c>
      <c r="D9" s="11">
        <f>'1_a_sz_ melléklet'!D23</f>
        <v>4289880</v>
      </c>
    </row>
    <row r="10" spans="1:4" s="7" customFormat="1" ht="7.5" customHeight="1">
      <c r="A10" s="8"/>
      <c r="B10" s="9"/>
      <c r="C10" s="12"/>
      <c r="D10" s="11"/>
    </row>
    <row r="11" spans="1:4" s="7" customFormat="1" ht="25.5">
      <c r="A11" s="8" t="s">
        <v>12</v>
      </c>
      <c r="B11" s="9">
        <f>'2_sz_ melléklet'!D27</f>
        <v>475348</v>
      </c>
      <c r="C11" s="15" t="s">
        <v>13</v>
      </c>
      <c r="D11" s="11">
        <f>'1_a_sz_ melléklet'!D28</f>
        <v>82556</v>
      </c>
    </row>
    <row r="12" spans="1:4" s="7" customFormat="1" ht="15">
      <c r="A12" s="8" t="s">
        <v>14</v>
      </c>
      <c r="B12" s="9">
        <f>'2_i_j_sz_ mell_'!E70</f>
        <v>4152</v>
      </c>
      <c r="C12" s="15"/>
      <c r="D12" s="13"/>
    </row>
    <row r="13" spans="1:4" s="7" customFormat="1" ht="9.75" customHeight="1">
      <c r="A13" s="8"/>
      <c r="B13" s="9"/>
      <c r="C13" s="12"/>
      <c r="D13" s="13"/>
    </row>
    <row r="14" spans="1:4" s="7" customFormat="1" ht="33" customHeight="1">
      <c r="A14" s="14" t="s">
        <v>15</v>
      </c>
      <c r="B14" s="9">
        <f>'2_sz_ melléklet'!D34</f>
        <v>4358</v>
      </c>
      <c r="C14" s="15" t="s">
        <v>16</v>
      </c>
      <c r="D14" s="11">
        <f>'1_a_sz_ melléklet'!D33</f>
        <v>334189</v>
      </c>
    </row>
    <row r="15" spans="1:4" s="7" customFormat="1" ht="8.25" customHeight="1">
      <c r="A15" s="8"/>
      <c r="B15" s="9"/>
      <c r="C15" s="12"/>
      <c r="D15" s="11"/>
    </row>
    <row r="16" spans="1:4" s="7" customFormat="1" ht="15">
      <c r="A16" s="8"/>
      <c r="B16" s="9"/>
      <c r="C16" s="10" t="s">
        <v>17</v>
      </c>
      <c r="D16" s="11">
        <f>'1_a_sz_ melléklet'!D38</f>
        <v>8660</v>
      </c>
    </row>
    <row r="17" spans="1:4" s="7" customFormat="1" ht="8.25" customHeight="1">
      <c r="A17" s="16"/>
      <c r="B17" s="9"/>
      <c r="C17" s="12"/>
      <c r="D17" s="13"/>
    </row>
    <row r="18" spans="1:4" s="7" customFormat="1" ht="15">
      <c r="A18" s="16"/>
      <c r="B18" s="9"/>
      <c r="C18" s="10" t="s">
        <v>18</v>
      </c>
      <c r="D18" s="11">
        <f>D19+D20</f>
        <v>9516</v>
      </c>
    </row>
    <row r="19" spans="1:4" s="7" customFormat="1" ht="15">
      <c r="A19" s="16"/>
      <c r="B19" s="9"/>
      <c r="C19" s="12" t="s">
        <v>19</v>
      </c>
      <c r="D19" s="13">
        <f>'1_a_sz_ melléklet'!D41</f>
        <v>1999</v>
      </c>
    </row>
    <row r="20" spans="1:4" s="7" customFormat="1" ht="15">
      <c r="A20" s="16"/>
      <c r="B20" s="9"/>
      <c r="C20" s="12" t="s">
        <v>20</v>
      </c>
      <c r="D20" s="13">
        <f>'1_a_sz_ melléklet'!D42</f>
        <v>7517</v>
      </c>
    </row>
    <row r="21" spans="1:4" s="17" customFormat="1" ht="6.75" customHeight="1">
      <c r="A21" s="16"/>
      <c r="B21" s="9"/>
      <c r="C21" s="12"/>
      <c r="D21" s="13"/>
    </row>
    <row r="22" spans="1:4" s="22" customFormat="1" ht="15.75">
      <c r="A22" s="18" t="s">
        <v>21</v>
      </c>
      <c r="B22" s="19">
        <f>B14+B11+B9+B6</f>
        <v>7058279.994666667</v>
      </c>
      <c r="C22" s="20" t="s">
        <v>22</v>
      </c>
      <c r="D22" s="21">
        <f>D18+D14+D11+D9+D6+D16</f>
        <v>8647742</v>
      </c>
    </row>
    <row r="23" spans="1:4" s="22" customFormat="1" ht="11.25" customHeight="1">
      <c r="A23" s="23"/>
      <c r="B23" s="9"/>
      <c r="C23" s="10"/>
      <c r="D23" s="11"/>
    </row>
    <row r="24" spans="1:4" s="22" customFormat="1" ht="15.75">
      <c r="A24" s="893" t="s">
        <v>1125</v>
      </c>
      <c r="B24" s="9">
        <f>'2_sz_ melléklet'!D39</f>
        <v>1374892</v>
      </c>
      <c r="C24" s="10"/>
      <c r="D24" s="11"/>
    </row>
    <row r="25" spans="1:4" s="22" customFormat="1" ht="15.75">
      <c r="A25" s="24" t="s">
        <v>24</v>
      </c>
      <c r="B25" s="9">
        <f>'2_sz_ melléklet'!D41</f>
        <v>151602</v>
      </c>
      <c r="C25" s="10"/>
      <c r="D25" s="11"/>
    </row>
    <row r="26" spans="1:4" ht="12.75">
      <c r="A26" s="25" t="s">
        <v>25</v>
      </c>
      <c r="B26" s="9">
        <f>'2_sz_ melléklet'!D42</f>
        <v>1223290</v>
      </c>
      <c r="C26" s="12"/>
      <c r="D26" s="13"/>
    </row>
    <row r="27" spans="1:4" ht="8.25" customHeight="1">
      <c r="A27" s="8"/>
      <c r="B27" s="26"/>
      <c r="C27" s="12"/>
      <c r="D27" s="13"/>
    </row>
    <row r="28" spans="1:4" s="31" customFormat="1" ht="15">
      <c r="A28" s="27" t="s">
        <v>26</v>
      </c>
      <c r="B28" s="28">
        <f>B29+B30</f>
        <v>229002.00533333328</v>
      </c>
      <c r="C28" s="29" t="s">
        <v>27</v>
      </c>
      <c r="D28" s="30">
        <f>D29+D30</f>
        <v>14432</v>
      </c>
    </row>
    <row r="29" spans="1:4" s="31" customFormat="1" ht="15">
      <c r="A29" s="23" t="s">
        <v>24</v>
      </c>
      <c r="B29" s="32">
        <f>'2_sz_ melléklet'!D44</f>
        <v>229002.00533333328</v>
      </c>
      <c r="C29" s="33" t="s">
        <v>24</v>
      </c>
      <c r="D29" s="34">
        <f>'1_a_sz_ melléklet'!D48</f>
        <v>0</v>
      </c>
    </row>
    <row r="30" spans="1:4" s="31" customFormat="1" ht="15">
      <c r="A30" s="23" t="s">
        <v>25</v>
      </c>
      <c r="B30" s="32">
        <f>'2_sz_ melléklet'!D45</f>
        <v>0</v>
      </c>
      <c r="C30" s="33" t="s">
        <v>28</v>
      </c>
      <c r="D30" s="34">
        <f>'1_a_sz_ melléklet'!D49</f>
        <v>14432</v>
      </c>
    </row>
    <row r="31" spans="1:4" ht="12.75">
      <c r="A31" s="35"/>
      <c r="B31" s="36"/>
      <c r="C31" s="37"/>
      <c r="D31" s="38"/>
    </row>
    <row r="32" spans="1:4" s="22" customFormat="1" ht="15.75">
      <c r="A32" s="39" t="s">
        <v>29</v>
      </c>
      <c r="B32" s="40">
        <f>B28+B22+B24</f>
        <v>8662174</v>
      </c>
      <c r="C32" s="41" t="s">
        <v>30</v>
      </c>
      <c r="D32" s="42">
        <f>D22+D28</f>
        <v>8662174</v>
      </c>
    </row>
  </sheetData>
  <sheetProtection/>
  <mergeCells count="4">
    <mergeCell ref="A2:D2"/>
    <mergeCell ref="A3:D3"/>
    <mergeCell ref="A4:B4"/>
    <mergeCell ref="C4:D4"/>
  </mergeCells>
  <printOptions/>
  <pageMargins left="0.75" right="0.75" top="1" bottom="1" header="0.5118055555555556" footer="0.5"/>
  <pageSetup horizontalDpi="300" verticalDpi="300" orientation="landscape" paperSize="9" r:id="rId1"/>
  <headerFooter alignWithMargins="0">
    <oddFooter>&amp;RKészült: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2.421875" style="0" customWidth="1"/>
    <col min="2" max="2" width="22.421875" style="0" customWidth="1"/>
  </cols>
  <sheetData>
    <row r="1" spans="1:2" ht="12.75">
      <c r="A1" s="1"/>
      <c r="B1" s="375" t="s">
        <v>301</v>
      </c>
    </row>
    <row r="2" spans="1:2" ht="10.5" customHeight="1">
      <c r="A2" s="1"/>
      <c r="B2" s="375"/>
    </row>
    <row r="3" spans="1:2" ht="15.75">
      <c r="A3" s="1385" t="s">
        <v>302</v>
      </c>
      <c r="B3" s="1385"/>
    </row>
    <row r="4" spans="1:2" ht="9.75" customHeight="1">
      <c r="A4" s="376"/>
      <c r="B4" s="376"/>
    </row>
    <row r="5" spans="1:2" ht="13.5" thickBot="1">
      <c r="A5" s="1"/>
      <c r="B5" s="377" t="s">
        <v>33</v>
      </c>
    </row>
    <row r="6" spans="1:2" ht="27" customHeight="1" thickBot="1">
      <c r="A6" s="878" t="s">
        <v>303</v>
      </c>
      <c r="B6" s="879" t="s">
        <v>174</v>
      </c>
    </row>
    <row r="7" spans="1:2" ht="15">
      <c r="A7" s="880" t="s">
        <v>304</v>
      </c>
      <c r="B7" s="877">
        <f>17272*1947/1000</f>
        <v>33628.584</v>
      </c>
    </row>
    <row r="8" spans="1:2" ht="12.75">
      <c r="A8" s="860" t="s">
        <v>305</v>
      </c>
      <c r="B8" s="856">
        <f>12*253.53</f>
        <v>3042.36</v>
      </c>
    </row>
    <row r="9" spans="1:2" ht="15">
      <c r="A9" s="859" t="s">
        <v>306</v>
      </c>
      <c r="B9" s="856">
        <f>18000*1</f>
        <v>18000</v>
      </c>
    </row>
    <row r="10" spans="1:2" ht="15">
      <c r="A10" s="859" t="s">
        <v>307</v>
      </c>
      <c r="B10" s="856">
        <f>58*494.1-1</f>
        <v>28656.800000000003</v>
      </c>
    </row>
    <row r="11" spans="1:2" ht="15">
      <c r="A11" s="859" t="s">
        <v>308</v>
      </c>
      <c r="B11" s="856">
        <f>3*65</f>
        <v>195</v>
      </c>
    </row>
    <row r="12" spans="1:2" ht="12.75">
      <c r="A12" s="861" t="s">
        <v>309</v>
      </c>
      <c r="B12" s="856">
        <f>37*2350/12*8</f>
        <v>57966.666666666664</v>
      </c>
    </row>
    <row r="13" spans="1:2" ht="12.75">
      <c r="A13" s="861" t="s">
        <v>310</v>
      </c>
      <c r="B13" s="856">
        <f>37.8*2350/12*4</f>
        <v>29610</v>
      </c>
    </row>
    <row r="14" spans="1:2" ht="12.75">
      <c r="A14" s="860" t="s">
        <v>311</v>
      </c>
      <c r="B14" s="856">
        <f>11.6*2350/12*8</f>
        <v>18173.333333333332</v>
      </c>
    </row>
    <row r="15" spans="1:2" ht="12.75">
      <c r="A15" s="860" t="s">
        <v>312</v>
      </c>
      <c r="B15" s="856">
        <f>7.7*2350/12*8</f>
        <v>12063.333333333334</v>
      </c>
    </row>
    <row r="16" spans="1:2" ht="12.75">
      <c r="A16" s="860" t="s">
        <v>313</v>
      </c>
      <c r="B16" s="856">
        <f>12.8*2350/12*8-1253</f>
        <v>18800.333333333332</v>
      </c>
    </row>
    <row r="17" spans="1:2" ht="12.75">
      <c r="A17" s="860" t="s">
        <v>314</v>
      </c>
      <c r="B17" s="856">
        <f>11.3*2350/12*4</f>
        <v>8851.666666666666</v>
      </c>
    </row>
    <row r="18" spans="1:2" ht="12.75">
      <c r="A18" s="860" t="s">
        <v>315</v>
      </c>
      <c r="B18" s="856">
        <f>5.8*2350/12*4</f>
        <v>4543.333333333333</v>
      </c>
    </row>
    <row r="19" spans="1:2" ht="12.75">
      <c r="A19" s="860" t="s">
        <v>316</v>
      </c>
      <c r="B19" s="856">
        <f>11.1*2350/12*4</f>
        <v>8695</v>
      </c>
    </row>
    <row r="20" spans="1:2" ht="12.75">
      <c r="A20" s="862" t="s">
        <v>317</v>
      </c>
      <c r="B20" s="856">
        <f>18.1*2350/12*8</f>
        <v>28356.666666666668</v>
      </c>
    </row>
    <row r="21" spans="1:2" ht="12.75">
      <c r="A21" s="862" t="s">
        <v>318</v>
      </c>
      <c r="B21" s="856">
        <f>16.6*2350/12*4</f>
        <v>13003.333333333334</v>
      </c>
    </row>
    <row r="22" spans="1:2" ht="12.75">
      <c r="A22" s="862" t="s">
        <v>319</v>
      </c>
      <c r="B22" s="856">
        <f>11.1*2350/12*8</f>
        <v>17390</v>
      </c>
    </row>
    <row r="23" spans="1:2" ht="12.75">
      <c r="A23" s="862" t="s">
        <v>320</v>
      </c>
      <c r="B23" s="856">
        <f>10.9*2350/12*4</f>
        <v>8538.333333333334</v>
      </c>
    </row>
    <row r="24" spans="1:2" ht="12.75">
      <c r="A24" s="862" t="s">
        <v>321</v>
      </c>
      <c r="B24" s="856">
        <f>16*2350/12*8</f>
        <v>25066.666666666668</v>
      </c>
    </row>
    <row r="25" spans="1:2" ht="12.75">
      <c r="A25" s="862" t="s">
        <v>322</v>
      </c>
      <c r="B25" s="856">
        <f>11.9*2350/12*4</f>
        <v>9321.666666666666</v>
      </c>
    </row>
    <row r="26" spans="1:2" ht="12.75">
      <c r="A26" s="863" t="s">
        <v>323</v>
      </c>
      <c r="B26" s="856">
        <f>1*224/12*8</f>
        <v>149.33333333333334</v>
      </c>
    </row>
    <row r="27" spans="1:2" ht="24">
      <c r="A27" s="863" t="s">
        <v>324</v>
      </c>
      <c r="B27" s="856">
        <f>4*358.4/12*4</f>
        <v>477.8666666666666</v>
      </c>
    </row>
    <row r="28" spans="1:2" ht="24">
      <c r="A28" s="863" t="s">
        <v>325</v>
      </c>
      <c r="B28" s="856">
        <f>5*358.4/12*8</f>
        <v>1194.6666666666667</v>
      </c>
    </row>
    <row r="29" spans="1:2" ht="36">
      <c r="A29" s="863" t="s">
        <v>326</v>
      </c>
      <c r="B29" s="856">
        <f>30*179.2/12*4+538</f>
        <v>2330</v>
      </c>
    </row>
    <row r="30" spans="1:2" ht="24">
      <c r="A30" s="863" t="s">
        <v>327</v>
      </c>
      <c r="B30" s="856">
        <f>35*179.2/12*8</f>
        <v>4181.333333333333</v>
      </c>
    </row>
    <row r="31" spans="1:2" ht="25.5">
      <c r="A31" s="861" t="s">
        <v>328</v>
      </c>
      <c r="B31" s="856">
        <f>20*134.4/12*4+672</f>
        <v>1568</v>
      </c>
    </row>
    <row r="32" spans="1:2" ht="25.5">
      <c r="A32" s="861" t="s">
        <v>329</v>
      </c>
      <c r="B32" s="856">
        <f>26*134.4/12*8</f>
        <v>2329.6</v>
      </c>
    </row>
    <row r="33" spans="1:2" ht="12.75">
      <c r="A33" s="864" t="s">
        <v>330</v>
      </c>
      <c r="B33" s="856">
        <f>62.3*2350/12*8</f>
        <v>97603.33333333333</v>
      </c>
    </row>
    <row r="34" spans="1:2" ht="12.75">
      <c r="A34" s="864" t="s">
        <v>331</v>
      </c>
      <c r="B34" s="856">
        <f>59.8*2350/12*4</f>
        <v>46843.333333333336</v>
      </c>
    </row>
    <row r="35" spans="1:2" ht="12.75">
      <c r="A35" s="864" t="s">
        <v>332</v>
      </c>
      <c r="B35" s="856">
        <f>22.9*2350/12*8</f>
        <v>35876.666666666664</v>
      </c>
    </row>
    <row r="36" spans="1:2" ht="12.75">
      <c r="A36" s="864" t="s">
        <v>333</v>
      </c>
      <c r="B36" s="856">
        <f>28.3*2350/12*4</f>
        <v>22168.333333333332</v>
      </c>
    </row>
    <row r="37" spans="1:2" ht="12.75">
      <c r="A37" s="864" t="s">
        <v>334</v>
      </c>
      <c r="B37" s="856">
        <f>30.4*2350/12*8</f>
        <v>47626.666666666664</v>
      </c>
    </row>
    <row r="38" spans="1:2" ht="12.75">
      <c r="A38" s="864" t="s">
        <v>335</v>
      </c>
      <c r="B38" s="856">
        <f>22.3*2350/12*4</f>
        <v>17468.333333333332</v>
      </c>
    </row>
    <row r="39" spans="1:2" ht="12.75">
      <c r="A39" s="864" t="s">
        <v>336</v>
      </c>
      <c r="B39" s="856">
        <f>5.9*2350/12*4</f>
        <v>4621.666666666667</v>
      </c>
    </row>
    <row r="40" spans="1:2" ht="12.75">
      <c r="A40" s="861" t="s">
        <v>337</v>
      </c>
      <c r="B40" s="856">
        <f>28.7*2350/12*4</f>
        <v>22481.666666666668</v>
      </c>
    </row>
    <row r="41" spans="1:2" ht="12.75">
      <c r="A41" s="863" t="s">
        <v>338</v>
      </c>
      <c r="B41" s="856">
        <f>27.8*2350/12*8</f>
        <v>43553.333333333336</v>
      </c>
    </row>
    <row r="42" spans="1:2" ht="12.75">
      <c r="A42" s="861" t="s">
        <v>339</v>
      </c>
      <c r="B42" s="856"/>
    </row>
    <row r="43" spans="1:2" ht="12.75">
      <c r="A43" s="864" t="s">
        <v>340</v>
      </c>
      <c r="B43" s="856">
        <f>210*35/12*4</f>
        <v>2450</v>
      </c>
    </row>
    <row r="44" spans="1:2" ht="12.75">
      <c r="A44" s="864" t="s">
        <v>341</v>
      </c>
      <c r="B44" s="856">
        <f>214*35/12*8</f>
        <v>4993.333333333333</v>
      </c>
    </row>
    <row r="45" spans="1:2" ht="12.75">
      <c r="A45" s="864" t="s">
        <v>342</v>
      </c>
      <c r="B45" s="856">
        <f>7*98/12*8</f>
        <v>457.3333333333333</v>
      </c>
    </row>
    <row r="46" spans="1:2" ht="12.75">
      <c r="A46" s="864" t="s">
        <v>343</v>
      </c>
      <c r="B46" s="856">
        <f>16*98/12*4</f>
        <v>522.6666666666666</v>
      </c>
    </row>
    <row r="47" spans="1:2" ht="12.75">
      <c r="A47" s="865" t="s">
        <v>344</v>
      </c>
      <c r="B47" s="856">
        <f>50*137.2/12*4</f>
        <v>2286.6666666666665</v>
      </c>
    </row>
    <row r="48" spans="1:2" ht="12.75">
      <c r="A48" s="864" t="s">
        <v>345</v>
      </c>
      <c r="B48" s="856">
        <f>47*137.2/12*8</f>
        <v>4298.933333333333</v>
      </c>
    </row>
    <row r="49" spans="1:2" ht="12.75">
      <c r="A49" s="865" t="s">
        <v>346</v>
      </c>
      <c r="B49" s="856">
        <f>121*19.6/12*4</f>
        <v>790.5333333333334</v>
      </c>
    </row>
    <row r="50" spans="1:2" ht="13.5" thickBot="1">
      <c r="A50" s="866" t="s">
        <v>347</v>
      </c>
      <c r="B50" s="858">
        <f>139*19.6/12*8</f>
        <v>1816.2666666666667</v>
      </c>
    </row>
    <row r="51" spans="1:2" ht="12.75">
      <c r="A51" s="894"/>
      <c r="B51" s="166"/>
    </row>
    <row r="52" spans="1:2" ht="12.75">
      <c r="A52" s="1395">
        <v>2</v>
      </c>
      <c r="B52" s="1395"/>
    </row>
    <row r="53" spans="1:2" ht="12.75">
      <c r="A53" s="1"/>
      <c r="B53" s="375" t="s">
        <v>301</v>
      </c>
    </row>
    <row r="54" spans="1:2" ht="10.5" customHeight="1">
      <c r="A54" s="1"/>
      <c r="B54" s="1"/>
    </row>
    <row r="55" spans="1:2" ht="15.75">
      <c r="A55" s="1385" t="s">
        <v>302</v>
      </c>
      <c r="B55" s="1385"/>
    </row>
    <row r="56" spans="1:2" ht="9.75" customHeight="1">
      <c r="A56" s="376"/>
      <c r="B56" s="376"/>
    </row>
    <row r="57" spans="1:2" ht="13.5" thickBot="1">
      <c r="A57" s="1"/>
      <c r="B57" s="377" t="s">
        <v>33</v>
      </c>
    </row>
    <row r="58" spans="1:2" ht="13.5" thickBot="1">
      <c r="A58" s="878" t="s">
        <v>303</v>
      </c>
      <c r="B58" s="879" t="s">
        <v>174</v>
      </c>
    </row>
    <row r="59" spans="1:2" ht="12.75">
      <c r="A59" s="876" t="s">
        <v>348</v>
      </c>
      <c r="B59" s="877">
        <f>22*58.8/12*4</f>
        <v>431.2</v>
      </c>
    </row>
    <row r="60" spans="1:2" ht="12.75">
      <c r="A60" s="865" t="s">
        <v>349</v>
      </c>
      <c r="B60" s="856">
        <f>27*58.8/12*8</f>
        <v>1058.3999999999999</v>
      </c>
    </row>
    <row r="61" spans="1:2" ht="12.75">
      <c r="A61" s="865" t="s">
        <v>350</v>
      </c>
      <c r="B61" s="856">
        <f>2*134.4/12*4</f>
        <v>89.60000000000001</v>
      </c>
    </row>
    <row r="62" spans="1:2" ht="12.75">
      <c r="A62" s="865" t="s">
        <v>351</v>
      </c>
      <c r="B62" s="856">
        <f>2*134.4/12*8</f>
        <v>179.20000000000002</v>
      </c>
    </row>
    <row r="63" spans="1:2" ht="12.75">
      <c r="A63" s="865" t="s">
        <v>352</v>
      </c>
      <c r="B63" s="856">
        <f>11*240</f>
        <v>2640</v>
      </c>
    </row>
    <row r="64" spans="1:2" ht="12.75">
      <c r="A64" s="865" t="s">
        <v>353</v>
      </c>
      <c r="B64" s="856">
        <f>2*305</f>
        <v>610</v>
      </c>
    </row>
    <row r="65" spans="1:2" ht="12.75">
      <c r="A65" s="864" t="s">
        <v>354</v>
      </c>
      <c r="B65" s="856">
        <f>5.8*2350*8/12</f>
        <v>9086.666666666666</v>
      </c>
    </row>
    <row r="66" spans="1:2" ht="12.75">
      <c r="A66" s="864" t="s">
        <v>355</v>
      </c>
      <c r="B66" s="856">
        <f>0.8*2350*8/12</f>
        <v>1253.3333333333333</v>
      </c>
    </row>
    <row r="67" spans="1:2" ht="12.75">
      <c r="A67" s="869" t="s">
        <v>356</v>
      </c>
      <c r="B67" s="856">
        <f>5.8*2350000*4/12/1000</f>
        <v>4543.333333333333</v>
      </c>
    </row>
    <row r="68" spans="1:2" ht="12.75">
      <c r="A68" s="869" t="s">
        <v>357</v>
      </c>
      <c r="B68" s="856">
        <f>0.8*2350*4/12</f>
        <v>626.6666666666666</v>
      </c>
    </row>
    <row r="69" spans="1:2" ht="12.75">
      <c r="A69" s="860" t="s">
        <v>358</v>
      </c>
      <c r="B69" s="856">
        <f>274*44.9*8/12</f>
        <v>8201.733333333334</v>
      </c>
    </row>
    <row r="70" spans="1:2" ht="12.75">
      <c r="A70" s="860" t="s">
        <v>359</v>
      </c>
      <c r="B70" s="856">
        <f>274*44.9*4/12</f>
        <v>4100.866666666667</v>
      </c>
    </row>
    <row r="71" spans="1:2" ht="12.75">
      <c r="A71" s="860" t="s">
        <v>360</v>
      </c>
      <c r="B71" s="856">
        <f>94*17.6*8/12</f>
        <v>1102.9333333333334</v>
      </c>
    </row>
    <row r="72" spans="1:2" ht="12.75">
      <c r="A72" s="860" t="s">
        <v>361</v>
      </c>
      <c r="B72" s="856">
        <f>94*17.6*4/12</f>
        <v>551.4666666666667</v>
      </c>
    </row>
    <row r="73" spans="1:2" ht="12.75">
      <c r="A73" s="865" t="s">
        <v>362</v>
      </c>
      <c r="B73" s="856">
        <f>3.7*2350/12*4</f>
        <v>2898.3333333333335</v>
      </c>
    </row>
    <row r="74" spans="1:2" ht="12.75">
      <c r="A74" s="865" t="s">
        <v>363</v>
      </c>
      <c r="B74" s="856">
        <f>3.8*2350/12*8</f>
        <v>5953.333333333333</v>
      </c>
    </row>
    <row r="75" spans="1:2" ht="12.75">
      <c r="A75" s="864" t="s">
        <v>364</v>
      </c>
      <c r="B75" s="856">
        <f>72*165/12*4</f>
        <v>3960</v>
      </c>
    </row>
    <row r="76" spans="1:2" ht="12.75">
      <c r="A76" s="864" t="s">
        <v>365</v>
      </c>
      <c r="B76" s="867">
        <f>73*165/12*8</f>
        <v>8030</v>
      </c>
    </row>
    <row r="77" spans="1:2" ht="12.75">
      <c r="A77" s="865" t="s">
        <v>366</v>
      </c>
      <c r="B77" s="856">
        <f>3.7*2350/12*8</f>
        <v>5796.666666666667</v>
      </c>
    </row>
    <row r="78" spans="1:2" ht="12.75">
      <c r="A78" s="865" t="s">
        <v>367</v>
      </c>
      <c r="B78" s="856">
        <f>0.7*2350/12*8</f>
        <v>1096.6666666666667</v>
      </c>
    </row>
    <row r="79" spans="1:2" ht="12.75">
      <c r="A79" s="865" t="s">
        <v>368</v>
      </c>
      <c r="B79" s="856">
        <f>3.5*2350/12*4</f>
        <v>2741.6666666666665</v>
      </c>
    </row>
    <row r="80" spans="1:2" ht="12.75">
      <c r="A80" s="862" t="s">
        <v>369</v>
      </c>
      <c r="B80" s="856">
        <f>0.6*2350/12*4</f>
        <v>470</v>
      </c>
    </row>
    <row r="81" spans="1:2" ht="12.75">
      <c r="A81" s="862" t="s">
        <v>370</v>
      </c>
      <c r="B81" s="856">
        <f>35*64/12*4</f>
        <v>746.6666666666666</v>
      </c>
    </row>
    <row r="82" spans="1:2" ht="12.75">
      <c r="A82" s="862" t="s">
        <v>371</v>
      </c>
      <c r="B82" s="856">
        <f>26*64/12*8</f>
        <v>1109.3333333333333</v>
      </c>
    </row>
    <row r="83" spans="1:2" ht="12.75">
      <c r="A83" s="860" t="s">
        <v>372</v>
      </c>
      <c r="B83" s="856">
        <f>149*65</f>
        <v>9685</v>
      </c>
    </row>
    <row r="84" spans="1:2" ht="12.75">
      <c r="A84" s="860" t="s">
        <v>373</v>
      </c>
      <c r="B84" s="856">
        <f>298*65+3960</f>
        <v>23330</v>
      </c>
    </row>
    <row r="85" spans="1:2" ht="12.75">
      <c r="A85" s="860" t="s">
        <v>374</v>
      </c>
      <c r="B85" s="856">
        <f>49*65</f>
        <v>3185</v>
      </c>
    </row>
    <row r="86" spans="1:2" ht="12.75">
      <c r="A86" s="860" t="s">
        <v>375</v>
      </c>
      <c r="B86" s="856">
        <f>16*65</f>
        <v>1040</v>
      </c>
    </row>
    <row r="87" spans="1:2" ht="12.75">
      <c r="A87" s="860" t="s">
        <v>376</v>
      </c>
      <c r="B87" s="856">
        <f>42*65</f>
        <v>2730</v>
      </c>
    </row>
    <row r="88" spans="1:2" ht="12.75">
      <c r="A88" s="863" t="s">
        <v>377</v>
      </c>
      <c r="B88" s="856">
        <f>69*20</f>
        <v>1380</v>
      </c>
    </row>
    <row r="89" spans="1:2" ht="12.75">
      <c r="A89" s="862" t="s">
        <v>378</v>
      </c>
      <c r="B89" s="856">
        <f>942*15.3/12*8</f>
        <v>9608.4</v>
      </c>
    </row>
    <row r="90" spans="1:2" ht="12.75">
      <c r="A90" s="862" t="s">
        <v>379</v>
      </c>
      <c r="B90" s="856">
        <f>955*15.3/12*4-97</f>
        <v>4773.5</v>
      </c>
    </row>
    <row r="91" spans="1:2" ht="12.75">
      <c r="A91" s="862" t="s">
        <v>380</v>
      </c>
      <c r="B91" s="856">
        <f>47*36.3/12*8</f>
        <v>1137.3999999999999</v>
      </c>
    </row>
    <row r="92" spans="1:2" ht="12.75">
      <c r="A92" s="860" t="s">
        <v>381</v>
      </c>
      <c r="B92" s="856">
        <f>50*36.3/12*4</f>
        <v>604.9999999999999</v>
      </c>
    </row>
    <row r="93" spans="1:2" ht="12.75">
      <c r="A93" s="860" t="s">
        <v>382</v>
      </c>
      <c r="B93" s="856">
        <f>39*36.3/12*8</f>
        <v>943.7999999999998</v>
      </c>
    </row>
    <row r="94" spans="1:2" ht="12.75">
      <c r="A94" s="860" t="s">
        <v>383</v>
      </c>
      <c r="B94" s="856">
        <f>58*36.3/12*4</f>
        <v>701.7999999999998</v>
      </c>
    </row>
    <row r="95" spans="1:2" ht="12.75">
      <c r="A95" s="860" t="s">
        <v>384</v>
      </c>
      <c r="B95" s="856">
        <f>48*36.3/12*8</f>
        <v>1161.6</v>
      </c>
    </row>
    <row r="96" spans="1:2" ht="12.75">
      <c r="A96" s="860" t="s">
        <v>385</v>
      </c>
      <c r="B96" s="856">
        <f>25*36.3/12*4</f>
        <v>302.49999999999994</v>
      </c>
    </row>
    <row r="97" spans="1:2" ht="12.75">
      <c r="A97" s="862" t="s">
        <v>386</v>
      </c>
      <c r="B97" s="856">
        <f>48*2.612</f>
        <v>125.376</v>
      </c>
    </row>
    <row r="98" spans="1:2" ht="12.75">
      <c r="A98" s="860" t="s">
        <v>387</v>
      </c>
      <c r="B98" s="856"/>
    </row>
    <row r="99" spans="1:2" ht="12.75">
      <c r="A99" s="862" t="s">
        <v>388</v>
      </c>
      <c r="B99" s="856">
        <v>3000</v>
      </c>
    </row>
    <row r="100" spans="1:2" ht="13.5">
      <c r="A100" s="860" t="s">
        <v>389</v>
      </c>
      <c r="B100" s="868">
        <f>30.638*276</f>
        <v>8456.088</v>
      </c>
    </row>
    <row r="101" spans="1:2" ht="13.5">
      <c r="A101" s="860" t="s">
        <v>390</v>
      </c>
      <c r="B101" s="868">
        <f>44.685*229</f>
        <v>10232.865</v>
      </c>
    </row>
    <row r="102" spans="1:2" ht="13.5">
      <c r="A102" s="860" t="s">
        <v>391</v>
      </c>
      <c r="B102" s="868">
        <f>44.685*56+1</f>
        <v>2503.36</v>
      </c>
    </row>
    <row r="103" spans="1:2" ht="13.5">
      <c r="A103" s="860" t="s">
        <v>392</v>
      </c>
      <c r="B103" s="868">
        <f>0.527*7729</f>
        <v>4073.183</v>
      </c>
    </row>
    <row r="104" spans="1:2" ht="13.5">
      <c r="A104" s="860" t="s">
        <v>393</v>
      </c>
      <c r="B104" s="868">
        <v>120990</v>
      </c>
    </row>
    <row r="105" spans="1:2" ht="12.75">
      <c r="A105" s="863" t="s">
        <v>394</v>
      </c>
      <c r="B105" s="856">
        <f>205*55.363</f>
        <v>11349.414999999999</v>
      </c>
    </row>
    <row r="106" spans="1:2" ht="12.75">
      <c r="A106" s="860" t="s">
        <v>395</v>
      </c>
      <c r="B106" s="856">
        <f>1236*10</f>
        <v>12360</v>
      </c>
    </row>
    <row r="107" spans="1:2" ht="13.5" thickBot="1">
      <c r="A107" s="870" t="s">
        <v>396</v>
      </c>
      <c r="B107" s="871">
        <f>2693*1-55</f>
        <v>2638</v>
      </c>
    </row>
    <row r="108" spans="1:2" ht="13.5" thickBot="1">
      <c r="A108" s="872" t="s">
        <v>397</v>
      </c>
      <c r="B108" s="873">
        <f>SUM(B7:B107)</f>
        <v>1015583.2976666667</v>
      </c>
    </row>
    <row r="109" spans="1:2" ht="12.75">
      <c r="A109" s="392"/>
      <c r="B109" s="393"/>
    </row>
    <row r="110" spans="1:2" ht="12.75">
      <c r="A110" s="392"/>
      <c r="B110" s="393"/>
    </row>
    <row r="111" spans="1:2" s="99" customFormat="1" ht="12.75">
      <c r="A111" s="1395">
        <v>3</v>
      </c>
      <c r="B111" s="1395"/>
    </row>
    <row r="112" spans="1:2" ht="12.75">
      <c r="A112" s="194"/>
      <c r="B112" s="375"/>
    </row>
    <row r="113" spans="1:2" ht="12.75">
      <c r="A113" s="1"/>
      <c r="B113" s="375" t="s">
        <v>398</v>
      </c>
    </row>
    <row r="114" spans="1:2" ht="12.75">
      <c r="A114" s="1"/>
      <c r="B114" s="1"/>
    </row>
    <row r="115" spans="1:2" ht="15.75">
      <c r="A115" s="1385" t="s">
        <v>399</v>
      </c>
      <c r="B115" s="1385"/>
    </row>
    <row r="116" spans="1:2" ht="12.75">
      <c r="A116" s="1"/>
      <c r="B116" s="1"/>
    </row>
    <row r="117" spans="1:2" ht="13.5" thickBot="1">
      <c r="A117" s="1"/>
      <c r="B117" s="377" t="s">
        <v>33</v>
      </c>
    </row>
    <row r="118" spans="1:2" ht="13.5" thickBot="1">
      <c r="A118" s="851" t="s">
        <v>303</v>
      </c>
      <c r="B118" s="852" t="s">
        <v>174</v>
      </c>
    </row>
    <row r="119" spans="1:2" ht="12.75">
      <c r="A119" s="853" t="s">
        <v>400</v>
      </c>
      <c r="B119" s="854"/>
    </row>
    <row r="120" spans="1:2" ht="12.75">
      <c r="A120" s="855" t="s">
        <v>401</v>
      </c>
      <c r="B120" s="856"/>
    </row>
    <row r="121" spans="1:2" ht="12.75">
      <c r="A121" s="855" t="s">
        <v>1240</v>
      </c>
      <c r="B121" s="856">
        <v>6000</v>
      </c>
    </row>
    <row r="122" spans="1:2" ht="13.5" thickBot="1">
      <c r="A122" s="855" t="s">
        <v>402</v>
      </c>
      <c r="B122" s="856">
        <f>16*9.4</f>
        <v>150.4</v>
      </c>
    </row>
    <row r="123" spans="1:2" ht="13.5" thickBot="1">
      <c r="A123" s="857" t="s">
        <v>403</v>
      </c>
      <c r="B123" s="1097">
        <f>SUM(B120:B122)</f>
        <v>6150.4</v>
      </c>
    </row>
    <row r="124" spans="1:2" ht="12.75">
      <c r="A124" s="1094" t="s">
        <v>404</v>
      </c>
      <c r="B124" s="1098"/>
    </row>
    <row r="125" spans="1:2" ht="12.75">
      <c r="A125" s="1095" t="s">
        <v>405</v>
      </c>
      <c r="B125" s="1099"/>
    </row>
    <row r="126" spans="1:2" ht="13.5">
      <c r="A126" s="1095" t="s">
        <v>406</v>
      </c>
      <c r="B126" s="1100">
        <f>68*3620.169</f>
        <v>246171.492</v>
      </c>
    </row>
    <row r="127" spans="1:2" ht="12.75">
      <c r="A127" s="1095" t="s">
        <v>407</v>
      </c>
      <c r="B127" s="1099"/>
    </row>
    <row r="128" spans="1:2" ht="13.5">
      <c r="A128" s="1095" t="s">
        <v>408</v>
      </c>
      <c r="B128" s="1100">
        <f>1083*4.897+1</f>
        <v>5304.451</v>
      </c>
    </row>
    <row r="129" spans="1:2" ht="13.5">
      <c r="A129" s="1095" t="s">
        <v>409</v>
      </c>
      <c r="B129" s="1100">
        <f>87133*0.138</f>
        <v>12024.354000000001</v>
      </c>
    </row>
    <row r="130" spans="1:2" ht="12.75">
      <c r="A130" s="1095" t="s">
        <v>410</v>
      </c>
      <c r="B130" s="1100">
        <f>3*500</f>
        <v>1500</v>
      </c>
    </row>
    <row r="131" spans="1:2" ht="14.25" thickBot="1">
      <c r="A131" s="1096" t="s">
        <v>411</v>
      </c>
      <c r="B131" s="1101"/>
    </row>
    <row r="132" spans="1:2" ht="13.5" thickBot="1">
      <c r="A132" s="874" t="s">
        <v>403</v>
      </c>
      <c r="B132" s="875">
        <f>SUM(B126:B131)-1</f>
        <v>264999.297</v>
      </c>
    </row>
    <row r="133" spans="1:2" ht="13.5" thickBot="1">
      <c r="A133" s="874" t="s">
        <v>412</v>
      </c>
      <c r="B133" s="875">
        <f>B132+B123-1</f>
        <v>271148.69700000004</v>
      </c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</sheetData>
  <sheetProtection/>
  <mergeCells count="5">
    <mergeCell ref="A3:B3"/>
    <mergeCell ref="A52:B52"/>
    <mergeCell ref="A55:B55"/>
    <mergeCell ref="A111:B111"/>
    <mergeCell ref="A115:B1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8.00390625" style="0" customWidth="1"/>
    <col min="2" max="2" width="12.28125" style="0" customWidth="1"/>
    <col min="3" max="3" width="13.57421875" style="0" customWidth="1"/>
    <col min="4" max="4" width="13.8515625" style="0" customWidth="1"/>
  </cols>
  <sheetData>
    <row r="2" spans="1:4" ht="14.25">
      <c r="A2" s="1383" t="s">
        <v>413</v>
      </c>
      <c r="B2" s="1383"/>
      <c r="C2" s="1383"/>
      <c r="D2" s="1383"/>
    </row>
    <row r="3" ht="15.75">
      <c r="A3" s="46"/>
    </row>
    <row r="4" spans="1:4" ht="15.75">
      <c r="A4" s="1382" t="s">
        <v>414</v>
      </c>
      <c r="B4" s="1382"/>
      <c r="C4" s="1382"/>
      <c r="D4" s="1382"/>
    </row>
    <row r="5" spans="1:4" ht="15.75">
      <c r="A5" s="44"/>
      <c r="B5" s="45"/>
      <c r="C5" s="45"/>
      <c r="D5" s="45"/>
    </row>
    <row r="6" spans="1:4" ht="15.75">
      <c r="A6" s="44"/>
      <c r="B6" s="45"/>
      <c r="C6" s="45"/>
      <c r="D6" s="45"/>
    </row>
    <row r="7" spans="1:4" ht="13.5" thickBot="1">
      <c r="A7" s="1392" t="s">
        <v>210</v>
      </c>
      <c r="B7" s="1392"/>
      <c r="C7" s="1392"/>
      <c r="D7" s="1392"/>
    </row>
    <row r="8" spans="1:4" ht="15.75">
      <c r="A8" s="960" t="s">
        <v>415</v>
      </c>
      <c r="B8" s="962"/>
      <c r="C8" s="1399" t="s">
        <v>212</v>
      </c>
      <c r="D8" s="1400"/>
    </row>
    <row r="9" spans="1:4" ht="12.75">
      <c r="A9" s="1102"/>
      <c r="B9" s="395"/>
      <c r="C9" s="1397" t="s">
        <v>39</v>
      </c>
      <c r="D9" s="1401"/>
    </row>
    <row r="10" spans="1:4" ht="12.75">
      <c r="A10" s="972" t="s">
        <v>1190</v>
      </c>
      <c r="B10" s="54"/>
      <c r="C10" s="396"/>
      <c r="D10" s="1103"/>
    </row>
    <row r="11" spans="1:4" ht="12.75">
      <c r="A11" s="972" t="s">
        <v>1191</v>
      </c>
      <c r="B11" s="397"/>
      <c r="C11" s="398"/>
      <c r="D11" s="1104">
        <v>10700</v>
      </c>
    </row>
    <row r="12" spans="1:4" ht="12.75">
      <c r="A12" s="972" t="s">
        <v>1159</v>
      </c>
      <c r="B12" s="397"/>
      <c r="C12" s="398"/>
      <c r="D12" s="1104">
        <f>3430+35136+33213+2021</f>
        <v>73800</v>
      </c>
    </row>
    <row r="13" spans="1:4" ht="12.75">
      <c r="A13" s="918" t="s">
        <v>1160</v>
      </c>
      <c r="B13" s="54"/>
      <c r="C13" s="398"/>
      <c r="D13" s="1104">
        <f>12963+13353+13954+14883</f>
        <v>55153</v>
      </c>
    </row>
    <row r="14" spans="1:4" ht="12.75">
      <c r="A14" s="928" t="s">
        <v>1173</v>
      </c>
      <c r="B14" s="397"/>
      <c r="C14" s="398"/>
      <c r="D14" s="1104">
        <f>6501+7477+2358</f>
        <v>16336</v>
      </c>
    </row>
    <row r="15" spans="1:4" ht="12.75">
      <c r="A15" s="918" t="s">
        <v>1189</v>
      </c>
      <c r="B15" s="397"/>
      <c r="C15" s="398"/>
      <c r="D15" s="1104">
        <f>140+540</f>
        <v>680</v>
      </c>
    </row>
    <row r="16" spans="1:4" ht="12.75">
      <c r="A16" s="918" t="s">
        <v>1192</v>
      </c>
      <c r="B16" s="1007"/>
      <c r="C16" s="890"/>
      <c r="D16" s="1105">
        <f>2011+374</f>
        <v>2385</v>
      </c>
    </row>
    <row r="17" spans="1:4" ht="12.75">
      <c r="A17" s="964" t="s">
        <v>1196</v>
      </c>
      <c r="B17" s="54"/>
      <c r="C17" s="890"/>
      <c r="D17" s="1105">
        <v>3463</v>
      </c>
    </row>
    <row r="18" spans="1:4" ht="12.75">
      <c r="A18" s="991" t="s">
        <v>1198</v>
      </c>
      <c r="B18" s="1009"/>
      <c r="C18" s="890"/>
      <c r="D18" s="1105">
        <v>26770</v>
      </c>
    </row>
    <row r="19" spans="1:4" ht="12.75">
      <c r="A19" s="964" t="s">
        <v>1200</v>
      </c>
      <c r="B19" s="54"/>
      <c r="C19" s="890"/>
      <c r="D19" s="1105">
        <v>1562</v>
      </c>
    </row>
    <row r="20" spans="1:4" ht="12.75">
      <c r="A20" s="928" t="s">
        <v>1201</v>
      </c>
      <c r="B20" s="1009"/>
      <c r="C20" s="890"/>
      <c r="D20" s="1105">
        <f>1750-125</f>
        <v>1625</v>
      </c>
    </row>
    <row r="21" spans="1:4" ht="12.75">
      <c r="A21" s="918" t="s">
        <v>1203</v>
      </c>
      <c r="B21" s="1009"/>
      <c r="C21" s="890"/>
      <c r="D21" s="1105">
        <f>245+3025+1536</f>
        <v>4806</v>
      </c>
    </row>
    <row r="22" spans="1:4" ht="12.75">
      <c r="A22" s="918" t="s">
        <v>1322</v>
      </c>
      <c r="B22" s="54"/>
      <c r="C22" s="890"/>
      <c r="D22" s="1105">
        <v>2034</v>
      </c>
    </row>
    <row r="23" spans="1:4" ht="12.75">
      <c r="A23" s="918" t="s">
        <v>1202</v>
      </c>
      <c r="B23" s="1009"/>
      <c r="C23" s="890"/>
      <c r="D23" s="1105">
        <f>1702+927</f>
        <v>2629</v>
      </c>
    </row>
    <row r="24" spans="1:4" ht="12.75">
      <c r="A24" s="1186" t="s">
        <v>1263</v>
      </c>
      <c r="B24" s="1187"/>
      <c r="C24" s="890"/>
      <c r="D24" s="1105">
        <v>440</v>
      </c>
    </row>
    <row r="25" spans="1:4" ht="12.75">
      <c r="A25" s="928" t="s">
        <v>1265</v>
      </c>
      <c r="B25" s="1009"/>
      <c r="C25" s="890"/>
      <c r="D25" s="1105">
        <f>1080+2400+2800</f>
        <v>6280</v>
      </c>
    </row>
    <row r="26" spans="1:4" ht="12.75">
      <c r="A26" s="928" t="s">
        <v>1264</v>
      </c>
      <c r="B26" s="1009"/>
      <c r="C26" s="890"/>
      <c r="D26" s="1105">
        <f>5920-2800</f>
        <v>3120</v>
      </c>
    </row>
    <row r="27" spans="1:4" ht="12.75">
      <c r="A27" s="928" t="s">
        <v>1267</v>
      </c>
      <c r="B27" s="1009"/>
      <c r="C27" s="890"/>
      <c r="D27" s="1105">
        <f>4925+1326</f>
        <v>6251</v>
      </c>
    </row>
    <row r="28" spans="1:4" ht="13.5" thickBot="1">
      <c r="A28" s="964"/>
      <c r="B28" s="54"/>
      <c r="C28" s="890"/>
      <c r="D28" s="1105"/>
    </row>
    <row r="29" spans="1:4" ht="13.5" thickBot="1">
      <c r="A29" s="1076" t="s">
        <v>416</v>
      </c>
      <c r="B29" s="399"/>
      <c r="C29" s="891"/>
      <c r="D29" s="892">
        <f>SUM(D10:D28)</f>
        <v>218034</v>
      </c>
    </row>
    <row r="30" spans="1:4" ht="13.5" thickBot="1">
      <c r="A30" s="1106" t="s">
        <v>417</v>
      </c>
      <c r="B30" s="1107"/>
      <c r="C30" s="1108"/>
      <c r="D30" s="1109">
        <f>314650+688+11057+71-3650+3901-4021+249-1</f>
        <v>322944</v>
      </c>
    </row>
    <row r="31" spans="1:4" ht="13.5" thickBot="1">
      <c r="A31" s="1165" t="s">
        <v>1243</v>
      </c>
      <c r="B31" s="1166"/>
      <c r="C31" s="1167"/>
      <c r="D31" s="930">
        <f>20138+6481</f>
        <v>26619</v>
      </c>
    </row>
    <row r="32" spans="1:4" ht="12.75">
      <c r="A32" s="361"/>
      <c r="B32" s="54"/>
      <c r="C32" s="400"/>
      <c r="D32" s="400"/>
    </row>
    <row r="34" spans="1:4" ht="14.25">
      <c r="A34" s="1383" t="s">
        <v>418</v>
      </c>
      <c r="B34" s="1383"/>
      <c r="C34" s="1383"/>
      <c r="D34" s="1383"/>
    </row>
    <row r="36" spans="1:4" ht="15.75">
      <c r="A36" s="1382" t="s">
        <v>1244</v>
      </c>
      <c r="B36" s="1382"/>
      <c r="C36" s="1382"/>
      <c r="D36" s="1382"/>
    </row>
    <row r="37" ht="15.75">
      <c r="A37" s="46"/>
    </row>
    <row r="38" spans="1:4" ht="12.75">
      <c r="A38" s="1393" t="s">
        <v>419</v>
      </c>
      <c r="B38" s="1393"/>
      <c r="C38" s="1393"/>
      <c r="D38" s="1393"/>
    </row>
    <row r="39" spans="1:4" ht="15.75">
      <c r="A39" s="368" t="s">
        <v>415</v>
      </c>
      <c r="B39" s="394"/>
      <c r="C39" s="1396" t="s">
        <v>212</v>
      </c>
      <c r="D39" s="1396"/>
    </row>
    <row r="40" spans="1:4" ht="12.75">
      <c r="A40" s="307"/>
      <c r="B40" s="395"/>
      <c r="C40" s="1397" t="s">
        <v>39</v>
      </c>
      <c r="D40" s="1397"/>
    </row>
    <row r="41" spans="1:4" ht="12.75">
      <c r="A41" s="245" t="s">
        <v>1245</v>
      </c>
      <c r="B41" s="54"/>
      <c r="C41" s="401"/>
      <c r="D41" s="402"/>
    </row>
    <row r="42" spans="1:4" ht="12.75">
      <c r="A42" s="882" t="s">
        <v>1246</v>
      </c>
      <c r="B42" s="397"/>
      <c r="C42" s="403"/>
      <c r="D42" s="404">
        <v>0</v>
      </c>
    </row>
    <row r="43" spans="1:4" ht="12.75">
      <c r="A43" s="882" t="s">
        <v>1247</v>
      </c>
      <c r="B43" s="397"/>
      <c r="C43" s="403"/>
      <c r="D43" s="404"/>
    </row>
    <row r="44" spans="1:4" ht="12.75">
      <c r="A44" s="882" t="s">
        <v>1281</v>
      </c>
      <c r="B44" s="405"/>
      <c r="C44" s="403"/>
      <c r="D44" s="404">
        <v>4458</v>
      </c>
    </row>
    <row r="45" spans="1:4" ht="12.75">
      <c r="A45" s="1200" t="s">
        <v>1280</v>
      </c>
      <c r="B45" s="1007"/>
      <c r="C45" s="527"/>
      <c r="D45" s="1199">
        <v>2180</v>
      </c>
    </row>
    <row r="46" spans="1:4" ht="13.5" thickBot="1">
      <c r="A46" s="245" t="s">
        <v>1174</v>
      </c>
      <c r="B46" s="54"/>
      <c r="C46" s="931"/>
      <c r="D46" s="932">
        <v>4313</v>
      </c>
    </row>
    <row r="47" spans="1:4" ht="13.5" thickBot="1">
      <c r="A47" s="109" t="s">
        <v>1248</v>
      </c>
      <c r="B47" s="399"/>
      <c r="C47" s="929"/>
      <c r="D47" s="930">
        <f>SUM(D41:D46)</f>
        <v>10951</v>
      </c>
    </row>
    <row r="48" spans="1:4" ht="12.75">
      <c r="A48" s="361"/>
      <c r="B48" s="54"/>
      <c r="C48" s="400"/>
      <c r="D48" s="400"/>
    </row>
    <row r="49" spans="1:4" ht="12.75">
      <c r="A49" s="361"/>
      <c r="B49" s="54"/>
      <c r="C49" s="400"/>
      <c r="D49" s="400"/>
    </row>
    <row r="56" spans="3:4" ht="14.25">
      <c r="C56" s="43"/>
      <c r="D56" s="43" t="s">
        <v>420</v>
      </c>
    </row>
    <row r="57" spans="1:4" ht="14.25">
      <c r="A57" s="43"/>
      <c r="B57" s="43"/>
      <c r="C57" s="43"/>
      <c r="D57" s="43"/>
    </row>
    <row r="58" spans="1:4" ht="15.75">
      <c r="A58" s="1382" t="s">
        <v>421</v>
      </c>
      <c r="B58" s="1382"/>
      <c r="C58" s="1382"/>
      <c r="D58" s="1382"/>
    </row>
    <row r="59" spans="1:4" ht="13.5" thickBot="1">
      <c r="A59" s="959"/>
      <c r="B59" s="959"/>
      <c r="C59" s="959"/>
      <c r="D59" s="959" t="s">
        <v>419</v>
      </c>
    </row>
    <row r="60" spans="1:4" ht="15.75">
      <c r="A60" s="960" t="s">
        <v>415</v>
      </c>
      <c r="B60" s="961" t="s">
        <v>422</v>
      </c>
      <c r="C60" s="962" t="s">
        <v>423</v>
      </c>
      <c r="D60" s="963" t="s">
        <v>212</v>
      </c>
    </row>
    <row r="61" spans="1:4" ht="12.75">
      <c r="A61" s="964"/>
      <c r="B61" s="69" t="s">
        <v>39</v>
      </c>
      <c r="C61" s="361" t="s">
        <v>39</v>
      </c>
      <c r="D61" s="965" t="s">
        <v>39</v>
      </c>
    </row>
    <row r="62" spans="1:4" s="280" customFormat="1" ht="12.75">
      <c r="A62" s="966" t="s">
        <v>424</v>
      </c>
      <c r="B62" s="849">
        <f>SUM(B63:B68)</f>
        <v>314081</v>
      </c>
      <c r="C62" s="80">
        <f>C69</f>
        <v>243393</v>
      </c>
      <c r="D62" s="967">
        <f>SUM(B62:C62)</f>
        <v>557474</v>
      </c>
    </row>
    <row r="63" spans="1:4" s="54" customFormat="1" ht="12.75">
      <c r="A63" s="968" t="s">
        <v>425</v>
      </c>
      <c r="B63" s="67">
        <f>266650+8964+21905</f>
        <v>297519</v>
      </c>
      <c r="C63" s="87"/>
      <c r="D63" s="969">
        <f aca="true" t="shared" si="0" ref="D63:D146">SUM(B63:C63)</f>
        <v>297519</v>
      </c>
    </row>
    <row r="64" spans="1:4" s="54" customFormat="1" ht="12.75">
      <c r="A64" s="970" t="s">
        <v>426</v>
      </c>
      <c r="B64" s="297">
        <f>2423-2423</f>
        <v>0</v>
      </c>
      <c r="C64" s="56"/>
      <c r="D64" s="971">
        <f t="shared" si="0"/>
        <v>0</v>
      </c>
    </row>
    <row r="65" spans="1:4" s="54" customFormat="1" ht="12.75">
      <c r="A65" s="972" t="s">
        <v>1214</v>
      </c>
      <c r="B65" s="297">
        <f>1120+576</f>
        <v>1696</v>
      </c>
      <c r="C65" s="56"/>
      <c r="D65" s="971">
        <f t="shared" si="0"/>
        <v>1696</v>
      </c>
    </row>
    <row r="66" spans="1:4" s="54" customFormat="1" ht="12.75">
      <c r="A66" s="972" t="s">
        <v>1215</v>
      </c>
      <c r="B66" s="297">
        <v>500</v>
      </c>
      <c r="C66" s="56"/>
      <c r="D66" s="971">
        <f t="shared" si="0"/>
        <v>500</v>
      </c>
    </row>
    <row r="67" spans="1:4" s="54" customFormat="1" ht="12.75">
      <c r="A67" s="972" t="s">
        <v>1147</v>
      </c>
      <c r="B67" s="56">
        <v>76</v>
      </c>
      <c r="C67" s="56"/>
      <c r="D67" s="971">
        <f t="shared" si="0"/>
        <v>76</v>
      </c>
    </row>
    <row r="68" spans="1:4" s="54" customFormat="1" ht="13.5" thickBot="1">
      <c r="A68" s="964" t="s">
        <v>1213</v>
      </c>
      <c r="B68" s="70">
        <v>14290</v>
      </c>
      <c r="C68" s="82"/>
      <c r="D68" s="971">
        <f t="shared" si="0"/>
        <v>14290</v>
      </c>
    </row>
    <row r="69" spans="1:4" s="280" customFormat="1" ht="13.5" thickBot="1">
      <c r="A69" s="973" t="s">
        <v>427</v>
      </c>
      <c r="B69" s="924"/>
      <c r="C69" s="252">
        <f>C105+C131</f>
        <v>243393</v>
      </c>
      <c r="D69" s="974">
        <f t="shared" si="0"/>
        <v>243393</v>
      </c>
    </row>
    <row r="70" spans="1:4" ht="12.75">
      <c r="A70" s="975" t="s">
        <v>428</v>
      </c>
      <c r="B70" s="919"/>
      <c r="C70" s="919">
        <f>30000+9103</f>
        <v>39103</v>
      </c>
      <c r="D70" s="976">
        <f t="shared" si="0"/>
        <v>39103</v>
      </c>
    </row>
    <row r="71" spans="1:4" ht="12.75">
      <c r="A71" s="970" t="s">
        <v>429</v>
      </c>
      <c r="B71" s="920"/>
      <c r="C71" s="920">
        <v>4000</v>
      </c>
      <c r="D71" s="971">
        <f t="shared" si="0"/>
        <v>4000</v>
      </c>
    </row>
    <row r="72" spans="1:4" ht="12.75">
      <c r="A72" s="970" t="s">
        <v>430</v>
      </c>
      <c r="B72" s="920"/>
      <c r="C72" s="920">
        <f>800+812</f>
        <v>1612</v>
      </c>
      <c r="D72" s="971">
        <f t="shared" si="0"/>
        <v>1612</v>
      </c>
    </row>
    <row r="73" spans="1:4" ht="12.75">
      <c r="A73" s="977" t="s">
        <v>431</v>
      </c>
      <c r="B73" s="920"/>
      <c r="C73" s="920">
        <f>1501-26</f>
        <v>1475</v>
      </c>
      <c r="D73" s="971">
        <f t="shared" si="0"/>
        <v>1475</v>
      </c>
    </row>
    <row r="74" spans="1:4" ht="12.75">
      <c r="A74" s="977" t="s">
        <v>432</v>
      </c>
      <c r="B74" s="920"/>
      <c r="C74" s="920">
        <f>4000-596</f>
        <v>3404</v>
      </c>
      <c r="D74" s="971">
        <f t="shared" si="0"/>
        <v>3404</v>
      </c>
    </row>
    <row r="75" spans="1:4" ht="12.75">
      <c r="A75" s="978" t="s">
        <v>433</v>
      </c>
      <c r="B75" s="921"/>
      <c r="C75" s="921">
        <f>10000-3100</f>
        <v>6900</v>
      </c>
      <c r="D75" s="979">
        <f t="shared" si="0"/>
        <v>6900</v>
      </c>
    </row>
    <row r="76" spans="1:4" ht="12.75">
      <c r="A76" s="980" t="s">
        <v>1308</v>
      </c>
      <c r="B76" s="921"/>
      <c r="C76" s="921">
        <f>11606+29</f>
        <v>11635</v>
      </c>
      <c r="D76" s="979">
        <f t="shared" si="0"/>
        <v>11635</v>
      </c>
    </row>
    <row r="77" spans="1:4" ht="12.75">
      <c r="A77" s="980" t="s">
        <v>1309</v>
      </c>
      <c r="B77" s="921"/>
      <c r="C77" s="921">
        <v>471</v>
      </c>
      <c r="D77" s="979">
        <f t="shared" si="0"/>
        <v>471</v>
      </c>
    </row>
    <row r="78" spans="1:4" ht="12.75">
      <c r="A78" s="980" t="s">
        <v>1172</v>
      </c>
      <c r="B78" s="921"/>
      <c r="C78" s="921">
        <f>2959+3787+13</f>
        <v>6759</v>
      </c>
      <c r="D78" s="979">
        <f t="shared" si="0"/>
        <v>6759</v>
      </c>
    </row>
    <row r="79" spans="1:4" ht="12.75">
      <c r="A79" s="980" t="s">
        <v>1188</v>
      </c>
      <c r="B79" s="921"/>
      <c r="C79" s="921">
        <v>4166</v>
      </c>
      <c r="D79" s="979">
        <f t="shared" si="0"/>
        <v>4166</v>
      </c>
    </row>
    <row r="80" spans="1:4" ht="12.75">
      <c r="A80" s="980" t="s">
        <v>1269</v>
      </c>
      <c r="B80" s="921"/>
      <c r="C80" s="921">
        <v>3372</v>
      </c>
      <c r="D80" s="979">
        <f t="shared" si="0"/>
        <v>3372</v>
      </c>
    </row>
    <row r="81" spans="1:4" ht="12.75">
      <c r="A81" s="980" t="s">
        <v>1270</v>
      </c>
      <c r="B81" s="921"/>
      <c r="C81" s="921">
        <v>959</v>
      </c>
      <c r="D81" s="979">
        <f t="shared" si="0"/>
        <v>959</v>
      </c>
    </row>
    <row r="82" spans="1:4" ht="12.75">
      <c r="A82" s="980" t="s">
        <v>1323</v>
      </c>
      <c r="B82" s="921"/>
      <c r="C82" s="921">
        <v>54</v>
      </c>
      <c r="D82" s="979">
        <f t="shared" si="0"/>
        <v>54</v>
      </c>
    </row>
    <row r="83" spans="1:4" ht="12.75">
      <c r="A83" s="980" t="s">
        <v>1197</v>
      </c>
      <c r="B83" s="921"/>
      <c r="C83" s="921">
        <v>229</v>
      </c>
      <c r="D83" s="979">
        <f t="shared" si="0"/>
        <v>229</v>
      </c>
    </row>
    <row r="84" spans="1:4" ht="12.75">
      <c r="A84" s="980" t="s">
        <v>1324</v>
      </c>
      <c r="B84" s="921"/>
      <c r="C84" s="921">
        <v>1832</v>
      </c>
      <c r="D84" s="979">
        <f t="shared" si="0"/>
        <v>1832</v>
      </c>
    </row>
    <row r="85" spans="1:4" ht="12.75">
      <c r="A85" s="978" t="s">
        <v>434</v>
      </c>
      <c r="B85" s="921"/>
      <c r="C85" s="921">
        <f>17202+1662</f>
        <v>18864</v>
      </c>
      <c r="D85" s="979">
        <f t="shared" si="0"/>
        <v>18864</v>
      </c>
    </row>
    <row r="86" spans="1:4" ht="12.75">
      <c r="A86" s="978" t="s">
        <v>435</v>
      </c>
      <c r="B86" s="921"/>
      <c r="C86" s="921">
        <f>1142-6-6-94+387+16</f>
        <v>1439</v>
      </c>
      <c r="D86" s="979">
        <f t="shared" si="0"/>
        <v>1439</v>
      </c>
    </row>
    <row r="87" spans="1:4" ht="12.75">
      <c r="A87" s="980" t="s">
        <v>1344</v>
      </c>
      <c r="B87" s="921"/>
      <c r="C87" s="921">
        <f>5000+4213</f>
        <v>9213</v>
      </c>
      <c r="D87" s="979">
        <f t="shared" si="0"/>
        <v>9213</v>
      </c>
    </row>
    <row r="88" spans="1:4" ht="12.75">
      <c r="A88" s="980" t="s">
        <v>1353</v>
      </c>
      <c r="B88" s="921"/>
      <c r="C88" s="921">
        <v>96</v>
      </c>
      <c r="D88" s="979">
        <f t="shared" si="0"/>
        <v>96</v>
      </c>
    </row>
    <row r="89" spans="1:4" ht="12.75">
      <c r="A89" s="980" t="s">
        <v>1317</v>
      </c>
      <c r="B89" s="921"/>
      <c r="C89" s="921">
        <v>1622</v>
      </c>
      <c r="D89" s="979">
        <f t="shared" si="0"/>
        <v>1622</v>
      </c>
    </row>
    <row r="90" spans="1:4" ht="12.75">
      <c r="A90" s="980" t="s">
        <v>1316</v>
      </c>
      <c r="B90" s="921"/>
      <c r="C90" s="921">
        <f>195-2</f>
        <v>193</v>
      </c>
      <c r="D90" s="979">
        <f t="shared" si="0"/>
        <v>193</v>
      </c>
    </row>
    <row r="91" spans="1:4" ht="12.75">
      <c r="A91" s="980" t="s">
        <v>1204</v>
      </c>
      <c r="B91" s="921"/>
      <c r="C91" s="921">
        <v>150</v>
      </c>
      <c r="D91" s="979">
        <f t="shared" si="0"/>
        <v>150</v>
      </c>
    </row>
    <row r="92" spans="1:4" ht="12.75">
      <c r="A92" s="978" t="s">
        <v>436</v>
      </c>
      <c r="B92" s="921"/>
      <c r="C92" s="921">
        <f>642+577</f>
        <v>1219</v>
      </c>
      <c r="D92" s="979">
        <f t="shared" si="0"/>
        <v>1219</v>
      </c>
    </row>
    <row r="93" spans="1:4" ht="12.75">
      <c r="A93" s="980" t="s">
        <v>1352</v>
      </c>
      <c r="B93" s="921"/>
      <c r="C93" s="921">
        <v>1050</v>
      </c>
      <c r="D93" s="979">
        <f t="shared" si="0"/>
        <v>1050</v>
      </c>
    </row>
    <row r="94" spans="1:4" ht="12.75">
      <c r="A94" s="980" t="s">
        <v>1345</v>
      </c>
      <c r="B94" s="921"/>
      <c r="C94" s="921">
        <v>8205</v>
      </c>
      <c r="D94" s="979">
        <f t="shared" si="0"/>
        <v>8205</v>
      </c>
    </row>
    <row r="95" spans="1:4" ht="12.75">
      <c r="A95" s="978" t="s">
        <v>437</v>
      </c>
      <c r="B95" s="921"/>
      <c r="C95" s="921">
        <f>297+5416</f>
        <v>5713</v>
      </c>
      <c r="D95" s="979">
        <f t="shared" si="0"/>
        <v>5713</v>
      </c>
    </row>
    <row r="96" spans="1:4" ht="12.75">
      <c r="A96" s="978" t="s">
        <v>438</v>
      </c>
      <c r="B96" s="921"/>
      <c r="C96" s="921">
        <f>7200-7200</f>
        <v>0</v>
      </c>
      <c r="D96" s="979">
        <f t="shared" si="0"/>
        <v>0</v>
      </c>
    </row>
    <row r="97" spans="1:4" ht="12.75">
      <c r="A97" s="981" t="s">
        <v>439</v>
      </c>
      <c r="B97" s="922"/>
      <c r="C97" s="922">
        <f>26645-11567+24231-13353-13954-12002</f>
        <v>0</v>
      </c>
      <c r="D97" s="982">
        <f t="shared" si="0"/>
        <v>0</v>
      </c>
    </row>
    <row r="98" spans="1:4" ht="12.75">
      <c r="A98" s="984" t="s">
        <v>1161</v>
      </c>
      <c r="B98" s="901"/>
      <c r="C98" s="1064">
        <v>322</v>
      </c>
      <c r="D98" s="982">
        <f t="shared" si="0"/>
        <v>322</v>
      </c>
    </row>
    <row r="99" spans="1:4" ht="12.75">
      <c r="A99" s="984" t="s">
        <v>1351</v>
      </c>
      <c r="B99" s="901"/>
      <c r="C99" s="1064">
        <v>610</v>
      </c>
      <c r="D99" s="1354"/>
    </row>
    <row r="100" spans="1:4" ht="12.75">
      <c r="A100" s="984" t="s">
        <v>1318</v>
      </c>
      <c r="B100" s="901"/>
      <c r="C100" s="1064">
        <v>16183</v>
      </c>
      <c r="D100" s="1334">
        <f t="shared" si="0"/>
        <v>16183</v>
      </c>
    </row>
    <row r="101" spans="1:4" ht="12.75">
      <c r="A101" s="914" t="s">
        <v>1210</v>
      </c>
      <c r="B101" s="923"/>
      <c r="C101" s="1055">
        <v>120</v>
      </c>
      <c r="D101" s="1013">
        <f t="shared" si="0"/>
        <v>120</v>
      </c>
    </row>
    <row r="102" spans="1:4" ht="12.75">
      <c r="A102" s="1174" t="s">
        <v>1260</v>
      </c>
      <c r="B102" s="1175"/>
      <c r="C102" s="1179">
        <f>12285+24501+23990</f>
        <v>60776</v>
      </c>
      <c r="D102" s="1176">
        <f t="shared" si="0"/>
        <v>60776</v>
      </c>
    </row>
    <row r="103" spans="1:4" ht="12.75">
      <c r="A103" s="1178" t="s">
        <v>1258</v>
      </c>
      <c r="B103" s="901"/>
      <c r="C103" s="1180">
        <v>2679</v>
      </c>
      <c r="D103" s="1177">
        <f t="shared" si="0"/>
        <v>2679</v>
      </c>
    </row>
    <row r="104" spans="1:4" ht="13.5" thickBot="1">
      <c r="A104" s="1181" t="s">
        <v>1261</v>
      </c>
      <c r="B104" s="1175"/>
      <c r="C104" s="1182">
        <v>477</v>
      </c>
      <c r="D104" s="1183">
        <f t="shared" si="0"/>
        <v>477</v>
      </c>
    </row>
    <row r="105" spans="1:4" ht="13.5" thickBot="1">
      <c r="A105" s="900" t="s">
        <v>471</v>
      </c>
      <c r="B105" s="849"/>
      <c r="C105" s="1184">
        <f>SUM(C70:C104)</f>
        <v>214902</v>
      </c>
      <c r="D105" s="899">
        <f>SUM(D70:D104)</f>
        <v>214292</v>
      </c>
    </row>
    <row r="106" spans="1:4" ht="12.75">
      <c r="A106" s="1075"/>
      <c r="B106" s="1072"/>
      <c r="C106" s="1072"/>
      <c r="D106" s="1072"/>
    </row>
    <row r="107" spans="1:4" ht="12.75">
      <c r="A107" s="1075"/>
      <c r="B107" s="1072"/>
      <c r="C107" s="1072"/>
      <c r="D107" s="1072"/>
    </row>
    <row r="108" spans="1:4" ht="12.75">
      <c r="A108" s="1075"/>
      <c r="B108" s="1072"/>
      <c r="C108" s="1072"/>
      <c r="D108" s="1072"/>
    </row>
    <row r="109" spans="1:4" s="54" customFormat="1" ht="12.75">
      <c r="A109" s="1398">
        <v>2</v>
      </c>
      <c r="B109" s="1398"/>
      <c r="C109" s="1398"/>
      <c r="D109" s="1398"/>
    </row>
    <row r="110" spans="1:4" s="54" customFormat="1" ht="12.75">
      <c r="A110" s="1075"/>
      <c r="B110" s="90"/>
      <c r="C110" s="1072"/>
      <c r="D110" s="1072"/>
    </row>
    <row r="111" spans="1:4" s="54" customFormat="1" ht="12.75">
      <c r="A111" s="1075"/>
      <c r="B111" s="90"/>
      <c r="C111" s="1072"/>
      <c r="D111" s="1072"/>
    </row>
    <row r="112" spans="1:4" s="54" customFormat="1" ht="12.75">
      <c r="A112" s="1075"/>
      <c r="B112" s="90"/>
      <c r="C112" s="1072"/>
      <c r="D112" s="1072"/>
    </row>
    <row r="113" spans="1:4" ht="14.25">
      <c r="A113" s="43"/>
      <c r="B113" s="43"/>
      <c r="C113" s="43"/>
      <c r="D113" s="43" t="s">
        <v>420</v>
      </c>
    </row>
    <row r="114" spans="1:4" ht="15.75">
      <c r="A114" s="1382" t="s">
        <v>421</v>
      </c>
      <c r="B114" s="1382"/>
      <c r="C114" s="1382"/>
      <c r="D114" s="1382"/>
    </row>
    <row r="115" spans="1:4" ht="13.5" thickBot="1">
      <c r="A115" s="959"/>
      <c r="B115" s="959"/>
      <c r="C115" s="959"/>
      <c r="D115" s="959" t="s">
        <v>419</v>
      </c>
    </row>
    <row r="116" spans="1:4" ht="15.75">
      <c r="A116" s="960" t="s">
        <v>415</v>
      </c>
      <c r="B116" s="961" t="s">
        <v>422</v>
      </c>
      <c r="C116" s="962" t="s">
        <v>423</v>
      </c>
      <c r="D116" s="963" t="s">
        <v>212</v>
      </c>
    </row>
    <row r="117" spans="1:4" ht="12.75">
      <c r="A117" s="964"/>
      <c r="B117" s="69" t="s">
        <v>39</v>
      </c>
      <c r="C117" s="361" t="s">
        <v>39</v>
      </c>
      <c r="D117" s="965" t="s">
        <v>39</v>
      </c>
    </row>
    <row r="118" spans="1:4" ht="12.75">
      <c r="A118" s="983" t="s">
        <v>440</v>
      </c>
      <c r="B118" s="923"/>
      <c r="C118" s="90">
        <v>0</v>
      </c>
      <c r="D118" s="1069">
        <f t="shared" si="0"/>
        <v>0</v>
      </c>
    </row>
    <row r="119" spans="1:4" ht="12.75">
      <c r="A119" s="984" t="s">
        <v>1155</v>
      </c>
      <c r="B119" s="901"/>
      <c r="C119" s="902">
        <v>94</v>
      </c>
      <c r="D119" s="903">
        <f aca="true" t="shared" si="1" ref="D119:D130">SUM(B119:C119)</f>
        <v>94</v>
      </c>
    </row>
    <row r="120" spans="1:4" ht="12.75">
      <c r="A120" s="984" t="s">
        <v>1252</v>
      </c>
      <c r="B120" s="901"/>
      <c r="C120" s="902">
        <v>994</v>
      </c>
      <c r="D120" s="903">
        <f t="shared" si="1"/>
        <v>994</v>
      </c>
    </row>
    <row r="121" spans="1:4" ht="12.75">
      <c r="A121" s="984" t="s">
        <v>1137</v>
      </c>
      <c r="B121" s="901"/>
      <c r="C121" s="902">
        <v>2855</v>
      </c>
      <c r="D121" s="903">
        <f t="shared" si="1"/>
        <v>2855</v>
      </c>
    </row>
    <row r="122" spans="1:4" ht="12.75">
      <c r="A122" s="984" t="s">
        <v>1304</v>
      </c>
      <c r="B122" s="901"/>
      <c r="C122" s="902">
        <v>610</v>
      </c>
      <c r="D122" s="903">
        <f>C122</f>
        <v>610</v>
      </c>
    </row>
    <row r="123" spans="1:4" ht="12.75">
      <c r="A123" s="984" t="s">
        <v>1138</v>
      </c>
      <c r="B123" s="901"/>
      <c r="C123" s="902">
        <v>461</v>
      </c>
      <c r="D123" s="903">
        <f t="shared" si="1"/>
        <v>461</v>
      </c>
    </row>
    <row r="124" spans="1:5" ht="12.75">
      <c r="A124" s="984" t="s">
        <v>1139</v>
      </c>
      <c r="B124" s="901"/>
      <c r="C124" s="902">
        <v>124</v>
      </c>
      <c r="D124" s="903">
        <f t="shared" si="1"/>
        <v>124</v>
      </c>
      <c r="E124" s="711"/>
    </row>
    <row r="125" spans="1:4" ht="12.75">
      <c r="A125" s="985" t="s">
        <v>1148</v>
      </c>
      <c r="B125" s="901"/>
      <c r="C125" s="902">
        <f>924+380</f>
        <v>1304</v>
      </c>
      <c r="D125" s="903">
        <f t="shared" si="1"/>
        <v>1304</v>
      </c>
    </row>
    <row r="126" spans="1:4" ht="12.75">
      <c r="A126" s="984" t="s">
        <v>1149</v>
      </c>
      <c r="B126" s="901"/>
      <c r="C126" s="902">
        <f>703+186</f>
        <v>889</v>
      </c>
      <c r="D126" s="903">
        <f t="shared" si="1"/>
        <v>889</v>
      </c>
    </row>
    <row r="127" spans="1:4" ht="12.75">
      <c r="A127" s="984" t="s">
        <v>1185</v>
      </c>
      <c r="B127" s="901"/>
      <c r="C127" s="902">
        <v>2050</v>
      </c>
      <c r="D127" s="903">
        <f t="shared" si="1"/>
        <v>2050</v>
      </c>
    </row>
    <row r="128" spans="1:4" ht="12.75">
      <c r="A128" s="984" t="s">
        <v>1150</v>
      </c>
      <c r="B128" s="901"/>
      <c r="C128" s="902">
        <f>5779+806</f>
        <v>6585</v>
      </c>
      <c r="D128" s="903">
        <f t="shared" si="1"/>
        <v>6585</v>
      </c>
    </row>
    <row r="129" spans="1:4" ht="12.75">
      <c r="A129" s="984" t="s">
        <v>1151</v>
      </c>
      <c r="B129" s="901"/>
      <c r="C129" s="902">
        <f>3073+1668+4256+2869</f>
        <v>11866</v>
      </c>
      <c r="D129" s="903">
        <f t="shared" si="1"/>
        <v>11866</v>
      </c>
    </row>
    <row r="130" spans="1:4" ht="13.5" thickBot="1">
      <c r="A130" s="985" t="s">
        <v>1152</v>
      </c>
      <c r="B130" s="901"/>
      <c r="C130" s="902">
        <v>659</v>
      </c>
      <c r="D130" s="903">
        <f t="shared" si="1"/>
        <v>659</v>
      </c>
    </row>
    <row r="131" spans="1:4" ht="13.5" thickBot="1">
      <c r="A131" s="1369" t="s">
        <v>1146</v>
      </c>
      <c r="B131" s="850"/>
      <c r="C131" s="1368">
        <f>SUM(C118:C130)</f>
        <v>28491</v>
      </c>
      <c r="D131" s="1367">
        <f>SUM(D118:D130)</f>
        <v>28491</v>
      </c>
    </row>
    <row r="132" spans="1:4" s="54" customFormat="1" ht="13.5" thickBot="1">
      <c r="A132" s="1374"/>
      <c r="B132" s="1375"/>
      <c r="C132" s="1376"/>
      <c r="D132" s="1377"/>
    </row>
    <row r="133" spans="1:4" s="110" customFormat="1" ht="13.5" thickBot="1">
      <c r="A133" s="1370" t="s">
        <v>441</v>
      </c>
      <c r="B133" s="1371"/>
      <c r="C133" s="1372">
        <f>C153+C158</f>
        <v>2471188</v>
      </c>
      <c r="D133" s="1373">
        <f>D153+D158</f>
        <v>2464188</v>
      </c>
    </row>
    <row r="134" spans="1:4" ht="12.75">
      <c r="A134" s="918" t="s">
        <v>1127</v>
      </c>
      <c r="B134" s="67"/>
      <c r="C134" s="225"/>
      <c r="D134" s="986"/>
    </row>
    <row r="135" spans="1:4" ht="12.75">
      <c r="A135" s="972" t="s">
        <v>1128</v>
      </c>
      <c r="B135" s="56"/>
      <c r="C135" s="74">
        <v>85018</v>
      </c>
      <c r="D135" s="987">
        <f t="shared" si="0"/>
        <v>85018</v>
      </c>
    </row>
    <row r="136" spans="1:4" ht="12.75">
      <c r="A136" s="988" t="s">
        <v>1129</v>
      </c>
      <c r="B136" s="77"/>
      <c r="C136" s="273"/>
      <c r="D136" s="989">
        <f t="shared" si="0"/>
        <v>0</v>
      </c>
    </row>
    <row r="137" spans="1:4" ht="12.75">
      <c r="A137" s="990" t="s">
        <v>1130</v>
      </c>
      <c r="B137" s="288"/>
      <c r="C137" s="408">
        <v>209791</v>
      </c>
      <c r="D137" s="989">
        <f t="shared" si="0"/>
        <v>209791</v>
      </c>
    </row>
    <row r="138" spans="1:4" ht="12.75">
      <c r="A138" s="990" t="s">
        <v>1131</v>
      </c>
      <c r="B138" s="288"/>
      <c r="C138" s="408"/>
      <c r="D138" s="989">
        <f t="shared" si="0"/>
        <v>0</v>
      </c>
    </row>
    <row r="139" spans="1:4" ht="12.75">
      <c r="A139" s="990" t="s">
        <v>1132</v>
      </c>
      <c r="B139" s="288"/>
      <c r="C139" s="408">
        <v>40346</v>
      </c>
      <c r="D139" s="989">
        <f t="shared" si="0"/>
        <v>40346</v>
      </c>
    </row>
    <row r="140" spans="1:4" ht="12.75">
      <c r="A140" s="990" t="s">
        <v>1133</v>
      </c>
      <c r="B140" s="288"/>
      <c r="C140" s="408">
        <v>90101</v>
      </c>
      <c r="D140" s="989">
        <f t="shared" si="0"/>
        <v>90101</v>
      </c>
    </row>
    <row r="141" spans="1:4" ht="12.75">
      <c r="A141" s="990" t="s">
        <v>1134</v>
      </c>
      <c r="B141" s="288"/>
      <c r="C141" s="408">
        <v>79869</v>
      </c>
      <c r="D141" s="989">
        <f t="shared" si="0"/>
        <v>79869</v>
      </c>
    </row>
    <row r="142" spans="1:4" ht="12.75">
      <c r="A142" s="990" t="s">
        <v>1135</v>
      </c>
      <c r="B142" s="288"/>
      <c r="C142" s="408">
        <v>482530</v>
      </c>
      <c r="D142" s="989">
        <f t="shared" si="0"/>
        <v>482530</v>
      </c>
    </row>
    <row r="143" spans="1:4" ht="12.75">
      <c r="A143" s="991" t="s">
        <v>1291</v>
      </c>
      <c r="B143" s="910"/>
      <c r="C143" s="911">
        <v>416667</v>
      </c>
      <c r="D143" s="992">
        <f t="shared" si="0"/>
        <v>416667</v>
      </c>
    </row>
    <row r="144" spans="1:4" ht="12.75">
      <c r="A144" s="1328" t="s">
        <v>1290</v>
      </c>
      <c r="B144" s="1010"/>
      <c r="C144" s="1011">
        <v>90605</v>
      </c>
      <c r="D144" s="1012">
        <f t="shared" si="0"/>
        <v>90605</v>
      </c>
    </row>
    <row r="145" spans="1:4" ht="12.75">
      <c r="A145" s="1328" t="s">
        <v>1340</v>
      </c>
      <c r="B145" s="1010"/>
      <c r="C145" s="1011">
        <v>1900</v>
      </c>
      <c r="D145" s="1012">
        <f t="shared" si="0"/>
        <v>1900</v>
      </c>
    </row>
    <row r="146" spans="1:4" ht="12.75">
      <c r="A146" s="914" t="s">
        <v>1210</v>
      </c>
      <c r="B146" s="1010"/>
      <c r="C146" s="1011">
        <v>3865</v>
      </c>
      <c r="D146" s="1012">
        <f t="shared" si="0"/>
        <v>3865</v>
      </c>
    </row>
    <row r="147" spans="1:4" ht="12.75">
      <c r="A147" s="925" t="s">
        <v>1154</v>
      </c>
      <c r="B147" s="926"/>
      <c r="C147" s="927">
        <f>5000+5005</f>
        <v>10005</v>
      </c>
      <c r="D147" s="993">
        <f aca="true" t="shared" si="2" ref="D147:D152">SUM(B147:C147)</f>
        <v>10005</v>
      </c>
    </row>
    <row r="148" spans="1:4" ht="12.75">
      <c r="A148" s="925" t="s">
        <v>1278</v>
      </c>
      <c r="B148" s="926"/>
      <c r="C148" s="927">
        <v>801686</v>
      </c>
      <c r="D148" s="993">
        <f t="shared" si="2"/>
        <v>801686</v>
      </c>
    </row>
    <row r="149" spans="1:4" ht="12.75">
      <c r="A149" s="1004" t="s">
        <v>1346</v>
      </c>
      <c r="B149" s="83"/>
      <c r="C149" s="1005">
        <v>7872</v>
      </c>
      <c r="D149" s="1006">
        <f t="shared" si="2"/>
        <v>7872</v>
      </c>
    </row>
    <row r="150" spans="1:4" ht="12.75">
      <c r="A150" s="925" t="s">
        <v>1347</v>
      </c>
      <c r="B150" s="926"/>
      <c r="C150" s="927">
        <v>7084</v>
      </c>
      <c r="D150" s="993">
        <f t="shared" si="2"/>
        <v>7084</v>
      </c>
    </row>
    <row r="151" spans="1:4" ht="12.75">
      <c r="A151" s="925" t="s">
        <v>1348</v>
      </c>
      <c r="B151" s="926"/>
      <c r="C151" s="927">
        <v>9875</v>
      </c>
      <c r="D151" s="993">
        <f t="shared" si="2"/>
        <v>9875</v>
      </c>
    </row>
    <row r="152" spans="1:4" ht="13.5" thickBot="1">
      <c r="A152" s="1004" t="s">
        <v>1163</v>
      </c>
      <c r="B152" s="83"/>
      <c r="C152" s="1005">
        <v>116714</v>
      </c>
      <c r="D152" s="1006">
        <f t="shared" si="2"/>
        <v>116714</v>
      </c>
    </row>
    <row r="153" spans="1:4" ht="13.5" thickBot="1">
      <c r="A153" s="900" t="s">
        <v>471</v>
      </c>
      <c r="B153" s="1019"/>
      <c r="C153" s="1020">
        <f>SUM(C135:C152)</f>
        <v>2453928</v>
      </c>
      <c r="D153" s="1021">
        <f>SUM(D135:D152)</f>
        <v>2453928</v>
      </c>
    </row>
    <row r="154" spans="1:4" ht="13.5" thickBot="1">
      <c r="A154" s="1014" t="s">
        <v>1254</v>
      </c>
      <c r="B154" s="1015"/>
      <c r="C154" s="1016">
        <v>260</v>
      </c>
      <c r="D154" s="1017">
        <f>SUM(B154:C154)</f>
        <v>260</v>
      </c>
    </row>
    <row r="155" spans="1:4" ht="13.5" thickBot="1">
      <c r="A155" s="1014" t="s">
        <v>1255</v>
      </c>
      <c r="B155" s="1019"/>
      <c r="C155" s="1169">
        <v>7000</v>
      </c>
      <c r="D155" s="1170">
        <f>SUM(B155:C155)</f>
        <v>7000</v>
      </c>
    </row>
    <row r="156" spans="1:4" ht="13.5" thickBot="1">
      <c r="A156" s="1168" t="s">
        <v>1253</v>
      </c>
      <c r="B156" s="1019"/>
      <c r="C156" s="1169">
        <v>3000</v>
      </c>
      <c r="D156" s="1170">
        <f>SUM(B156:C156)</f>
        <v>3000</v>
      </c>
    </row>
    <row r="157" spans="1:4" ht="13.5" thickBot="1">
      <c r="A157" s="1014" t="s">
        <v>1299</v>
      </c>
      <c r="B157" s="1019"/>
      <c r="C157" s="1169">
        <v>7000</v>
      </c>
      <c r="D157" s="1170">
        <f>SUM(B157:C157)</f>
        <v>7000</v>
      </c>
    </row>
    <row r="158" spans="1:4" ht="13.5" thickBot="1">
      <c r="A158" s="900" t="s">
        <v>1146</v>
      </c>
      <c r="B158" s="1018"/>
      <c r="C158" s="849">
        <f>SUM(C154:C157)</f>
        <v>17260</v>
      </c>
      <c r="D158" s="849">
        <f>SUM(D154:D156)</f>
        <v>10260</v>
      </c>
    </row>
  </sheetData>
  <sheetProtection/>
  <mergeCells count="13">
    <mergeCell ref="A109:D109"/>
    <mergeCell ref="A114:D114"/>
    <mergeCell ref="A2:D2"/>
    <mergeCell ref="A4:D4"/>
    <mergeCell ref="A7:D7"/>
    <mergeCell ref="C8:D8"/>
    <mergeCell ref="C9:D9"/>
    <mergeCell ref="A34:D34"/>
    <mergeCell ref="A58:D58"/>
    <mergeCell ref="A36:D36"/>
    <mergeCell ref="A38:D38"/>
    <mergeCell ref="C39:D39"/>
    <mergeCell ref="C40:D4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27">
      <selection activeCell="G11" sqref="G11"/>
    </sheetView>
  </sheetViews>
  <sheetFormatPr defaultColWidth="9.140625" defaultRowHeight="12.75"/>
  <cols>
    <col min="1" max="1" width="29.7109375" style="0" customWidth="1"/>
    <col min="2" max="2" width="13.57421875" style="0" customWidth="1"/>
    <col min="3" max="3" width="12.8515625" style="0" customWidth="1"/>
    <col min="4" max="5" width="12.7109375" style="0" customWidth="1"/>
  </cols>
  <sheetData>
    <row r="1" spans="4:5" ht="12.75">
      <c r="D1" s="1402" t="s">
        <v>442</v>
      </c>
      <c r="E1" s="1402"/>
    </row>
    <row r="3" spans="1:5" ht="15.75">
      <c r="A3" s="1382" t="s">
        <v>443</v>
      </c>
      <c r="B3" s="1382"/>
      <c r="C3" s="1382"/>
      <c r="D3" s="1382"/>
      <c r="E3" s="1382"/>
    </row>
    <row r="6" spans="4:5" ht="12.75">
      <c r="D6" s="1402" t="s">
        <v>33</v>
      </c>
      <c r="E6" s="1402"/>
    </row>
    <row r="7" spans="1:5" ht="12.75">
      <c r="A7" s="1403" t="s">
        <v>444</v>
      </c>
      <c r="B7" s="1404" t="s">
        <v>445</v>
      </c>
      <c r="C7" s="1405" t="s">
        <v>446</v>
      </c>
      <c r="D7" s="1405"/>
      <c r="E7" s="1405"/>
    </row>
    <row r="8" spans="1:5" ht="12.75">
      <c r="A8" s="1403"/>
      <c r="B8" s="1404"/>
      <c r="C8" s="411" t="s">
        <v>447</v>
      </c>
      <c r="D8" s="412" t="s">
        <v>448</v>
      </c>
      <c r="E8" s="411" t="s">
        <v>449</v>
      </c>
    </row>
    <row r="9" spans="1:5" ht="12.75">
      <c r="A9" s="413" t="s">
        <v>450</v>
      </c>
      <c r="B9" s="414" t="s">
        <v>82</v>
      </c>
      <c r="C9" s="415">
        <v>1700</v>
      </c>
      <c r="D9" s="416"/>
      <c r="E9" s="415">
        <f>SUM(C9:D9)</f>
        <v>1700</v>
      </c>
    </row>
    <row r="10" spans="1:5" ht="12.75">
      <c r="A10" s="417" t="s">
        <v>451</v>
      </c>
      <c r="B10" s="411"/>
      <c r="C10" s="418">
        <f>SUM(C9)</f>
        <v>1700</v>
      </c>
      <c r="D10" s="419"/>
      <c r="E10" s="418">
        <f>SUM(C10:D10)</f>
        <v>1700</v>
      </c>
    </row>
    <row r="11" spans="1:5" ht="15" customHeight="1">
      <c r="A11" s="420" t="s">
        <v>452</v>
      </c>
      <c r="B11" s="1353" t="s">
        <v>1350</v>
      </c>
      <c r="C11" s="421">
        <v>0</v>
      </c>
      <c r="D11" s="422">
        <f>5580+46615</f>
        <v>52195</v>
      </c>
      <c r="E11" s="423">
        <f>SUM(C11:D11)</f>
        <v>52195</v>
      </c>
    </row>
    <row r="12" spans="1:5" ht="15" customHeight="1">
      <c r="A12" s="424" t="s">
        <v>1349</v>
      </c>
      <c r="B12" s="1353" t="s">
        <v>1350</v>
      </c>
      <c r="C12" s="426"/>
      <c r="D12" s="427">
        <v>66</v>
      </c>
      <c r="E12" s="423">
        <f>SUM(C12:D12)</f>
        <v>66</v>
      </c>
    </row>
    <row r="13" spans="1:5" ht="15">
      <c r="A13" s="424"/>
      <c r="B13" s="1353"/>
      <c r="C13" s="428"/>
      <c r="D13" s="427"/>
      <c r="E13" s="423"/>
    </row>
    <row r="14" spans="1:5" ht="15">
      <c r="A14" s="107"/>
      <c r="B14" s="425"/>
      <c r="C14" s="428"/>
      <c r="D14" s="429"/>
      <c r="E14" s="430"/>
    </row>
    <row r="15" spans="1:5" ht="15">
      <c r="A15" s="107"/>
      <c r="B15" s="425"/>
      <c r="C15" s="428"/>
      <c r="D15" s="429"/>
      <c r="E15" s="430"/>
    </row>
    <row r="16" spans="1:5" ht="15">
      <c r="A16" s="107"/>
      <c r="B16" s="425"/>
      <c r="C16" s="428"/>
      <c r="D16" s="429"/>
      <c r="E16" s="430"/>
    </row>
    <row r="17" spans="1:5" ht="15">
      <c r="A17" s="107"/>
      <c r="B17" s="425"/>
      <c r="C17" s="428"/>
      <c r="D17" s="429"/>
      <c r="E17" s="430"/>
    </row>
    <row r="18" spans="1:5" ht="15.75" thickBot="1">
      <c r="A18" s="342"/>
      <c r="B18" s="431"/>
      <c r="C18" s="432"/>
      <c r="D18" s="433"/>
      <c r="E18" s="434"/>
    </row>
    <row r="19" spans="1:5" ht="16.5" thickBot="1">
      <c r="A19" s="109" t="s">
        <v>453</v>
      </c>
      <c r="B19" s="435"/>
      <c r="C19" s="905">
        <f>SUM(C11:C18)</f>
        <v>0</v>
      </c>
      <c r="D19" s="905">
        <f>SUM(D11:D18)</f>
        <v>52261</v>
      </c>
      <c r="E19" s="906">
        <f>SUM(E11:E18)</f>
        <v>52261</v>
      </c>
    </row>
    <row r="20" spans="1:5" ht="16.5" thickBot="1">
      <c r="A20" s="438" t="s">
        <v>454</v>
      </c>
      <c r="B20" s="439"/>
      <c r="C20" s="907">
        <f>SUM(C10:C18)</f>
        <v>1700</v>
      </c>
      <c r="D20" s="908">
        <f>SUM(D10:D18)</f>
        <v>52261</v>
      </c>
      <c r="E20" s="909">
        <f>SUM(E10:E18)</f>
        <v>53961</v>
      </c>
    </row>
    <row r="22" spans="3:5" ht="12.75">
      <c r="C22" s="1402" t="s">
        <v>455</v>
      </c>
      <c r="D22" s="1402"/>
      <c r="E22" s="1402"/>
    </row>
    <row r="23" spans="3:5" ht="12.75">
      <c r="C23" s="441"/>
      <c r="D23" s="441"/>
      <c r="E23" s="441"/>
    </row>
    <row r="25" spans="1:5" ht="15.75">
      <c r="A25" s="1382" t="s">
        <v>456</v>
      </c>
      <c r="B25" s="1382"/>
      <c r="C25" s="1382"/>
      <c r="D25" s="1382"/>
      <c r="E25" s="1382"/>
    </row>
    <row r="26" spans="1:5" ht="15.75">
      <c r="A26" s="1382" t="s">
        <v>457</v>
      </c>
      <c r="B26" s="1382"/>
      <c r="C26" s="1382"/>
      <c r="D26" s="1382"/>
      <c r="E26" s="1382"/>
    </row>
    <row r="27" spans="1:5" ht="15.75">
      <c r="A27" s="44"/>
      <c r="B27" s="44"/>
      <c r="C27" s="44"/>
      <c r="D27" s="44"/>
      <c r="E27" s="44"/>
    </row>
    <row r="29" spans="4:5" ht="12.75">
      <c r="D29" s="1406" t="s">
        <v>33</v>
      </c>
      <c r="E29" s="1406"/>
    </row>
    <row r="30" spans="1:5" s="7" customFormat="1" ht="15.75">
      <c r="A30" s="442" t="s">
        <v>303</v>
      </c>
      <c r="B30" s="443"/>
      <c r="C30" s="444"/>
      <c r="D30" s="1407" t="s">
        <v>174</v>
      </c>
      <c r="E30" s="1407"/>
    </row>
    <row r="31" spans="1:5" ht="15.75">
      <c r="A31" s="445" t="s">
        <v>458</v>
      </c>
      <c r="B31" s="446"/>
      <c r="C31" s="447"/>
      <c r="D31" s="448"/>
      <c r="E31" s="449">
        <v>190729</v>
      </c>
    </row>
    <row r="32" spans="1:5" ht="15">
      <c r="A32" s="107" t="s">
        <v>459</v>
      </c>
      <c r="B32" s="397"/>
      <c r="C32" s="405"/>
      <c r="D32" s="450"/>
      <c r="E32" s="451">
        <v>4829</v>
      </c>
    </row>
    <row r="33" spans="1:5" ht="15">
      <c r="A33" s="245" t="s">
        <v>460</v>
      </c>
      <c r="B33" s="54"/>
      <c r="C33" s="452"/>
      <c r="D33" s="453"/>
      <c r="E33" s="454">
        <v>360</v>
      </c>
    </row>
    <row r="34" spans="1:5" ht="32.25" customHeight="1">
      <c r="A34" s="1408" t="s">
        <v>461</v>
      </c>
      <c r="B34" s="1408"/>
      <c r="C34" s="1408"/>
      <c r="D34" s="455"/>
      <c r="E34" s="456">
        <f>SUM(E31:E33)</f>
        <v>195918</v>
      </c>
    </row>
    <row r="37" spans="3:5" ht="12.75">
      <c r="C37" s="1402" t="s">
        <v>462</v>
      </c>
      <c r="D37" s="1402"/>
      <c r="E37" s="1402"/>
    </row>
    <row r="39" spans="1:5" ht="15.75">
      <c r="A39" s="1382" t="s">
        <v>463</v>
      </c>
      <c r="B39" s="1382"/>
      <c r="C39" s="1382"/>
      <c r="D39" s="1382"/>
      <c r="E39" s="1382"/>
    </row>
    <row r="40" spans="1:5" ht="15.75">
      <c r="A40" s="1382"/>
      <c r="B40" s="1382"/>
      <c r="C40" s="1382"/>
      <c r="D40" s="1382"/>
      <c r="E40" s="1382"/>
    </row>
    <row r="42" spans="4:5" ht="12.75">
      <c r="D42" s="1406" t="s">
        <v>33</v>
      </c>
      <c r="E42" s="1406"/>
    </row>
    <row r="43" spans="1:5" ht="12.75">
      <c r="A43" s="457" t="s">
        <v>303</v>
      </c>
      <c r="B43" s="458"/>
      <c r="C43" s="459"/>
      <c r="D43" s="457" t="s">
        <v>174</v>
      </c>
      <c r="E43" s="459"/>
    </row>
    <row r="44" spans="1:5" ht="15">
      <c r="A44" s="460" t="s">
        <v>464</v>
      </c>
      <c r="B44" s="461"/>
      <c r="C44" s="462"/>
      <c r="D44" s="463"/>
      <c r="E44" s="464">
        <v>23250</v>
      </c>
    </row>
    <row r="45" spans="1:5" ht="15">
      <c r="A45" s="465" t="s">
        <v>465</v>
      </c>
      <c r="B45" s="466"/>
      <c r="C45" s="467"/>
      <c r="D45" s="468"/>
      <c r="E45" s="469">
        <f>180707+14860+2500</f>
        <v>198067</v>
      </c>
    </row>
    <row r="46" spans="1:5" ht="28.5" customHeight="1">
      <c r="A46" s="1408" t="s">
        <v>1250</v>
      </c>
      <c r="B46" s="1408"/>
      <c r="C46" s="1408"/>
      <c r="D46" s="470"/>
      <c r="E46" s="471">
        <f>SUM(E44:E45)</f>
        <v>221317</v>
      </c>
    </row>
    <row r="50" spans="3:5" ht="12.75">
      <c r="C50" s="1402" t="s">
        <v>466</v>
      </c>
      <c r="D50" s="1402"/>
      <c r="E50" s="1402"/>
    </row>
    <row r="52" spans="1:5" ht="15.75">
      <c r="A52" s="1382" t="s">
        <v>467</v>
      </c>
      <c r="B52" s="1382"/>
      <c r="C52" s="1382"/>
      <c r="D52" s="1382"/>
      <c r="E52" s="1382"/>
    </row>
    <row r="53" spans="1:5" ht="15.75">
      <c r="A53" s="44"/>
      <c r="B53" s="44"/>
      <c r="C53" s="44"/>
      <c r="D53" s="44"/>
      <c r="E53" s="44"/>
    </row>
    <row r="54" ht="13.5" thickBot="1">
      <c r="E54" t="s">
        <v>468</v>
      </c>
    </row>
    <row r="55" spans="1:5" ht="27" thickBot="1">
      <c r="A55" s="1409" t="s">
        <v>303</v>
      </c>
      <c r="B55" s="1410"/>
      <c r="C55" s="1057" t="s">
        <v>469</v>
      </c>
      <c r="D55" s="1067" t="s">
        <v>470</v>
      </c>
      <c r="E55" s="1054" t="s">
        <v>174</v>
      </c>
    </row>
    <row r="56" spans="1:5" ht="12.75">
      <c r="A56" s="1419" t="s">
        <v>82</v>
      </c>
      <c r="B56" s="1420"/>
      <c r="C56" s="1053">
        <v>3723</v>
      </c>
      <c r="D56" s="1068"/>
      <c r="E56" s="1064">
        <f aca="true" t="shared" si="0" ref="E56:E61">SUM(C56:D56)</f>
        <v>3723</v>
      </c>
    </row>
    <row r="57" spans="1:5" ht="12.75">
      <c r="A57" s="1421" t="s">
        <v>81</v>
      </c>
      <c r="B57" s="1422"/>
      <c r="C57" s="1058">
        <f>279+50</f>
        <v>329</v>
      </c>
      <c r="D57" s="1058"/>
      <c r="E57" s="1055">
        <f t="shared" si="0"/>
        <v>329</v>
      </c>
    </row>
    <row r="58" spans="1:5" ht="12.75">
      <c r="A58" s="1423" t="s">
        <v>1226</v>
      </c>
      <c r="B58" s="1424"/>
      <c r="C58" s="1058"/>
      <c r="D58" s="1058"/>
      <c r="E58" s="1064">
        <f t="shared" si="0"/>
        <v>0</v>
      </c>
    </row>
    <row r="59" spans="1:5" ht="12.75">
      <c r="A59" s="1411" t="s">
        <v>1227</v>
      </c>
      <c r="B59" s="1412"/>
      <c r="C59" s="1059"/>
      <c r="D59" s="1059">
        <v>0</v>
      </c>
      <c r="E59" s="901">
        <f t="shared" si="0"/>
        <v>0</v>
      </c>
    </row>
    <row r="60" spans="1:5" ht="12.75">
      <c r="A60" s="1413" t="s">
        <v>1228</v>
      </c>
      <c r="B60" s="1414"/>
      <c r="C60" s="920"/>
      <c r="D60" s="920">
        <v>0</v>
      </c>
      <c r="E60" s="1056">
        <f t="shared" si="0"/>
        <v>0</v>
      </c>
    </row>
    <row r="61" spans="1:5" ht="12.75">
      <c r="A61" s="1415"/>
      <c r="B61" s="1416"/>
      <c r="C61" s="921"/>
      <c r="D61" s="921"/>
      <c r="E61" s="1055">
        <f t="shared" si="0"/>
        <v>0</v>
      </c>
    </row>
    <row r="62" spans="1:19" s="281" customFormat="1" ht="13.5" thickBot="1">
      <c r="A62" s="1417" t="s">
        <v>83</v>
      </c>
      <c r="B62" s="1418"/>
      <c r="C62" s="1060">
        <f>SUM(C56:C61)</f>
        <v>4052</v>
      </c>
      <c r="D62" s="849">
        <f>SUM(D56:D61)</f>
        <v>0</v>
      </c>
      <c r="E62" s="917">
        <f>SUM(E56:E61)</f>
        <v>4052</v>
      </c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</row>
    <row r="63" spans="1:19" s="110" customFormat="1" ht="12.75">
      <c r="A63" s="1425" t="s">
        <v>1176</v>
      </c>
      <c r="B63" s="1426"/>
      <c r="C63" s="1061"/>
      <c r="D63" s="1069">
        <v>100</v>
      </c>
      <c r="E63" s="1065">
        <f>D63+C63</f>
        <v>100</v>
      </c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</row>
    <row r="64" spans="1:19" s="110" customFormat="1" ht="12.75">
      <c r="A64" s="1427"/>
      <c r="B64" s="1416"/>
      <c r="C64" s="1062"/>
      <c r="D64" s="1070"/>
      <c r="E64" s="1013">
        <f>D64+C64</f>
        <v>0</v>
      </c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</row>
    <row r="65" spans="1:19" s="110" customFormat="1" ht="12.75">
      <c r="A65" s="1427"/>
      <c r="B65" s="1416"/>
      <c r="C65" s="1062"/>
      <c r="D65" s="1070"/>
      <c r="E65" s="979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</row>
    <row r="66" spans="1:19" s="110" customFormat="1" ht="12.75">
      <c r="A66" s="1427"/>
      <c r="B66" s="1416"/>
      <c r="C66" s="1062"/>
      <c r="D66" s="1070"/>
      <c r="E66" s="979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</row>
    <row r="67" spans="1:19" s="110" customFormat="1" ht="12.75">
      <c r="A67" s="1428"/>
      <c r="B67" s="1429"/>
      <c r="C67" s="1062"/>
      <c r="D67" s="1070"/>
      <c r="E67" s="979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</row>
    <row r="68" spans="1:19" s="281" customFormat="1" ht="12.75">
      <c r="A68" s="1417" t="s">
        <v>471</v>
      </c>
      <c r="B68" s="1418"/>
      <c r="C68" s="1060"/>
      <c r="D68" s="1060">
        <f>SUM(D63:D67)</f>
        <v>100</v>
      </c>
      <c r="E68" s="974">
        <f>D68+C68</f>
        <v>100</v>
      </c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</row>
    <row r="69" spans="1:5" ht="12.75">
      <c r="A69" s="1425"/>
      <c r="B69" s="1426"/>
      <c r="C69" s="923"/>
      <c r="D69" s="923"/>
      <c r="E69" s="1055"/>
    </row>
    <row r="70" spans="1:6" ht="27" customHeight="1">
      <c r="A70" s="1430" t="s">
        <v>472</v>
      </c>
      <c r="B70" s="1431"/>
      <c r="C70" s="1063">
        <f>C62</f>
        <v>4052</v>
      </c>
      <c r="D70" s="1063">
        <f>D68+D62</f>
        <v>100</v>
      </c>
      <c r="E70" s="1066">
        <f>E68+E62</f>
        <v>4152</v>
      </c>
      <c r="F70" s="110"/>
    </row>
    <row r="71" spans="1:5" ht="27" customHeight="1">
      <c r="A71" s="473"/>
      <c r="B71" s="473"/>
      <c r="C71" s="54"/>
      <c r="D71" s="54"/>
      <c r="E71" s="54"/>
    </row>
    <row r="72" spans="1:5" ht="27" customHeight="1">
      <c r="A72" s="473"/>
      <c r="B72" s="473"/>
      <c r="C72" s="54"/>
      <c r="D72" s="54"/>
      <c r="E72" s="54"/>
    </row>
    <row r="73" spans="1:2" ht="12.75">
      <c r="A73" s="1432"/>
      <c r="B73" s="1432"/>
    </row>
    <row r="74" spans="3:5" ht="12.75">
      <c r="C74" s="1402" t="s">
        <v>473</v>
      </c>
      <c r="D74" s="1402"/>
      <c r="E74" s="1402"/>
    </row>
    <row r="75" spans="3:5" ht="12.75">
      <c r="C75" s="441"/>
      <c r="D75" s="441"/>
      <c r="E75" s="441"/>
    </row>
    <row r="77" spans="1:5" ht="18">
      <c r="A77" s="1433" t="s">
        <v>474</v>
      </c>
      <c r="B77" s="1433"/>
      <c r="C77" s="1433"/>
      <c r="D77" s="1433"/>
      <c r="E77" s="1433"/>
    </row>
    <row r="78" spans="1:5" ht="15.75">
      <c r="A78" s="1382"/>
      <c r="B78" s="1382"/>
      <c r="C78" s="1382"/>
      <c r="D78" s="1382"/>
      <c r="E78" s="1382"/>
    </row>
    <row r="80" spans="4:5" ht="12.75">
      <c r="D80" s="1406" t="s">
        <v>33</v>
      </c>
      <c r="E80" s="1406"/>
    </row>
    <row r="81" spans="1:5" ht="12.75">
      <c r="A81" s="457" t="s">
        <v>303</v>
      </c>
      <c r="B81" s="458"/>
      <c r="C81" s="459"/>
      <c r="D81" s="457" t="s">
        <v>174</v>
      </c>
      <c r="E81" s="459"/>
    </row>
    <row r="82" spans="1:5" ht="15">
      <c r="A82" s="460" t="s">
        <v>475</v>
      </c>
      <c r="B82" s="461"/>
      <c r="C82" s="462"/>
      <c r="D82" s="463"/>
      <c r="E82" s="474">
        <f>'2_m_n_sz_ melléklet'!B21</f>
        <v>268</v>
      </c>
    </row>
    <row r="83" spans="1:5" ht="15">
      <c r="A83" s="465" t="s">
        <v>476</v>
      </c>
      <c r="B83" s="466"/>
      <c r="C83" s="467"/>
      <c r="D83" s="468"/>
      <c r="E83" s="475">
        <f>'2_m_n_sz_ melléklet'!B37</f>
        <v>4090</v>
      </c>
    </row>
    <row r="84" spans="1:5" ht="15.75">
      <c r="A84" s="1408" t="s">
        <v>477</v>
      </c>
      <c r="B84" s="1408"/>
      <c r="C84" s="1408"/>
      <c r="D84" s="470"/>
      <c r="E84" s="456">
        <f>SUM(E82:E83)</f>
        <v>4358</v>
      </c>
    </row>
  </sheetData>
  <sheetProtection/>
  <mergeCells count="41">
    <mergeCell ref="D80:E80"/>
    <mergeCell ref="A84:C84"/>
    <mergeCell ref="A69:B69"/>
    <mergeCell ref="A70:B70"/>
    <mergeCell ref="A73:B73"/>
    <mergeCell ref="C74:E74"/>
    <mergeCell ref="A77:E77"/>
    <mergeCell ref="A78:E78"/>
    <mergeCell ref="A63:B63"/>
    <mergeCell ref="A64:B64"/>
    <mergeCell ref="A65:B65"/>
    <mergeCell ref="A66:B66"/>
    <mergeCell ref="A67:B67"/>
    <mergeCell ref="A68:B68"/>
    <mergeCell ref="A52:E52"/>
    <mergeCell ref="A55:B55"/>
    <mergeCell ref="A59:B59"/>
    <mergeCell ref="A60:B60"/>
    <mergeCell ref="A61:B61"/>
    <mergeCell ref="A62:B62"/>
    <mergeCell ref="A56:B56"/>
    <mergeCell ref="A57:B57"/>
    <mergeCell ref="A58:B58"/>
    <mergeCell ref="C37:E37"/>
    <mergeCell ref="A39:E39"/>
    <mergeCell ref="A40:E40"/>
    <mergeCell ref="D42:E42"/>
    <mergeCell ref="A46:C46"/>
    <mergeCell ref="C50:E50"/>
    <mergeCell ref="C22:E22"/>
    <mergeCell ref="A25:E25"/>
    <mergeCell ref="A26:E26"/>
    <mergeCell ref="D29:E29"/>
    <mergeCell ref="D30:E30"/>
    <mergeCell ref="A34:C34"/>
    <mergeCell ref="D1:E1"/>
    <mergeCell ref="A3:E3"/>
    <mergeCell ref="D6:E6"/>
    <mergeCell ref="A7:A8"/>
    <mergeCell ref="B7:B8"/>
    <mergeCell ref="C7:E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61">
      <selection activeCell="B77" sqref="B77"/>
    </sheetView>
  </sheetViews>
  <sheetFormatPr defaultColWidth="9.140625" defaultRowHeight="12.75"/>
  <cols>
    <col min="1" max="1" width="39.8515625" style="0" customWidth="1"/>
    <col min="2" max="2" width="13.7109375" style="0" customWidth="1"/>
    <col min="3" max="3" width="12.8515625" style="0" customWidth="1"/>
    <col min="4" max="4" width="12.421875" style="0" customWidth="1"/>
  </cols>
  <sheetData>
    <row r="1" spans="3:4" ht="12.75">
      <c r="C1" s="1402" t="s">
        <v>478</v>
      </c>
      <c r="D1" s="1402"/>
    </row>
    <row r="2" spans="3:4" ht="12.75">
      <c r="C2" s="441"/>
      <c r="D2" s="441"/>
    </row>
    <row r="4" spans="1:4" ht="15.75">
      <c r="A4" s="1382" t="s">
        <v>479</v>
      </c>
      <c r="B4" s="1382"/>
      <c r="C4" s="1382"/>
      <c r="D4" s="1382"/>
    </row>
    <row r="5" spans="1:4" ht="15.75">
      <c r="A5" s="1382" t="s">
        <v>480</v>
      </c>
      <c r="B5" s="1382"/>
      <c r="C5" s="1382"/>
      <c r="D5" s="1382"/>
    </row>
    <row r="6" spans="1:4" ht="15.75">
      <c r="A6" s="44"/>
      <c r="B6" s="44"/>
      <c r="C6" s="44"/>
      <c r="D6" s="44"/>
    </row>
    <row r="8" ht="13.5" thickBot="1">
      <c r="C8" s="441" t="s">
        <v>33</v>
      </c>
    </row>
    <row r="9" spans="1:4" ht="24.75" thickBot="1">
      <c r="A9" s="457" t="s">
        <v>303</v>
      </c>
      <c r="B9" s="498" t="s">
        <v>81</v>
      </c>
      <c r="C9" s="104" t="s">
        <v>82</v>
      </c>
      <c r="D9" s="104" t="s">
        <v>481</v>
      </c>
    </row>
    <row r="10" spans="1:4" ht="15" customHeight="1">
      <c r="A10" s="358" t="s">
        <v>482</v>
      </c>
      <c r="B10" s="1209">
        <v>0</v>
      </c>
      <c r="C10" s="476">
        <v>0</v>
      </c>
      <c r="D10" s="87">
        <f>SUM(B10:C10)</f>
        <v>0</v>
      </c>
    </row>
    <row r="11" spans="1:4" ht="15" customHeight="1">
      <c r="A11" s="89" t="s">
        <v>272</v>
      </c>
      <c r="B11" s="1210">
        <f>23860+1500</f>
        <v>25360</v>
      </c>
      <c r="C11" s="477">
        <v>990</v>
      </c>
      <c r="D11" s="56">
        <f>SUM(B11:C11)</f>
        <v>26350</v>
      </c>
    </row>
    <row r="12" spans="1:4" ht="15" customHeight="1">
      <c r="A12" s="107" t="s">
        <v>483</v>
      </c>
      <c r="B12" s="920"/>
      <c r="C12" s="75"/>
      <c r="D12" s="56">
        <f>SUM(B12:C12)</f>
        <v>0</v>
      </c>
    </row>
    <row r="13" spans="1:4" ht="15" customHeight="1">
      <c r="A13" s="478" t="s">
        <v>274</v>
      </c>
      <c r="B13" s="923">
        <f>300+420</f>
        <v>720</v>
      </c>
      <c r="C13" s="72">
        <v>10</v>
      </c>
      <c r="D13" s="56">
        <f>SUM(B13:C13)</f>
        <v>730</v>
      </c>
    </row>
    <row r="14" spans="1:4" ht="15" customHeight="1" thickBot="1">
      <c r="A14" s="342" t="s">
        <v>484</v>
      </c>
      <c r="B14" s="1208">
        <f>'2_a_d_sz_ melléklet'!B19</f>
        <v>50</v>
      </c>
      <c r="C14" s="78"/>
      <c r="D14" s="72">
        <f>SUM(B14:C14)</f>
        <v>50</v>
      </c>
    </row>
    <row r="15" spans="1:4" s="110" customFormat="1" ht="15" customHeight="1" thickBot="1">
      <c r="A15" s="109" t="s">
        <v>485</v>
      </c>
      <c r="B15" s="518">
        <f>SUM(B10:B14)</f>
        <v>26130</v>
      </c>
      <c r="C15" s="912">
        <f>SUM(C10:C14)</f>
        <v>1000</v>
      </c>
      <c r="D15" s="1204">
        <f>SUM(D10:D14)</f>
        <v>27130</v>
      </c>
    </row>
    <row r="16" spans="1:4" ht="15" customHeight="1" thickBot="1">
      <c r="A16" s="480"/>
      <c r="B16" s="369"/>
      <c r="C16" s="484"/>
      <c r="D16" s="1203"/>
    </row>
    <row r="17" spans="1:4" ht="15" customHeight="1">
      <c r="A17" s="339" t="s">
        <v>245</v>
      </c>
      <c r="B17" s="483">
        <f>'2_f_h_sz_ melléklet'!B63+'2_f_h_sz_ melléklet'!B64+'2_f_h_sz_ melléklet'!B65+'2_f_h_sz_ melléklet'!B66</f>
        <v>299715</v>
      </c>
      <c r="C17" s="483">
        <f>'2_f_h_sz_ melléklet'!B67+'2_f_h_sz_ melléklet'!B68</f>
        <v>14366</v>
      </c>
      <c r="D17" s="484">
        <f>SUM(B17:C17)</f>
        <v>314081</v>
      </c>
    </row>
    <row r="18" spans="1:4" ht="15" customHeight="1">
      <c r="A18" s="114" t="s">
        <v>246</v>
      </c>
      <c r="B18" s="485">
        <f>'2_f_h_sz_ melléklet'!B63</f>
        <v>297519</v>
      </c>
      <c r="C18" s="485">
        <v>0</v>
      </c>
      <c r="D18" s="484">
        <f>SUM(B18:C18)</f>
        <v>297519</v>
      </c>
    </row>
    <row r="19" spans="1:4" ht="15" customHeight="1">
      <c r="A19" s="114" t="s">
        <v>247</v>
      </c>
      <c r="B19" s="485">
        <v>0</v>
      </c>
      <c r="C19" s="485">
        <v>0</v>
      </c>
      <c r="D19" s="484">
        <f>SUM(B19:C19)</f>
        <v>0</v>
      </c>
    </row>
    <row r="20" spans="1:4" ht="15" customHeight="1">
      <c r="A20" s="1339" t="s">
        <v>246</v>
      </c>
      <c r="B20" s="1340">
        <v>0</v>
      </c>
      <c r="C20" s="1340">
        <v>0</v>
      </c>
      <c r="D20" s="484">
        <f>SUM(B20:C20)</f>
        <v>0</v>
      </c>
    </row>
    <row r="21" spans="1:4" ht="15" customHeight="1" thickBot="1">
      <c r="A21" s="1336" t="s">
        <v>1328</v>
      </c>
      <c r="B21" s="1337">
        <v>0</v>
      </c>
      <c r="C21" s="1338">
        <v>47780</v>
      </c>
      <c r="D21" s="484">
        <f>SUM(B21:C21)</f>
        <v>47780</v>
      </c>
    </row>
    <row r="22" spans="1:4" s="110" customFormat="1" ht="15" customHeight="1" thickBot="1">
      <c r="A22" s="109" t="s">
        <v>421</v>
      </c>
      <c r="B22" s="437">
        <f>B17+B19</f>
        <v>299715</v>
      </c>
      <c r="C22" s="479">
        <f>C17+C19+C21</f>
        <v>62146</v>
      </c>
      <c r="D22" s="479">
        <f>C22+B22</f>
        <v>361861</v>
      </c>
    </row>
    <row r="23" spans="1:4" ht="15" customHeight="1">
      <c r="A23" s="480"/>
      <c r="B23" s="484"/>
      <c r="C23" s="487"/>
      <c r="D23" s="487"/>
    </row>
    <row r="24" spans="1:4" ht="15" customHeight="1">
      <c r="A24" s="107" t="s">
        <v>486</v>
      </c>
      <c r="B24" s="369">
        <v>0</v>
      </c>
      <c r="C24" s="477">
        <f>'2_i_j_sz_ mell_'!C9</f>
        <v>1700</v>
      </c>
      <c r="D24" s="477">
        <f>SUM(B24:C24)</f>
        <v>1700</v>
      </c>
    </row>
    <row r="25" spans="1:4" ht="15" customHeight="1">
      <c r="A25" s="108" t="s">
        <v>487</v>
      </c>
      <c r="B25" s="67">
        <f>'2_i_j_sz_ mell_'!C57</f>
        <v>329</v>
      </c>
      <c r="C25" s="487">
        <f>'2_i_j_sz_ mell_'!C56</f>
        <v>3723</v>
      </c>
      <c r="D25" s="477">
        <f>SUM(B25:C25)</f>
        <v>4052</v>
      </c>
    </row>
    <row r="26" spans="1:4" ht="15" customHeight="1">
      <c r="A26" s="109" t="s">
        <v>488</v>
      </c>
      <c r="B26" s="437">
        <f>SUM(B24:B25)</f>
        <v>329</v>
      </c>
      <c r="C26" s="437">
        <f>SUM(C24:C25)</f>
        <v>5423</v>
      </c>
      <c r="D26" s="437">
        <f>SUM(D24:D25)</f>
        <v>5752</v>
      </c>
    </row>
    <row r="27" spans="1:4" ht="15" customHeight="1">
      <c r="A27" s="480"/>
      <c r="B27" s="488"/>
      <c r="C27" s="487"/>
      <c r="D27" s="487"/>
    </row>
    <row r="28" spans="1:4" ht="15" customHeight="1">
      <c r="A28" s="107" t="s">
        <v>257</v>
      </c>
      <c r="B28" s="56">
        <v>0</v>
      </c>
      <c r="C28" s="75">
        <v>0</v>
      </c>
      <c r="D28" s="75">
        <f>SUM(B28:C28)</f>
        <v>0</v>
      </c>
    </row>
    <row r="29" spans="1:4" ht="15" customHeight="1">
      <c r="A29" s="107" t="s">
        <v>489</v>
      </c>
      <c r="B29" s="56">
        <v>0</v>
      </c>
      <c r="C29" s="75">
        <v>0</v>
      </c>
      <c r="D29" s="75">
        <f>SUM(B29:C29)</f>
        <v>0</v>
      </c>
    </row>
    <row r="30" spans="1:4" s="110" customFormat="1" ht="30" customHeight="1">
      <c r="A30" s="348" t="s">
        <v>490</v>
      </c>
      <c r="B30" s="437">
        <f>SUM(B28:B29)</f>
        <v>0</v>
      </c>
      <c r="C30" s="437">
        <f>SUM(C28:C29)</f>
        <v>0</v>
      </c>
      <c r="D30" s="437">
        <f>SUM(D28:D29)</f>
        <v>0</v>
      </c>
    </row>
    <row r="31" spans="1:4" ht="15" customHeight="1">
      <c r="A31" s="489"/>
      <c r="B31" s="490"/>
      <c r="C31" s="490"/>
      <c r="D31" s="490"/>
    </row>
    <row r="32" spans="1:4" ht="15" customHeight="1">
      <c r="A32" s="109" t="s">
        <v>491</v>
      </c>
      <c r="B32" s="437">
        <f>B30+B26+B22+B15</f>
        <v>326174</v>
      </c>
      <c r="C32" s="437">
        <f>C30+C26+C22+C15</f>
        <v>68569</v>
      </c>
      <c r="D32" s="437">
        <f>D30+D26+D22+D15</f>
        <v>394743</v>
      </c>
    </row>
    <row r="33" spans="1:4" ht="15" customHeight="1">
      <c r="A33" s="120"/>
      <c r="B33" s="437"/>
      <c r="C33" s="491"/>
      <c r="D33" s="491"/>
    </row>
    <row r="34" spans="1:4" ht="15" customHeight="1">
      <c r="A34" s="120" t="s">
        <v>492</v>
      </c>
      <c r="B34" s="436">
        <f>B35</f>
        <v>16356</v>
      </c>
      <c r="C34" s="912">
        <f>SUM(C35)</f>
        <v>1506</v>
      </c>
      <c r="D34" s="909">
        <f>SUM(D35)</f>
        <v>17862</v>
      </c>
    </row>
    <row r="35" spans="1:4" ht="15" customHeight="1">
      <c r="A35" s="107" t="s">
        <v>493</v>
      </c>
      <c r="B35" s="56">
        <f>B36+B37</f>
        <v>16356</v>
      </c>
      <c r="C35" s="225">
        <f>C36+C37</f>
        <v>1506</v>
      </c>
      <c r="D35" s="67">
        <f>D36+D37</f>
        <v>17862</v>
      </c>
    </row>
    <row r="36" spans="1:4" ht="15" customHeight="1">
      <c r="A36" s="107" t="s">
        <v>494</v>
      </c>
      <c r="B36" s="67">
        <v>15778</v>
      </c>
      <c r="C36" s="225">
        <f>14627+17867+8270-40764</f>
        <v>0</v>
      </c>
      <c r="D36" s="67">
        <f>SUM(B36:C36)</f>
        <v>15778</v>
      </c>
    </row>
    <row r="37" spans="1:4" ht="15" customHeight="1">
      <c r="A37" s="107" t="s">
        <v>495</v>
      </c>
      <c r="B37" s="913">
        <v>578</v>
      </c>
      <c r="C37" s="74">
        <f>1267+899+155-815</f>
        <v>1506</v>
      </c>
      <c r="D37" s="56">
        <f>SUM(B37:C37)</f>
        <v>2084</v>
      </c>
    </row>
    <row r="38" spans="1:4" ht="15" customHeight="1" thickBot="1">
      <c r="A38" s="120"/>
      <c r="B38" s="440"/>
      <c r="C38" s="491"/>
      <c r="D38" s="491"/>
    </row>
    <row r="39" spans="1:4" ht="15" customHeight="1" thickBot="1">
      <c r="A39" s="234" t="s">
        <v>263</v>
      </c>
      <c r="B39" s="92">
        <f>B40+B41</f>
        <v>0</v>
      </c>
      <c r="C39" s="92">
        <f>C40+C41</f>
        <v>0</v>
      </c>
      <c r="D39" s="92">
        <f>D40+D41</f>
        <v>0</v>
      </c>
    </row>
    <row r="40" spans="1:4" ht="15" customHeight="1">
      <c r="A40" s="353" t="s">
        <v>264</v>
      </c>
      <c r="B40" s="82">
        <v>0</v>
      </c>
      <c r="C40" s="90">
        <v>0</v>
      </c>
      <c r="D40" s="481">
        <f>SUM(B40:C40)</f>
        <v>0</v>
      </c>
    </row>
    <row r="41" spans="1:4" ht="15" customHeight="1">
      <c r="A41" s="107" t="s">
        <v>265</v>
      </c>
      <c r="B41" s="56">
        <v>0</v>
      </c>
      <c r="C41" s="57">
        <v>0</v>
      </c>
      <c r="D41" s="484">
        <f>SUM(B41:C41)</f>
        <v>0</v>
      </c>
    </row>
    <row r="42" spans="1:4" ht="15" customHeight="1">
      <c r="A42" s="489"/>
      <c r="B42" s="492"/>
      <c r="C42" s="493"/>
      <c r="D42" s="494"/>
    </row>
    <row r="43" spans="1:4" s="110" customFormat="1" ht="15" customHeight="1">
      <c r="A43" s="109" t="s">
        <v>496</v>
      </c>
      <c r="B43" s="437">
        <f>12514+2423+1323+2356-3278</f>
        <v>15338</v>
      </c>
      <c r="C43" s="479">
        <f>266370+8324</f>
        <v>274694</v>
      </c>
      <c r="D43" s="495">
        <f>B43+C43</f>
        <v>290032</v>
      </c>
    </row>
    <row r="44" spans="1:4" ht="15" customHeight="1">
      <c r="A44" s="489"/>
      <c r="B44" s="490"/>
      <c r="C44" s="490"/>
      <c r="D44" s="490"/>
    </row>
    <row r="45" spans="1:4" ht="15" customHeight="1">
      <c r="A45" s="109" t="s">
        <v>497</v>
      </c>
      <c r="B45" s="436">
        <f>B43+B39+B32+B34</f>
        <v>357868</v>
      </c>
      <c r="C45" s="912">
        <f>C43+C39+C32+C34</f>
        <v>344769</v>
      </c>
      <c r="D45" s="909">
        <f>D43+D39+D32+D34</f>
        <v>702637</v>
      </c>
    </row>
    <row r="46" spans="1:4" ht="12.75">
      <c r="A46" s="496"/>
      <c r="B46" s="493"/>
      <c r="C46" s="493"/>
      <c r="D46" s="493"/>
    </row>
    <row r="47" spans="1:4" ht="12.75">
      <c r="A47" s="496"/>
      <c r="B47" s="493"/>
      <c r="C47" s="493"/>
      <c r="D47" s="493"/>
    </row>
    <row r="49" spans="1:5" ht="12.75">
      <c r="A49" s="1391">
        <v>2</v>
      </c>
      <c r="B49" s="1391"/>
      <c r="C49" s="1391"/>
      <c r="D49" s="1391"/>
      <c r="E49" s="1391"/>
    </row>
    <row r="50" spans="3:4" ht="12.75">
      <c r="C50" s="1402" t="s">
        <v>478</v>
      </c>
      <c r="D50" s="1402"/>
    </row>
    <row r="52" spans="1:4" ht="15.75">
      <c r="A52" s="1382" t="s">
        <v>479</v>
      </c>
      <c r="B52" s="1382"/>
      <c r="C52" s="1382"/>
      <c r="D52" s="1382"/>
    </row>
    <row r="53" spans="1:4" ht="15.75">
      <c r="A53" s="1382" t="s">
        <v>480</v>
      </c>
      <c r="B53" s="1382"/>
      <c r="C53" s="1382"/>
      <c r="D53" s="1382"/>
    </row>
    <row r="55" ht="12.75">
      <c r="C55" s="441" t="s">
        <v>33</v>
      </c>
    </row>
    <row r="56" spans="1:4" ht="36.75" thickBot="1">
      <c r="A56" s="457" t="s">
        <v>303</v>
      </c>
      <c r="B56" s="104" t="s">
        <v>498</v>
      </c>
      <c r="C56" s="497" t="s">
        <v>508</v>
      </c>
      <c r="D56" s="498" t="s">
        <v>499</v>
      </c>
    </row>
    <row r="57" spans="1:4" ht="15" customHeight="1">
      <c r="A57" s="358" t="s">
        <v>482</v>
      </c>
      <c r="B57" s="232">
        <v>5500</v>
      </c>
      <c r="C57" s="477">
        <f>'2_l_sz_ melléklet'!C63</f>
        <v>5200</v>
      </c>
      <c r="D57" s="87">
        <f>SUM(B57:C57)</f>
        <v>10700</v>
      </c>
    </row>
    <row r="58" spans="1:4" ht="15" customHeight="1">
      <c r="A58" s="89" t="s">
        <v>272</v>
      </c>
      <c r="B58" s="369">
        <f>9600+360+140+2</f>
        <v>10102</v>
      </c>
      <c r="C58" s="477">
        <f>'2_l_sz_ melléklet'!C64</f>
        <v>145294</v>
      </c>
      <c r="D58" s="56">
        <f>SUM(B58:C58)</f>
        <v>155396</v>
      </c>
    </row>
    <row r="59" spans="1:4" ht="15" customHeight="1">
      <c r="A59" s="107" t="s">
        <v>483</v>
      </c>
      <c r="B59" s="56">
        <f>5824+62250+45302+8129+23607+1030+19787+3440</f>
        <v>169369</v>
      </c>
      <c r="C59" s="477">
        <f>'2_l_sz_ melléklet'!C65</f>
        <v>31748</v>
      </c>
      <c r="D59" s="56">
        <f>SUM(B59:C59)</f>
        <v>201117</v>
      </c>
    </row>
    <row r="60" spans="1:4" ht="15" customHeight="1">
      <c r="A60" s="478" t="s">
        <v>274</v>
      </c>
      <c r="B60" s="82">
        <f>1600+353</f>
        <v>1953</v>
      </c>
      <c r="C60" s="477">
        <f>'2_l_sz_ melléklet'!C66</f>
        <v>560</v>
      </c>
      <c r="D60" s="56">
        <f>SUM(B60:C60)</f>
        <v>2513</v>
      </c>
    </row>
    <row r="61" spans="1:4" ht="15" customHeight="1">
      <c r="A61" s="342" t="s">
        <v>484</v>
      </c>
      <c r="B61" s="56">
        <f>'2_a_d_sz_ melléklet'!C30+'2_a_d_sz_ melléklet'!C31</f>
        <v>9597</v>
      </c>
      <c r="C61" s="477">
        <f>'2_l_sz_ melléklet'!C67</f>
        <v>2172</v>
      </c>
      <c r="D61" s="113">
        <f>SUM(B61:C61)</f>
        <v>11769</v>
      </c>
    </row>
    <row r="62" spans="1:4" ht="15" customHeight="1">
      <c r="A62" s="109" t="s">
        <v>485</v>
      </c>
      <c r="B62" s="437">
        <f>SUM(B57:B61)</f>
        <v>196521</v>
      </c>
      <c r="C62" s="479">
        <f>SUM(C57:C61)</f>
        <v>184974</v>
      </c>
      <c r="D62" s="479">
        <f>SUM(D57:D61)</f>
        <v>381495</v>
      </c>
    </row>
    <row r="63" spans="1:4" ht="15" customHeight="1">
      <c r="A63" s="480"/>
      <c r="B63" s="369"/>
      <c r="C63" s="481"/>
      <c r="D63" s="482"/>
    </row>
    <row r="64" spans="1:4" ht="15" customHeight="1">
      <c r="A64" s="339" t="s">
        <v>245</v>
      </c>
      <c r="B64" s="483">
        <f>'2_f_h_sz_ melléklet'!C105</f>
        <v>214902</v>
      </c>
      <c r="C64" s="483">
        <f>'2_l_sz_ melléklet'!C70</f>
        <v>28491</v>
      </c>
      <c r="D64" s="484">
        <f>SUM(B64:C64)</f>
        <v>243393</v>
      </c>
    </row>
    <row r="65" spans="1:4" ht="15" customHeight="1">
      <c r="A65" s="114" t="s">
        <v>246</v>
      </c>
      <c r="B65" s="485">
        <f>'2_f_h_sz_ melléklet'!C73</f>
        <v>1475</v>
      </c>
      <c r="C65" s="499">
        <f>'2_l_sz_ melléklet'!C71</f>
        <v>0</v>
      </c>
      <c r="D65" s="484">
        <f>SUM(B65:C65)</f>
        <v>1475</v>
      </c>
    </row>
    <row r="66" spans="1:4" ht="15" customHeight="1">
      <c r="A66" s="114" t="s">
        <v>247</v>
      </c>
      <c r="B66" s="485">
        <f>'2_f_h_sz_ melléklet'!C153</f>
        <v>2453928</v>
      </c>
      <c r="C66" s="499">
        <f>'2_l_sz_ melléklet'!C72</f>
        <v>17260</v>
      </c>
      <c r="D66" s="484">
        <f>SUM(B66:C66)</f>
        <v>2471188</v>
      </c>
    </row>
    <row r="67" spans="1:4" ht="15" customHeight="1">
      <c r="A67" s="340" t="s">
        <v>246</v>
      </c>
      <c r="B67" s="486">
        <v>0</v>
      </c>
      <c r="C67" s="500">
        <f>'2_l_sz_ melléklet'!C73</f>
        <v>0</v>
      </c>
      <c r="D67" s="484">
        <f>SUM(B67:C67)</f>
        <v>0</v>
      </c>
    </row>
    <row r="68" spans="1:4" ht="15" customHeight="1">
      <c r="A68" s="109" t="s">
        <v>421</v>
      </c>
      <c r="B68" s="437">
        <f>B64+B66</f>
        <v>2668830</v>
      </c>
      <c r="C68" s="479">
        <f>C64+C66</f>
        <v>45751</v>
      </c>
      <c r="D68" s="479">
        <f>C68+B68</f>
        <v>2714581</v>
      </c>
    </row>
    <row r="69" spans="1:4" ht="15" customHeight="1">
      <c r="A69" s="480"/>
      <c r="B69" s="484"/>
      <c r="C69" s="487"/>
      <c r="D69" s="487"/>
    </row>
    <row r="70" spans="1:4" ht="15" customHeight="1">
      <c r="A70" s="107" t="s">
        <v>486</v>
      </c>
      <c r="B70" s="369">
        <f>'2_i_j_sz_ mell_'!D19</f>
        <v>52261</v>
      </c>
      <c r="C70" s="477">
        <f>'2_l_sz_ melléklet'!C76</f>
        <v>0</v>
      </c>
      <c r="D70" s="477">
        <f>SUM(B70:C70)</f>
        <v>52261</v>
      </c>
    </row>
    <row r="71" spans="1:4" ht="15" customHeight="1" thickBot="1">
      <c r="A71" s="108" t="s">
        <v>487</v>
      </c>
      <c r="B71" s="67">
        <f>'2_i_j_sz_ mell_'!D68</f>
        <v>100</v>
      </c>
      <c r="C71" s="487">
        <f>'2_l_sz_ melléklet'!C77</f>
        <v>0</v>
      </c>
      <c r="D71" s="477">
        <f>SUM(B71:C71)</f>
        <v>100</v>
      </c>
    </row>
    <row r="72" spans="1:4" ht="15" customHeight="1" thickBot="1">
      <c r="A72" s="109" t="s">
        <v>488</v>
      </c>
      <c r="B72" s="437">
        <f>SUM(B70:B71)</f>
        <v>52361</v>
      </c>
      <c r="C72" s="906">
        <f>SUM(C70:C71)</f>
        <v>0</v>
      </c>
      <c r="D72" s="906">
        <f>SUM(D70:D71)</f>
        <v>52361</v>
      </c>
    </row>
    <row r="73" spans="1:4" ht="15" customHeight="1">
      <c r="A73" s="480"/>
      <c r="B73" s="514"/>
      <c r="C73" s="1207"/>
      <c r="D73" s="1207"/>
    </row>
    <row r="74" spans="1:4" ht="15" customHeight="1">
      <c r="A74" s="107" t="s">
        <v>257</v>
      </c>
      <c r="B74" s="74">
        <f>'2_m_n_sz_ melléklet'!B21</f>
        <v>268</v>
      </c>
      <c r="C74" s="920">
        <f>'2_l_sz_ melléklet'!C80</f>
        <v>0</v>
      </c>
      <c r="D74" s="920">
        <f>SUM(B74:C74)</f>
        <v>268</v>
      </c>
    </row>
    <row r="75" spans="1:4" ht="15" customHeight="1">
      <c r="A75" s="107" t="s">
        <v>258</v>
      </c>
      <c r="B75" s="74">
        <f>'2_i_j_sz_ mell_'!E83</f>
        <v>4090</v>
      </c>
      <c r="C75" s="920"/>
      <c r="D75" s="920">
        <f>SUM(B75:C75)</f>
        <v>4090</v>
      </c>
    </row>
    <row r="76" spans="1:4" ht="15" customHeight="1" thickBot="1">
      <c r="A76" s="107" t="s">
        <v>500</v>
      </c>
      <c r="B76" s="74">
        <v>0</v>
      </c>
      <c r="C76" s="1208">
        <f>'2_l_sz_ melléklet'!C81</f>
        <v>0</v>
      </c>
      <c r="D76" s="1208">
        <f>SUM(B76:C76)</f>
        <v>0</v>
      </c>
    </row>
    <row r="77" spans="1:4" ht="30" customHeight="1" thickBot="1">
      <c r="A77" s="348" t="s">
        <v>490</v>
      </c>
      <c r="B77" s="437">
        <f>SUM(B74:B76)</f>
        <v>4358</v>
      </c>
      <c r="C77" s="440">
        <f>SUM(C74:C76)</f>
        <v>0</v>
      </c>
      <c r="D77" s="440">
        <f>SUM(D74:D76)</f>
        <v>4358</v>
      </c>
    </row>
    <row r="78" spans="1:4" ht="15" customHeight="1" thickBot="1">
      <c r="A78" s="489"/>
      <c r="B78" s="490"/>
      <c r="C78" s="490"/>
      <c r="D78" s="490"/>
    </row>
    <row r="79" spans="1:4" ht="15" customHeight="1">
      <c r="A79" s="109" t="s">
        <v>491</v>
      </c>
      <c r="B79" s="437">
        <f>B77+B72+B68+B62</f>
        <v>2922070</v>
      </c>
      <c r="C79" s="437">
        <f>C77+C72+C68+C62</f>
        <v>230725</v>
      </c>
      <c r="D79" s="437">
        <f>D77+D72+D68+D62</f>
        <v>3152795</v>
      </c>
    </row>
    <row r="80" spans="1:4" ht="15" customHeight="1">
      <c r="A80" s="120"/>
      <c r="B80" s="437"/>
      <c r="C80" s="491"/>
      <c r="D80" s="491"/>
    </row>
    <row r="81" spans="1:4" ht="15" customHeight="1">
      <c r="A81" s="120" t="s">
        <v>492</v>
      </c>
      <c r="B81" s="437">
        <f>B82</f>
        <v>1348014</v>
      </c>
      <c r="C81" s="437">
        <f>SUM(C82)</f>
        <v>9016</v>
      </c>
      <c r="D81" s="437">
        <f>SUM(D82)</f>
        <v>1357030</v>
      </c>
    </row>
    <row r="82" spans="1:4" ht="15" customHeight="1">
      <c r="A82" s="107" t="s">
        <v>493</v>
      </c>
      <c r="B82" s="56">
        <f>B83+B84</f>
        <v>1348014</v>
      </c>
      <c r="C82" s="74">
        <f>'2_l_sz_ melléklet'!C87</f>
        <v>9016</v>
      </c>
      <c r="D82" s="56">
        <f>D83+D84</f>
        <v>1357030</v>
      </c>
    </row>
    <row r="83" spans="1:4" ht="15" customHeight="1">
      <c r="A83" s="107" t="s">
        <v>494</v>
      </c>
      <c r="B83" s="67">
        <f>4128+20485+5798+5+2525+29880-4128+68115</f>
        <v>126808</v>
      </c>
      <c r="C83" s="74">
        <f>'2_l_sz_ melléklet'!C88</f>
        <v>9016</v>
      </c>
      <c r="D83" s="67">
        <f>SUM(B83:C83)</f>
        <v>135824</v>
      </c>
    </row>
    <row r="84" spans="1:4" ht="15" customHeight="1">
      <c r="A84" s="107" t="s">
        <v>495</v>
      </c>
      <c r="B84" s="56">
        <f>30034+553529+42454+2675+49486+2925+518053+4128+90606-72684</f>
        <v>1221206</v>
      </c>
      <c r="C84" s="74">
        <f>'2_l_sz_ melléklet'!C89</f>
        <v>0</v>
      </c>
      <c r="D84" s="56">
        <f>SUM(B84:C84)</f>
        <v>1221206</v>
      </c>
    </row>
    <row r="85" spans="1:4" ht="15" customHeight="1">
      <c r="A85" s="120"/>
      <c r="B85" s="440"/>
      <c r="C85" s="491"/>
      <c r="D85" s="491"/>
    </row>
    <row r="86" spans="1:4" ht="15" customHeight="1">
      <c r="A86" s="234" t="s">
        <v>263</v>
      </c>
      <c r="B86" s="92">
        <f>B87+B88</f>
        <v>0</v>
      </c>
      <c r="C86" s="92">
        <f>C87+C88</f>
        <v>0</v>
      </c>
      <c r="D86" s="92">
        <f>D87+D88</f>
        <v>0</v>
      </c>
    </row>
    <row r="87" spans="1:4" ht="15" customHeight="1">
      <c r="A87" s="353" t="s">
        <v>264</v>
      </c>
      <c r="B87" s="82">
        <v>0</v>
      </c>
      <c r="C87" s="90">
        <v>0</v>
      </c>
      <c r="D87" s="481">
        <f>SUM(B87:C87)</f>
        <v>0</v>
      </c>
    </row>
    <row r="88" spans="1:4" ht="15" customHeight="1">
      <c r="A88" s="107" t="s">
        <v>265</v>
      </c>
      <c r="B88" s="56">
        <v>0</v>
      </c>
      <c r="C88" s="57">
        <v>0</v>
      </c>
      <c r="D88" s="484">
        <f>SUM(B88:C88)</f>
        <v>0</v>
      </c>
    </row>
    <row r="89" spans="1:4" ht="15" customHeight="1">
      <c r="A89" s="489"/>
      <c r="B89" s="492"/>
      <c r="C89" s="493"/>
      <c r="D89" s="494"/>
    </row>
    <row r="90" spans="1:4" ht="15" customHeight="1">
      <c r="A90" s="109" t="s">
        <v>496</v>
      </c>
      <c r="B90" s="437"/>
      <c r="C90" s="479">
        <f>'2_l_sz_ melléklet'!C95</f>
        <v>1646599</v>
      </c>
      <c r="D90" s="495">
        <f>B90+C90</f>
        <v>1646599</v>
      </c>
    </row>
    <row r="91" spans="1:4" ht="15" customHeight="1">
      <c r="A91" s="489"/>
      <c r="B91" s="490"/>
      <c r="C91" s="490"/>
      <c r="D91" s="490"/>
    </row>
    <row r="92" spans="1:4" ht="15" customHeight="1">
      <c r="A92" s="109" t="s">
        <v>497</v>
      </c>
      <c r="B92" s="437">
        <f>B90+B86+B79+B81</f>
        <v>4270084</v>
      </c>
      <c r="C92" s="437">
        <f>C90+C86+C79+C81</f>
        <v>1886340</v>
      </c>
      <c r="D92" s="437">
        <f>D90+D86+D79+D81</f>
        <v>6156424</v>
      </c>
    </row>
    <row r="93" ht="15" customHeight="1"/>
  </sheetData>
  <sheetProtection/>
  <mergeCells count="7">
    <mergeCell ref="A53:D53"/>
    <mergeCell ref="C1:D1"/>
    <mergeCell ref="A4:D4"/>
    <mergeCell ref="A5:D5"/>
    <mergeCell ref="A49:E49"/>
    <mergeCell ref="C50:D50"/>
    <mergeCell ref="A52:D5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22">
      <selection activeCell="C43" sqref="C43"/>
    </sheetView>
  </sheetViews>
  <sheetFormatPr defaultColWidth="9.140625" defaultRowHeight="12.75"/>
  <cols>
    <col min="1" max="1" width="37.57421875" style="0" customWidth="1"/>
    <col min="2" max="2" width="9.421875" style="0" customWidth="1"/>
    <col min="3" max="4" width="9.8515625" style="0" customWidth="1"/>
    <col min="5" max="5" width="11.00390625" style="0" customWidth="1"/>
  </cols>
  <sheetData>
    <row r="1" spans="4:5" ht="12.75">
      <c r="D1" s="1402" t="s">
        <v>501</v>
      </c>
      <c r="E1" s="1402"/>
    </row>
    <row r="2" spans="4:5" ht="12.75">
      <c r="D2" s="441"/>
      <c r="E2" s="441"/>
    </row>
    <row r="4" spans="1:6" ht="15.75">
      <c r="A4" s="1382" t="s">
        <v>502</v>
      </c>
      <c r="B4" s="1382"/>
      <c r="C4" s="1382"/>
      <c r="D4" s="1382"/>
      <c r="E4" s="1382"/>
      <c r="F4" s="1382"/>
    </row>
    <row r="5" spans="1:6" ht="15.75">
      <c r="A5" s="1382" t="s">
        <v>503</v>
      </c>
      <c r="B5" s="1382"/>
      <c r="C5" s="1382"/>
      <c r="D5" s="1382"/>
      <c r="E5" s="1382"/>
      <c r="F5" s="1382"/>
    </row>
    <row r="6" spans="1:5" ht="15.75">
      <c r="A6" s="44"/>
      <c r="B6" s="44"/>
      <c r="C6" s="44"/>
      <c r="D6" s="44"/>
      <c r="E6" s="44"/>
    </row>
    <row r="8" spans="4:5" ht="13.5" thickBot="1">
      <c r="D8" s="441"/>
      <c r="E8" s="441" t="s">
        <v>33</v>
      </c>
    </row>
    <row r="9" spans="1:6" ht="46.5" customHeight="1" thickBot="1">
      <c r="A9" s="457" t="s">
        <v>303</v>
      </c>
      <c r="B9" s="498" t="s">
        <v>504</v>
      </c>
      <c r="C9" s="498" t="s">
        <v>505</v>
      </c>
      <c r="D9" s="498" t="s">
        <v>107</v>
      </c>
      <c r="E9" s="498" t="s">
        <v>108</v>
      </c>
      <c r="F9" s="104" t="s">
        <v>506</v>
      </c>
    </row>
    <row r="10" spans="1:6" ht="12.75">
      <c r="A10" s="358" t="s">
        <v>482</v>
      </c>
      <c r="B10" s="501">
        <v>0</v>
      </c>
      <c r="C10" s="501">
        <v>0</v>
      </c>
      <c r="D10" s="232">
        <v>0</v>
      </c>
      <c r="E10" s="129">
        <v>0</v>
      </c>
      <c r="F10" s="129">
        <f>4000+1200</f>
        <v>5200</v>
      </c>
    </row>
    <row r="11" spans="1:6" ht="12.75">
      <c r="A11" s="89" t="s">
        <v>272</v>
      </c>
      <c r="B11" s="502"/>
      <c r="C11" s="502"/>
      <c r="D11" s="369">
        <v>6950</v>
      </c>
      <c r="E11" s="248">
        <v>3495</v>
      </c>
      <c r="F11" s="75">
        <f>25020-4000+4900</f>
        <v>25920</v>
      </c>
    </row>
    <row r="12" spans="1:6" ht="12.75">
      <c r="A12" s="107" t="s">
        <v>483</v>
      </c>
      <c r="B12" s="74"/>
      <c r="C12" s="74"/>
      <c r="D12" s="56"/>
      <c r="E12" s="248"/>
      <c r="F12" s="75">
        <v>3500</v>
      </c>
    </row>
    <row r="13" spans="1:6" ht="12.75">
      <c r="A13" s="478" t="s">
        <v>274</v>
      </c>
      <c r="B13" s="70"/>
      <c r="C13" s="70"/>
      <c r="D13" s="82"/>
      <c r="E13" s="248">
        <v>300</v>
      </c>
      <c r="F13" s="75">
        <v>200</v>
      </c>
    </row>
    <row r="14" spans="1:6" ht="13.5" thickBot="1">
      <c r="A14" s="342" t="s">
        <v>484</v>
      </c>
      <c r="B14" s="74">
        <v>0</v>
      </c>
      <c r="C14" s="74">
        <v>0</v>
      </c>
      <c r="D14" s="56">
        <f>'2_a_d_sz_ melléklet'!C25+'2_a_d_sz_ melléklet'!C26+'2_a_d_sz_ melléklet'!C27+'2_a_d_sz_ melléklet'!C28</f>
        <v>772</v>
      </c>
      <c r="E14" s="75">
        <f>'2_a_d_sz_ melléklet'!C23+'2_a_d_sz_ melléklet'!C24</f>
        <v>1000</v>
      </c>
      <c r="F14" s="75">
        <f>'2_a_d_sz_ melléklet'!C21</f>
        <v>400</v>
      </c>
    </row>
    <row r="15" spans="1:6" s="110" customFormat="1" ht="13.5" thickBot="1">
      <c r="A15" s="109" t="s">
        <v>485</v>
      </c>
      <c r="B15" s="79">
        <f>SUM(B10:B14)</f>
        <v>0</v>
      </c>
      <c r="C15" s="79">
        <f>SUM(C10:C14)</f>
        <v>0</v>
      </c>
      <c r="D15" s="62">
        <f>SUM(D10:D14)</f>
        <v>7722</v>
      </c>
      <c r="E15" s="80">
        <f>SUM(E10:E14)</f>
        <v>4795</v>
      </c>
      <c r="F15" s="80">
        <f>SUM(F10:F14)</f>
        <v>35220</v>
      </c>
    </row>
    <row r="16" spans="1:6" ht="13.5" thickBot="1">
      <c r="A16" s="480"/>
      <c r="B16" s="128"/>
      <c r="C16" s="502"/>
      <c r="D16" s="481"/>
      <c r="E16" s="503"/>
      <c r="F16" s="503"/>
    </row>
    <row r="17" spans="1:6" ht="12.75">
      <c r="A17" s="339" t="s">
        <v>245</v>
      </c>
      <c r="B17" s="504">
        <f>'2_f_h_sz_ melléklet'!C119</f>
        <v>94</v>
      </c>
      <c r="C17" s="504">
        <v>0</v>
      </c>
      <c r="D17" s="505">
        <f>'2_f_h_sz_ melléklet'!C120+'2_f_h_sz_ melléklet'!C121+'2_f_h_sz_ melléklet'!C122+'2_f_h_sz_ melléklet'!C123+'2_f_h_sz_ melléklet'!C124</f>
        <v>5044</v>
      </c>
      <c r="E17" s="1171">
        <f>'2_f_h_sz_ melléklet'!C125+'2_f_h_sz_ melléklet'!C126+'2_f_h_sz_ melléklet'!C127</f>
        <v>4243</v>
      </c>
      <c r="F17" s="1171">
        <f>'2_f_h_sz_ melléklet'!C128+'2_f_h_sz_ melléklet'!C129</f>
        <v>18451</v>
      </c>
    </row>
    <row r="18" spans="1:6" ht="12.75">
      <c r="A18" s="114" t="s">
        <v>246</v>
      </c>
      <c r="B18" s="506">
        <v>0</v>
      </c>
      <c r="C18" s="506">
        <v>0</v>
      </c>
      <c r="D18" s="507">
        <v>0</v>
      </c>
      <c r="E18" s="1172">
        <v>0</v>
      </c>
      <c r="F18" s="1172">
        <v>0</v>
      </c>
    </row>
    <row r="19" spans="1:6" ht="12.75">
      <c r="A19" s="114" t="s">
        <v>247</v>
      </c>
      <c r="B19" s="506">
        <v>0</v>
      </c>
      <c r="C19" s="506">
        <v>0</v>
      </c>
      <c r="D19" s="507">
        <v>0</v>
      </c>
      <c r="E19" s="1172">
        <f>'2_f_h_sz_ melléklet'!C154+'2_f_h_sz_ melléklet'!C155</f>
        <v>7260</v>
      </c>
      <c r="F19" s="1172">
        <f>'2_f_h_sz_ melléklet'!C156+'2_f_h_sz_ melléklet'!C157</f>
        <v>10000</v>
      </c>
    </row>
    <row r="20" spans="1:6" ht="13.5" thickBot="1">
      <c r="A20" s="340" t="s">
        <v>246</v>
      </c>
      <c r="B20" s="508">
        <v>0</v>
      </c>
      <c r="C20" s="508">
        <v>0</v>
      </c>
      <c r="D20" s="509">
        <v>0</v>
      </c>
      <c r="E20" s="1173">
        <v>0</v>
      </c>
      <c r="F20" s="1173">
        <v>0</v>
      </c>
    </row>
    <row r="21" spans="1:6" ht="13.5" thickBot="1">
      <c r="A21" s="109" t="s">
        <v>421</v>
      </c>
      <c r="B21" s="79">
        <f>B17+B19</f>
        <v>94</v>
      </c>
      <c r="C21" s="79">
        <f>C17+C19</f>
        <v>0</v>
      </c>
      <c r="D21" s="62">
        <f>D17+D19</f>
        <v>5044</v>
      </c>
      <c r="E21" s="80">
        <f>E17+E19</f>
        <v>11503</v>
      </c>
      <c r="F21" s="80">
        <f>F17+F19</f>
        <v>28451</v>
      </c>
    </row>
    <row r="22" spans="1:6" ht="12.75">
      <c r="A22" s="480"/>
      <c r="B22" s="225"/>
      <c r="C22" s="510"/>
      <c r="D22" s="484"/>
      <c r="E22" s="487"/>
      <c r="F22" s="487"/>
    </row>
    <row r="23" spans="1:6" ht="12.75">
      <c r="A23" s="107" t="s">
        <v>486</v>
      </c>
      <c r="B23" s="74">
        <v>0</v>
      </c>
      <c r="C23" s="502">
        <v>0</v>
      </c>
      <c r="D23" s="369">
        <v>0</v>
      </c>
      <c r="E23" s="477">
        <v>0</v>
      </c>
      <c r="F23" s="477">
        <v>0</v>
      </c>
    </row>
    <row r="24" spans="1:6" ht="13.5" thickBot="1">
      <c r="A24" s="114" t="s">
        <v>487</v>
      </c>
      <c r="B24" s="511">
        <v>0</v>
      </c>
      <c r="C24" s="70">
        <v>0</v>
      </c>
      <c r="D24" s="371">
        <v>0</v>
      </c>
      <c r="E24" s="512">
        <f>'2_i_j_sz_ mell_'!D59</f>
        <v>0</v>
      </c>
      <c r="F24" s="512">
        <f>'2_i_j_sz_ mell_'!D60</f>
        <v>0</v>
      </c>
    </row>
    <row r="25" spans="1:6" ht="13.5" thickBot="1">
      <c r="A25" s="109" t="s">
        <v>488</v>
      </c>
      <c r="B25" s="513">
        <f>B24+B23</f>
        <v>0</v>
      </c>
      <c r="C25" s="436">
        <f>C24+C23</f>
        <v>0</v>
      </c>
      <c r="D25" s="437">
        <f>D24+D23</f>
        <v>0</v>
      </c>
      <c r="E25" s="479">
        <f>E24+E23</f>
        <v>0</v>
      </c>
      <c r="F25" s="479">
        <f>F24+F23</f>
        <v>0</v>
      </c>
    </row>
    <row r="26" spans="1:6" ht="12.75">
      <c r="A26" s="480"/>
      <c r="B26" s="128"/>
      <c r="C26" s="514"/>
      <c r="D26" s="484"/>
      <c r="E26" s="487"/>
      <c r="F26" s="487"/>
    </row>
    <row r="27" spans="1:6" ht="12.75">
      <c r="A27" s="107" t="s">
        <v>257</v>
      </c>
      <c r="B27" s="74">
        <v>0</v>
      </c>
      <c r="C27" s="74">
        <v>0</v>
      </c>
      <c r="D27" s="56">
        <v>0</v>
      </c>
      <c r="E27" s="75">
        <v>0</v>
      </c>
      <c r="F27" s="75">
        <v>0</v>
      </c>
    </row>
    <row r="28" spans="1:6" ht="13.5" thickBot="1">
      <c r="A28" s="107" t="s">
        <v>489</v>
      </c>
      <c r="B28" s="273">
        <v>0</v>
      </c>
      <c r="C28" s="74">
        <v>0</v>
      </c>
      <c r="D28" s="56">
        <v>0</v>
      </c>
      <c r="E28" s="75">
        <v>0</v>
      </c>
      <c r="F28" s="75">
        <v>0</v>
      </c>
    </row>
    <row r="29" spans="1:6" ht="30" customHeight="1" thickBot="1">
      <c r="A29" s="348" t="s">
        <v>490</v>
      </c>
      <c r="B29" s="436">
        <f>B27+B28</f>
        <v>0</v>
      </c>
      <c r="C29" s="436">
        <f>C27+C28</f>
        <v>0</v>
      </c>
      <c r="D29" s="437">
        <f>D27+D28</f>
        <v>0</v>
      </c>
      <c r="E29" s="479">
        <f>E27+E28</f>
        <v>0</v>
      </c>
      <c r="F29" s="479">
        <f>F27+F28</f>
        <v>0</v>
      </c>
    </row>
    <row r="30" spans="1:6" ht="13.5" thickBot="1">
      <c r="A30" s="489"/>
      <c r="B30" s="230"/>
      <c r="C30" s="515"/>
      <c r="D30" s="490"/>
      <c r="E30" s="516"/>
      <c r="F30" s="516"/>
    </row>
    <row r="31" spans="1:6" ht="13.5" thickBot="1">
      <c r="A31" s="109" t="s">
        <v>491</v>
      </c>
      <c r="B31" s="436">
        <f>B29+B25+B21+B15</f>
        <v>94</v>
      </c>
      <c r="C31" s="436">
        <f>C29+C25+C21+C15</f>
        <v>0</v>
      </c>
      <c r="D31" s="436">
        <f>D29+D25+D21+D15</f>
        <v>12766</v>
      </c>
      <c r="E31" s="436">
        <f>E29+E25+E21+E15</f>
        <v>16298</v>
      </c>
      <c r="F31" s="437">
        <f>F29+F25+F21+F15</f>
        <v>63671</v>
      </c>
    </row>
    <row r="32" spans="1:6" ht="13.5" thickBot="1">
      <c r="A32" s="115"/>
      <c r="B32" s="513"/>
      <c r="C32" s="513"/>
      <c r="D32" s="517"/>
      <c r="E32" s="491"/>
      <c r="F32" s="491"/>
    </row>
    <row r="33" spans="1:6" ht="13.5" thickBot="1">
      <c r="A33" s="109" t="s">
        <v>492</v>
      </c>
      <c r="B33" s="436">
        <f>B34</f>
        <v>27</v>
      </c>
      <c r="C33" s="436">
        <f>C34</f>
        <v>0</v>
      </c>
      <c r="D33" s="437">
        <f>D34</f>
        <v>6976</v>
      </c>
      <c r="E33" s="479">
        <f>E34</f>
        <v>983</v>
      </c>
      <c r="F33" s="479">
        <f>F34</f>
        <v>1030</v>
      </c>
    </row>
    <row r="34" spans="1:6" ht="12.75">
      <c r="A34" s="106" t="s">
        <v>493</v>
      </c>
      <c r="B34" s="225">
        <f>B35+B36</f>
        <v>27</v>
      </c>
      <c r="C34" s="225">
        <f>C35+C36</f>
        <v>0</v>
      </c>
      <c r="D34" s="67">
        <f>D35+D36</f>
        <v>6976</v>
      </c>
      <c r="E34" s="113">
        <f>E35+E36</f>
        <v>983</v>
      </c>
      <c r="F34" s="113">
        <f>F35+F36</f>
        <v>1030</v>
      </c>
    </row>
    <row r="35" spans="1:6" ht="12.75">
      <c r="A35" s="107" t="s">
        <v>494</v>
      </c>
      <c r="B35" s="74">
        <v>27</v>
      </c>
      <c r="C35" s="74">
        <v>0</v>
      </c>
      <c r="D35" s="56">
        <v>6976</v>
      </c>
      <c r="E35" s="75">
        <f>214+769</f>
        <v>983</v>
      </c>
      <c r="F35" s="75">
        <v>1030</v>
      </c>
    </row>
    <row r="36" spans="1:6" ht="12.75">
      <c r="A36" s="107" t="s">
        <v>495</v>
      </c>
      <c r="B36" s="74">
        <v>0</v>
      </c>
      <c r="C36" s="74">
        <v>0</v>
      </c>
      <c r="D36" s="56">
        <v>0</v>
      </c>
      <c r="E36" s="75">
        <v>0</v>
      </c>
      <c r="F36" s="75">
        <v>0</v>
      </c>
    </row>
    <row r="37" spans="1:6" ht="13.5" thickBot="1">
      <c r="A37" s="120"/>
      <c r="B37" s="518"/>
      <c r="C37" s="518"/>
      <c r="D37" s="517"/>
      <c r="E37" s="491"/>
      <c r="F37" s="491"/>
    </row>
    <row r="38" spans="1:6" ht="13.5" thickBot="1">
      <c r="A38" s="234" t="s">
        <v>263</v>
      </c>
      <c r="B38" s="125">
        <f>B39+B40</f>
        <v>0</v>
      </c>
      <c r="C38" s="125">
        <f>C39+C40</f>
        <v>0</v>
      </c>
      <c r="D38" s="92">
        <f>D39+D40</f>
        <v>0</v>
      </c>
      <c r="E38" s="519">
        <f>E39+E40</f>
        <v>0</v>
      </c>
      <c r="F38" s="519">
        <f>F39+F40</f>
        <v>0</v>
      </c>
    </row>
    <row r="39" spans="1:6" ht="12.75">
      <c r="A39" s="353" t="s">
        <v>264</v>
      </c>
      <c r="B39" s="230">
        <v>0</v>
      </c>
      <c r="C39" s="70">
        <v>0</v>
      </c>
      <c r="D39" s="82">
        <v>0</v>
      </c>
      <c r="E39" s="520">
        <v>0</v>
      </c>
      <c r="F39" s="520">
        <v>0</v>
      </c>
    </row>
    <row r="40" spans="1:6" ht="12.75">
      <c r="A40" s="107" t="s">
        <v>265</v>
      </c>
      <c r="B40" s="74">
        <v>0</v>
      </c>
      <c r="C40" s="74">
        <v>0</v>
      </c>
      <c r="D40" s="56">
        <v>0</v>
      </c>
      <c r="E40" s="477">
        <v>0</v>
      </c>
      <c r="F40" s="477">
        <v>0</v>
      </c>
    </row>
    <row r="41" spans="1:6" ht="13.5" thickBot="1">
      <c r="A41" s="489"/>
      <c r="B41" s="70"/>
      <c r="C41" s="521"/>
      <c r="D41" s="490"/>
      <c r="E41" s="522"/>
      <c r="F41" s="522"/>
    </row>
    <row r="42" spans="1:6" ht="13.5" thickBot="1">
      <c r="A42" s="109" t="s">
        <v>496</v>
      </c>
      <c r="B42" s="436">
        <v>264631</v>
      </c>
      <c r="C42" s="436">
        <f>229950-1000</f>
        <v>228950</v>
      </c>
      <c r="D42" s="437">
        <f>500214-3570</f>
        <v>496644</v>
      </c>
      <c r="E42" s="479">
        <f>186457+7085+196+161+229+630+500+982+3033+80+3076+1410+152+1400+469+469-125+76</f>
        <v>206280</v>
      </c>
      <c r="F42" s="495">
        <f>247252+837+8842+459+319+161+38+857+1125+720+4250+2525+5258+3700+547+1400+458+296</f>
        <v>279044</v>
      </c>
    </row>
    <row r="43" spans="1:6" ht="13.5" thickBot="1">
      <c r="A43" s="489"/>
      <c r="B43" s="230"/>
      <c r="C43" s="515"/>
      <c r="D43" s="490"/>
      <c r="E43" s="516"/>
      <c r="F43" s="516"/>
    </row>
    <row r="44" spans="1:6" ht="13.5" thickBot="1">
      <c r="A44" s="109" t="s">
        <v>497</v>
      </c>
      <c r="B44" s="436">
        <f>B31+B38+B42+B33</f>
        <v>264752</v>
      </c>
      <c r="C44" s="436">
        <f>C31+C38+C42+C33</f>
        <v>228950</v>
      </c>
      <c r="D44" s="436">
        <f>D31+D38+D42+D33</f>
        <v>516386</v>
      </c>
      <c r="E44" s="437">
        <f>E31+E38+E42+E33</f>
        <v>223561</v>
      </c>
      <c r="F44" s="437">
        <f>F31+F38+F42+F33</f>
        <v>343745</v>
      </c>
    </row>
    <row r="53" spans="1:6" ht="12.75">
      <c r="A53" s="1391">
        <v>2</v>
      </c>
      <c r="B53" s="1391"/>
      <c r="C53" s="1391"/>
      <c r="D53" s="1391"/>
      <c r="E53" s="1391"/>
      <c r="F53" s="1391"/>
    </row>
    <row r="55" spans="4:5" ht="12.75">
      <c r="D55" s="1402" t="s">
        <v>501</v>
      </c>
      <c r="E55" s="1402"/>
    </row>
    <row r="56" spans="4:5" ht="12.75">
      <c r="D56" s="441"/>
      <c r="E56" s="441"/>
    </row>
    <row r="58" spans="1:6" ht="15.75">
      <c r="A58" s="1382" t="s">
        <v>502</v>
      </c>
      <c r="B58" s="1382"/>
      <c r="C58" s="1382"/>
      <c r="D58" s="1382"/>
      <c r="E58" s="1382"/>
      <c r="F58" s="1382"/>
    </row>
    <row r="59" spans="1:6" ht="15.75">
      <c r="A59" s="1382" t="s">
        <v>503</v>
      </c>
      <c r="B59" s="1382"/>
      <c r="C59" s="1382"/>
      <c r="D59" s="1382"/>
      <c r="E59" s="1382"/>
      <c r="F59" s="1382"/>
    </row>
    <row r="61" spans="4:5" ht="13.5" thickBot="1">
      <c r="D61" s="441"/>
      <c r="E61" s="441" t="s">
        <v>33</v>
      </c>
    </row>
    <row r="62" spans="1:5" ht="59.25" customHeight="1" thickBot="1">
      <c r="A62" s="457" t="s">
        <v>303</v>
      </c>
      <c r="B62" s="523" t="s">
        <v>507</v>
      </c>
      <c r="C62" s="524" t="s">
        <v>508</v>
      </c>
      <c r="D62" s="104" t="s">
        <v>509</v>
      </c>
      <c r="E62" s="498" t="s">
        <v>510</v>
      </c>
    </row>
    <row r="63" spans="1:5" ht="12.75">
      <c r="A63" s="358" t="s">
        <v>482</v>
      </c>
      <c r="B63" s="525">
        <v>0</v>
      </c>
      <c r="C63" s="526">
        <f>B63+B10+C10+D10+E10+F10</f>
        <v>5200</v>
      </c>
      <c r="D63" s="232">
        <v>0</v>
      </c>
      <c r="E63" s="247">
        <f>D63+C63</f>
        <v>5200</v>
      </c>
    </row>
    <row r="64" spans="1:5" ht="12.75">
      <c r="A64" s="89" t="s">
        <v>272</v>
      </c>
      <c r="B64" s="403">
        <f>112990-4061</f>
        <v>108929</v>
      </c>
      <c r="C64" s="406">
        <f>B64+B11+C11+D11+E11+F11</f>
        <v>145294</v>
      </c>
      <c r="D64" s="369"/>
      <c r="E64" s="248">
        <f>D64+C64</f>
        <v>145294</v>
      </c>
    </row>
    <row r="65" spans="1:5" ht="12.75">
      <c r="A65" s="107" t="s">
        <v>483</v>
      </c>
      <c r="B65" s="403">
        <v>28248</v>
      </c>
      <c r="C65" s="406">
        <f>B65+B12+C12+D12+E12+F12</f>
        <v>31748</v>
      </c>
      <c r="D65" s="56"/>
      <c r="E65" s="248">
        <f>D65+C65</f>
        <v>31748</v>
      </c>
    </row>
    <row r="66" spans="1:5" ht="12.75">
      <c r="A66" s="478" t="s">
        <v>274</v>
      </c>
      <c r="B66" s="403">
        <v>60</v>
      </c>
      <c r="C66" s="406">
        <f>B66+B13+C13+D13+E13+F13</f>
        <v>560</v>
      </c>
      <c r="D66" s="82">
        <v>0</v>
      </c>
      <c r="E66" s="248">
        <f>D66+C66</f>
        <v>560</v>
      </c>
    </row>
    <row r="67" spans="1:5" ht="13.5" thickBot="1">
      <c r="A67" s="342" t="s">
        <v>484</v>
      </c>
      <c r="B67" s="527"/>
      <c r="C67" s="406">
        <f>B67+B14+C14+D14+E14+F14</f>
        <v>2172</v>
      </c>
      <c r="D67" s="56"/>
      <c r="E67" s="94">
        <f>D67+C67</f>
        <v>2172</v>
      </c>
    </row>
    <row r="68" spans="1:5" ht="13.5" thickBot="1">
      <c r="A68" s="109" t="s">
        <v>485</v>
      </c>
      <c r="B68" s="437">
        <f>SUM(B63:B67)</f>
        <v>137237</v>
      </c>
      <c r="C68" s="528">
        <f>SUM(C63:C67)</f>
        <v>184974</v>
      </c>
      <c r="D68" s="62">
        <f>SUM(D63:D67)</f>
        <v>0</v>
      </c>
      <c r="E68" s="62">
        <f>SUM(E63:E67)</f>
        <v>184974</v>
      </c>
    </row>
    <row r="69" spans="1:5" ht="13.5" thickBot="1">
      <c r="A69" s="480"/>
      <c r="B69" s="322"/>
      <c r="C69" s="529"/>
      <c r="D69" s="369"/>
      <c r="E69" s="530"/>
    </row>
    <row r="70" spans="1:5" ht="12.75">
      <c r="A70" s="339" t="s">
        <v>245</v>
      </c>
      <c r="B70" s="525">
        <f>'2_f_h_sz_ melléklet'!C130</f>
        <v>659</v>
      </c>
      <c r="C70" s="531">
        <f>B70+B17+C17+D17+E17+F17</f>
        <v>28491</v>
      </c>
      <c r="D70" s="505">
        <v>0</v>
      </c>
      <c r="E70" s="247">
        <f>D70+C70</f>
        <v>28491</v>
      </c>
    </row>
    <row r="71" spans="1:5" ht="12.75">
      <c r="A71" s="114" t="s">
        <v>246</v>
      </c>
      <c r="B71" s="108">
        <v>0</v>
      </c>
      <c r="C71" s="531">
        <f>B71+B18+C18+D18+E18+F18</f>
        <v>0</v>
      </c>
      <c r="D71" s="507">
        <v>0</v>
      </c>
      <c r="E71" s="248">
        <f>D71+C71</f>
        <v>0</v>
      </c>
    </row>
    <row r="72" spans="1:5" ht="12.75">
      <c r="A72" s="114" t="s">
        <v>247</v>
      </c>
      <c r="B72" s="224">
        <v>0</v>
      </c>
      <c r="C72" s="531">
        <f>B72+B19+C19+D19+E19+F19</f>
        <v>17260</v>
      </c>
      <c r="D72" s="507">
        <v>0</v>
      </c>
      <c r="E72" s="248">
        <f>D72+C72</f>
        <v>17260</v>
      </c>
    </row>
    <row r="73" spans="1:5" ht="13.5" thickBot="1">
      <c r="A73" s="340" t="s">
        <v>246</v>
      </c>
      <c r="B73" s="343">
        <v>0</v>
      </c>
      <c r="C73" s="531">
        <f>B73+B20+C20+D20+E20+F20</f>
        <v>0</v>
      </c>
      <c r="D73" s="509">
        <v>0</v>
      </c>
      <c r="E73" s="248">
        <f>D73+C73</f>
        <v>0</v>
      </c>
    </row>
    <row r="74" spans="1:5" ht="13.5" thickBot="1">
      <c r="A74" s="109" t="s">
        <v>421</v>
      </c>
      <c r="B74" s="62">
        <f>B70+B72</f>
        <v>659</v>
      </c>
      <c r="C74" s="62">
        <f>C70+C72</f>
        <v>45751</v>
      </c>
      <c r="D74" s="62">
        <f>D70+D72</f>
        <v>0</v>
      </c>
      <c r="E74" s="62">
        <f>E70+E72</f>
        <v>45751</v>
      </c>
    </row>
    <row r="75" spans="1:5" ht="12.75">
      <c r="A75" s="480"/>
      <c r="B75" s="532"/>
      <c r="C75" s="533"/>
      <c r="D75" s="484"/>
      <c r="E75" s="481"/>
    </row>
    <row r="76" spans="1:5" ht="12.75">
      <c r="A76" s="107" t="s">
        <v>486</v>
      </c>
      <c r="B76" s="108">
        <v>0</v>
      </c>
      <c r="C76" s="406">
        <f>B76+B23+C23+D23+E23+F23</f>
        <v>0</v>
      </c>
      <c r="D76" s="369">
        <v>0</v>
      </c>
      <c r="E76" s="94">
        <f>C76+D76</f>
        <v>0</v>
      </c>
    </row>
    <row r="77" spans="1:5" ht="13.5" thickBot="1">
      <c r="A77" s="108" t="s">
        <v>487</v>
      </c>
      <c r="B77" s="343">
        <v>0</v>
      </c>
      <c r="C77" s="406">
        <f>B77+B24+C24+D24+E24+F24</f>
        <v>0</v>
      </c>
      <c r="D77" s="67">
        <v>0</v>
      </c>
      <c r="E77" s="94">
        <f>C77+D77</f>
        <v>0</v>
      </c>
    </row>
    <row r="78" spans="1:5" ht="13.5" thickBot="1">
      <c r="A78" s="109" t="s">
        <v>488</v>
      </c>
      <c r="B78" s="437">
        <f>SUM(B76:B77)</f>
        <v>0</v>
      </c>
      <c r="C78" s="534">
        <f>SUM(C76:C77)</f>
        <v>0</v>
      </c>
      <c r="D78" s="437">
        <f>SUM(D76:D77)</f>
        <v>0</v>
      </c>
      <c r="E78" s="437">
        <f>SUM(E76:E77)</f>
        <v>0</v>
      </c>
    </row>
    <row r="79" spans="1:5" ht="12.75">
      <c r="A79" s="480"/>
      <c r="B79" s="532"/>
      <c r="C79" s="533"/>
      <c r="D79" s="488"/>
      <c r="E79" s="481"/>
    </row>
    <row r="80" spans="1:5" ht="12.75">
      <c r="A80" s="107" t="s">
        <v>257</v>
      </c>
      <c r="B80" s="108">
        <v>0</v>
      </c>
      <c r="C80" s="406">
        <f>B80+B27+C27+D27+E27+F27</f>
        <v>0</v>
      </c>
      <c r="D80" s="56">
        <v>0</v>
      </c>
      <c r="E80" s="94">
        <f>D80+C80</f>
        <v>0</v>
      </c>
    </row>
    <row r="81" spans="1:5" ht="13.5" thickBot="1">
      <c r="A81" s="107" t="s">
        <v>489</v>
      </c>
      <c r="B81" s="343">
        <v>0</v>
      </c>
      <c r="C81" s="406">
        <f>B81+B28+C28+D28+E28+F28</f>
        <v>0</v>
      </c>
      <c r="D81" s="56">
        <v>0</v>
      </c>
      <c r="E81" s="94">
        <f>D81+C81</f>
        <v>0</v>
      </c>
    </row>
    <row r="82" spans="1:5" ht="30" customHeight="1" thickBot="1">
      <c r="A82" s="348" t="s">
        <v>490</v>
      </c>
      <c r="B82" s="535">
        <f>SUM(C80:C81)</f>
        <v>0</v>
      </c>
      <c r="C82" s="536">
        <f>SUM(D80:D81)</f>
        <v>0</v>
      </c>
      <c r="D82" s="437">
        <f>SUM(D80:D81)</f>
        <v>0</v>
      </c>
      <c r="E82" s="437">
        <f>SUM(E80:E81)</f>
        <v>0</v>
      </c>
    </row>
    <row r="83" spans="1:5" ht="13.5" thickBot="1">
      <c r="A83" s="489"/>
      <c r="B83" s="537"/>
      <c r="C83" s="538"/>
      <c r="D83" s="490"/>
      <c r="E83" s="490"/>
    </row>
    <row r="84" spans="1:5" ht="13.5" thickBot="1">
      <c r="A84" s="109" t="s">
        <v>491</v>
      </c>
      <c r="B84" s="437">
        <f>B82+B78+B74+B68</f>
        <v>137896</v>
      </c>
      <c r="C84" s="437">
        <f>C82+C78+C74+C68</f>
        <v>230725</v>
      </c>
      <c r="D84" s="437">
        <f>D82+D78+D74+D68</f>
        <v>0</v>
      </c>
      <c r="E84" s="437">
        <f>C84+D84</f>
        <v>230725</v>
      </c>
    </row>
    <row r="85" spans="1:5" ht="13.5" thickBot="1">
      <c r="A85" s="120"/>
      <c r="B85" s="539"/>
      <c r="C85" s="540"/>
      <c r="D85" s="906"/>
      <c r="E85" s="491"/>
    </row>
    <row r="86" spans="1:5" ht="13.5" thickBot="1">
      <c r="A86" s="120" t="s">
        <v>492</v>
      </c>
      <c r="B86" s="535">
        <f>B87</f>
        <v>0</v>
      </c>
      <c r="C86" s="535">
        <f>C87</f>
        <v>9016</v>
      </c>
      <c r="D86" s="912">
        <f>D87</f>
        <v>567</v>
      </c>
      <c r="E86" s="909">
        <f>D86+C86</f>
        <v>9583</v>
      </c>
    </row>
    <row r="87" spans="1:5" ht="12.75">
      <c r="A87" s="107" t="s">
        <v>493</v>
      </c>
      <c r="B87" s="67">
        <v>0</v>
      </c>
      <c r="C87" s="67">
        <f>C88+C89</f>
        <v>9016</v>
      </c>
      <c r="D87" s="67">
        <f>D88+D89</f>
        <v>567</v>
      </c>
      <c r="E87" s="67">
        <f>E88+E89</f>
        <v>9583</v>
      </c>
    </row>
    <row r="88" spans="1:5" ht="12.75">
      <c r="A88" s="107" t="s">
        <v>494</v>
      </c>
      <c r="B88" s="108">
        <v>0</v>
      </c>
      <c r="C88" s="406">
        <f>B88+B35+C35+D35+E35+F35</f>
        <v>9016</v>
      </c>
      <c r="D88" s="56">
        <f>367+200</f>
        <v>567</v>
      </c>
      <c r="E88" s="94">
        <f>D88+C88</f>
        <v>9583</v>
      </c>
    </row>
    <row r="89" spans="1:5" ht="12.75">
      <c r="A89" s="107" t="s">
        <v>495</v>
      </c>
      <c r="B89" s="108">
        <v>0</v>
      </c>
      <c r="C89" s="406">
        <f>B89+B36+C36+D36+E36+F36</f>
        <v>0</v>
      </c>
      <c r="D89" s="56">
        <v>0</v>
      </c>
      <c r="E89" s="94">
        <f>D89+C89</f>
        <v>0</v>
      </c>
    </row>
    <row r="90" spans="1:5" ht="13.5" thickBot="1">
      <c r="A90" s="120"/>
      <c r="B90" s="343"/>
      <c r="C90" s="540"/>
      <c r="D90" s="517"/>
      <c r="E90" s="491"/>
    </row>
    <row r="91" spans="1:5" ht="13.5" thickBot="1">
      <c r="A91" s="234" t="s">
        <v>263</v>
      </c>
      <c r="B91" s="541">
        <f>B92+B93</f>
        <v>0</v>
      </c>
      <c r="C91" s="542">
        <f>D92+D93</f>
        <v>0</v>
      </c>
      <c r="D91" s="92">
        <f>D92+D93</f>
        <v>0</v>
      </c>
      <c r="E91" s="92">
        <f>E92+E93</f>
        <v>0</v>
      </c>
    </row>
    <row r="92" spans="1:5" ht="12.75">
      <c r="A92" s="353" t="s">
        <v>264</v>
      </c>
      <c r="B92" s="532">
        <v>0</v>
      </c>
      <c r="C92" s="531">
        <f>B92+B39+C39+D39+E39+F39</f>
        <v>0</v>
      </c>
      <c r="D92" s="82">
        <v>0</v>
      </c>
      <c r="E92" s="94">
        <f>D92+C92</f>
        <v>0</v>
      </c>
    </row>
    <row r="93" spans="1:5" ht="12.75">
      <c r="A93" s="107" t="s">
        <v>265</v>
      </c>
      <c r="B93" s="108">
        <v>0</v>
      </c>
      <c r="C93" s="531">
        <f>B93+B40+C40+D40+E40+F40</f>
        <v>0</v>
      </c>
      <c r="D93" s="56">
        <v>0</v>
      </c>
      <c r="E93" s="94">
        <f>D93+C93</f>
        <v>0</v>
      </c>
    </row>
    <row r="94" spans="1:5" ht="13.5" thickBot="1">
      <c r="A94" s="489"/>
      <c r="B94" s="322"/>
      <c r="C94" s="472"/>
      <c r="D94" s="492"/>
      <c r="E94" s="516"/>
    </row>
    <row r="95" spans="1:5" ht="13.5" thickBot="1">
      <c r="A95" s="109" t="s">
        <v>496</v>
      </c>
      <c r="B95" s="535">
        <f>145492+2761+1396+6080+482+1582+76+3463+698+1970+4061+1027+1450+512</f>
        <v>171050</v>
      </c>
      <c r="C95" s="365">
        <f>B95+F42+E42+D42+C42+B42</f>
        <v>1646599</v>
      </c>
      <c r="D95" s="437">
        <v>1371</v>
      </c>
      <c r="E95" s="479">
        <f>D95+C95</f>
        <v>1647970</v>
      </c>
    </row>
    <row r="96" spans="1:5" ht="13.5" thickBot="1">
      <c r="A96" s="489"/>
      <c r="B96" s="543"/>
      <c r="C96" s="538"/>
      <c r="D96" s="490"/>
      <c r="E96" s="490"/>
    </row>
    <row r="97" spans="1:5" ht="13.5" thickBot="1">
      <c r="A97" s="109" t="s">
        <v>497</v>
      </c>
      <c r="B97" s="437">
        <f>B84+B91+B95+B86</f>
        <v>308946</v>
      </c>
      <c r="C97" s="437">
        <f>C84+C91+C95+C86</f>
        <v>1886340</v>
      </c>
      <c r="D97" s="437">
        <f>D84+D91+D95+D86</f>
        <v>1938</v>
      </c>
      <c r="E97" s="437">
        <f>E84+E91+E95+E86</f>
        <v>1888278</v>
      </c>
    </row>
    <row r="113" ht="60" customHeight="1"/>
  </sheetData>
  <sheetProtection/>
  <mergeCells count="7">
    <mergeCell ref="A59:F59"/>
    <mergeCell ref="D1:E1"/>
    <mergeCell ref="A4:F4"/>
    <mergeCell ref="A5:F5"/>
    <mergeCell ref="A53:F53"/>
    <mergeCell ref="D55:E55"/>
    <mergeCell ref="A58:F5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0">
      <selection activeCell="B15" sqref="B15"/>
    </sheetView>
  </sheetViews>
  <sheetFormatPr defaultColWidth="9.140625" defaultRowHeight="12.75"/>
  <cols>
    <col min="1" max="1" width="52.7109375" style="0" customWidth="1"/>
    <col min="2" max="2" width="25.8515625" style="0" customWidth="1"/>
  </cols>
  <sheetData>
    <row r="2" ht="14.25">
      <c r="B2" s="367" t="s">
        <v>511</v>
      </c>
    </row>
    <row r="3" ht="15.75">
      <c r="A3" s="46"/>
    </row>
    <row r="4" spans="1:2" ht="15.75">
      <c r="A4" s="1382" t="s">
        <v>512</v>
      </c>
      <c r="B4" s="1382"/>
    </row>
    <row r="5" ht="15.75">
      <c r="A5" s="46"/>
    </row>
    <row r="6" ht="12.75">
      <c r="B6" t="s">
        <v>210</v>
      </c>
    </row>
    <row r="7" spans="1:2" ht="15.75">
      <c r="A7" s="49" t="s">
        <v>415</v>
      </c>
      <c r="B7" s="302" t="s">
        <v>212</v>
      </c>
    </row>
    <row r="8" spans="1:2" ht="12.75">
      <c r="A8" s="303"/>
      <c r="B8" s="304" t="s">
        <v>39</v>
      </c>
    </row>
    <row r="9" spans="1:2" ht="12.75">
      <c r="A9" s="544" t="s">
        <v>513</v>
      </c>
      <c r="B9" s="545">
        <f>SUM(B10:B13)</f>
        <v>0</v>
      </c>
    </row>
    <row r="10" spans="1:2" ht="12.75">
      <c r="A10" s="223"/>
      <c r="B10" s="223"/>
    </row>
    <row r="11" spans="1:2" ht="12.75">
      <c r="A11" s="83"/>
      <c r="B11" s="223"/>
    </row>
    <row r="12" spans="1:2" ht="12.75">
      <c r="A12" s="223"/>
      <c r="B12" s="223"/>
    </row>
    <row r="13" spans="1:2" ht="12.75">
      <c r="A13" s="58"/>
      <c r="B13" s="58"/>
    </row>
    <row r="14" spans="1:2" ht="12.75">
      <c r="A14" s="544" t="s">
        <v>514</v>
      </c>
      <c r="B14" s="546">
        <f>SUM(B15:B20)</f>
        <v>268</v>
      </c>
    </row>
    <row r="15" spans="1:2" ht="12.75">
      <c r="A15" s="83" t="s">
        <v>515</v>
      </c>
      <c r="B15" s="83">
        <f>108+160</f>
        <v>268</v>
      </c>
    </row>
    <row r="16" spans="1:2" ht="12.75">
      <c r="A16" s="223"/>
      <c r="B16" s="223"/>
    </row>
    <row r="17" spans="1:2" ht="12.75">
      <c r="A17" s="223"/>
      <c r="B17" s="223"/>
    </row>
    <row r="18" spans="1:2" ht="12.75">
      <c r="A18" s="223"/>
      <c r="B18" s="223"/>
    </row>
    <row r="19" spans="1:2" ht="12.75">
      <c r="A19" s="223"/>
      <c r="B19" s="223"/>
    </row>
    <row r="20" spans="1:2" ht="12.75">
      <c r="A20" s="303"/>
      <c r="B20" s="303"/>
    </row>
    <row r="21" spans="1:2" ht="12.75">
      <c r="A21" s="61" t="s">
        <v>516</v>
      </c>
      <c r="B21" s="278">
        <f>B14+B9</f>
        <v>268</v>
      </c>
    </row>
    <row r="24" ht="14.25">
      <c r="B24" s="43" t="s">
        <v>517</v>
      </c>
    </row>
    <row r="25" ht="15.75">
      <c r="A25" s="46"/>
    </row>
    <row r="26" spans="1:2" ht="15.75">
      <c r="A26" s="1382" t="s">
        <v>518</v>
      </c>
      <c r="B26" s="1382"/>
    </row>
    <row r="27" ht="15.75">
      <c r="A27" s="46"/>
    </row>
    <row r="28" ht="12.75">
      <c r="B28" t="s">
        <v>210</v>
      </c>
    </row>
    <row r="29" spans="1:2" ht="15.75">
      <c r="A29" s="49" t="s">
        <v>415</v>
      </c>
      <c r="B29" s="302" t="s">
        <v>212</v>
      </c>
    </row>
    <row r="30" spans="1:2" ht="12.75">
      <c r="A30" s="303"/>
      <c r="B30" s="304" t="s">
        <v>39</v>
      </c>
    </row>
    <row r="31" spans="1:2" ht="12.75">
      <c r="A31" s="305" t="s">
        <v>519</v>
      </c>
      <c r="B31" s="545">
        <v>0</v>
      </c>
    </row>
    <row r="32" spans="1:2" ht="12.75">
      <c r="A32" s="107"/>
      <c r="B32" s="223"/>
    </row>
    <row r="33" spans="1:2" ht="12.75">
      <c r="A33" s="107"/>
      <c r="B33" s="223"/>
    </row>
    <row r="34" spans="1:2" ht="12.75">
      <c r="A34" s="245"/>
      <c r="B34" s="223"/>
    </row>
    <row r="35" spans="1:2" ht="12.75">
      <c r="A35" s="107"/>
      <c r="B35" s="223"/>
    </row>
    <row r="36" spans="1:2" ht="12.75">
      <c r="A36" s="106"/>
      <c r="B36" s="223"/>
    </row>
    <row r="37" spans="1:2" ht="12.75">
      <c r="A37" s="305" t="s">
        <v>520</v>
      </c>
      <c r="B37" s="306">
        <f>B38+B39+B40+B41</f>
        <v>4090</v>
      </c>
    </row>
    <row r="38" spans="1:2" ht="12.75">
      <c r="A38" s="107" t="s">
        <v>521</v>
      </c>
      <c r="B38" s="56">
        <v>620</v>
      </c>
    </row>
    <row r="39" spans="1:2" ht="12.75">
      <c r="A39" s="107" t="s">
        <v>522</v>
      </c>
      <c r="B39" s="56">
        <v>160</v>
      </c>
    </row>
    <row r="40" spans="1:2" ht="12.75">
      <c r="A40" s="245" t="s">
        <v>523</v>
      </c>
      <c r="B40" s="56">
        <v>100</v>
      </c>
    </row>
    <row r="41" spans="1:2" ht="12.75">
      <c r="A41" s="107" t="s">
        <v>524</v>
      </c>
      <c r="B41" s="56">
        <v>3210</v>
      </c>
    </row>
    <row r="42" spans="1:2" ht="12.75">
      <c r="A42" s="107"/>
      <c r="B42" s="56"/>
    </row>
    <row r="43" spans="1:2" ht="12.75">
      <c r="A43" s="307"/>
      <c r="B43" s="96"/>
    </row>
    <row r="44" spans="1:2" ht="12.75">
      <c r="A44" s="61" t="s">
        <v>525</v>
      </c>
      <c r="B44" s="62">
        <f>B37+B31</f>
        <v>4090</v>
      </c>
    </row>
  </sheetData>
  <sheetProtection/>
  <mergeCells count="2">
    <mergeCell ref="A4:B4"/>
    <mergeCell ref="A26:B2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7">
      <selection activeCell="B51" sqref="B51"/>
    </sheetView>
  </sheetViews>
  <sheetFormatPr defaultColWidth="9.140625" defaultRowHeight="12.75"/>
  <cols>
    <col min="1" max="1" width="56.57421875" style="0" customWidth="1"/>
    <col min="2" max="2" width="23.28125" style="0" customWidth="1"/>
    <col min="3" max="3" width="6.8515625" style="0" customWidth="1"/>
  </cols>
  <sheetData>
    <row r="1" spans="1:2" ht="12.75">
      <c r="A1" s="1"/>
      <c r="B1" s="375" t="s">
        <v>1288</v>
      </c>
    </row>
    <row r="2" spans="1:2" ht="12.75">
      <c r="A2" s="1"/>
      <c r="B2" s="375"/>
    </row>
    <row r="3" spans="1:2" ht="13.5" customHeight="1">
      <c r="A3" s="1434" t="s">
        <v>526</v>
      </c>
      <c r="B3" s="1434"/>
    </row>
    <row r="4" spans="1:2" ht="13.5" customHeight="1">
      <c r="A4" s="1434" t="s">
        <v>527</v>
      </c>
      <c r="B4" s="1434"/>
    </row>
    <row r="5" spans="1:2" ht="12.75" customHeight="1">
      <c r="A5" s="1434" t="s">
        <v>2</v>
      </c>
      <c r="B5" s="1434"/>
    </row>
    <row r="6" spans="1:2" ht="15.75">
      <c r="A6" s="1325"/>
      <c r="B6" s="1325"/>
    </row>
    <row r="7" spans="1:2" ht="12.75">
      <c r="A7" s="1"/>
      <c r="B7" s="377" t="s">
        <v>33</v>
      </c>
    </row>
    <row r="8" spans="1:2" ht="13.5" thickBot="1">
      <c r="A8" s="1"/>
      <c r="B8" s="377"/>
    </row>
    <row r="9" spans="1:2" ht="16.5" thickBot="1">
      <c r="A9" s="934" t="s">
        <v>528</v>
      </c>
      <c r="B9" s="997" t="s">
        <v>529</v>
      </c>
    </row>
    <row r="10" spans="1:2" ht="15.75">
      <c r="A10" s="935" t="s">
        <v>172</v>
      </c>
      <c r="B10" s="999"/>
    </row>
    <row r="11" spans="1:2" ht="15.75">
      <c r="A11" s="994" t="s">
        <v>81</v>
      </c>
      <c r="B11" s="1000"/>
    </row>
    <row r="12" spans="1:2" ht="15.75">
      <c r="A12" s="995" t="s">
        <v>1157</v>
      </c>
      <c r="B12" s="1000">
        <v>182</v>
      </c>
    </row>
    <row r="13" spans="1:2" ht="15.75">
      <c r="A13" s="995" t="s">
        <v>1217</v>
      </c>
      <c r="B13" s="1000">
        <v>1323</v>
      </c>
    </row>
    <row r="14" spans="1:2" ht="15.75">
      <c r="A14" s="995" t="s">
        <v>1287</v>
      </c>
      <c r="B14" s="1000">
        <v>2356</v>
      </c>
    </row>
    <row r="15" spans="1:2" ht="12" customHeight="1">
      <c r="A15" s="995"/>
      <c r="B15" s="1000"/>
    </row>
    <row r="16" spans="1:2" ht="15.75">
      <c r="A16" s="994" t="s">
        <v>82</v>
      </c>
      <c r="B16" s="1000"/>
    </row>
    <row r="17" spans="1:2" ht="15.75">
      <c r="A17" s="995" t="s">
        <v>1327</v>
      </c>
      <c r="B17" s="1000">
        <v>4155</v>
      </c>
    </row>
    <row r="18" spans="1:2" ht="10.5" customHeight="1">
      <c r="A18" s="996"/>
      <c r="B18" s="1000"/>
    </row>
    <row r="19" spans="1:2" ht="15.75">
      <c r="A19" s="936" t="s">
        <v>1156</v>
      </c>
      <c r="B19" s="1001"/>
    </row>
    <row r="20" spans="1:2" ht="15.75">
      <c r="A20" s="937" t="s">
        <v>530</v>
      </c>
      <c r="B20" s="1000">
        <v>0</v>
      </c>
    </row>
    <row r="21" spans="1:3" s="22" customFormat="1" ht="15.75">
      <c r="A21" s="938" t="s">
        <v>531</v>
      </c>
      <c r="B21" s="1002">
        <v>2500</v>
      </c>
      <c r="C21" s="7"/>
    </row>
    <row r="22" spans="1:2" s="22" customFormat="1" ht="16.5" thickBot="1">
      <c r="A22" s="939"/>
      <c r="B22" s="1003"/>
    </row>
    <row r="23" spans="1:2" s="110" customFormat="1" ht="16.5" thickBot="1">
      <c r="A23" s="941" t="s">
        <v>222</v>
      </c>
      <c r="B23" s="998">
        <f>SUM(B11:B22)</f>
        <v>10516</v>
      </c>
    </row>
    <row r="24" spans="1:2" s="110" customFormat="1" ht="8.25" customHeight="1">
      <c r="A24" s="942"/>
      <c r="B24" s="940"/>
    </row>
    <row r="25" spans="1:2" ht="15.75">
      <c r="A25" s="943" t="s">
        <v>173</v>
      </c>
      <c r="B25" s="944"/>
    </row>
    <row r="26" spans="1:2" ht="15.75">
      <c r="A26" s="945" t="s">
        <v>532</v>
      </c>
      <c r="B26" s="944">
        <v>7748</v>
      </c>
    </row>
    <row r="27" spans="1:2" ht="15.75">
      <c r="A27" s="1342" t="s">
        <v>533</v>
      </c>
      <c r="B27" s="946">
        <f>5376</f>
        <v>5376</v>
      </c>
    </row>
    <row r="28" spans="1:2" ht="15.75">
      <c r="A28" s="1342" t="s">
        <v>534</v>
      </c>
      <c r="B28" s="946">
        <f>12536+29</f>
        <v>12565</v>
      </c>
    </row>
    <row r="29" spans="1:2" ht="15.75">
      <c r="A29" s="1342" t="s">
        <v>535</v>
      </c>
      <c r="B29" s="946">
        <f>4605+11</f>
        <v>4616</v>
      </c>
    </row>
    <row r="30" spans="1:2" ht="15.75">
      <c r="A30" s="1343" t="s">
        <v>536</v>
      </c>
      <c r="B30" s="946">
        <f>14600+34</f>
        <v>14634</v>
      </c>
    </row>
    <row r="31" spans="1:2" ht="15.75" customHeight="1">
      <c r="A31" s="1343" t="s">
        <v>1164</v>
      </c>
      <c r="B31" s="946">
        <f>3589+35</f>
        <v>3624</v>
      </c>
    </row>
    <row r="32" spans="1:2" ht="15.75">
      <c r="A32" s="947" t="s">
        <v>537</v>
      </c>
      <c r="B32" s="948">
        <f>SUM(B26:B31)</f>
        <v>48563</v>
      </c>
    </row>
    <row r="33" spans="1:2" ht="15.75">
      <c r="A33" s="947"/>
      <c r="B33" s="948"/>
    </row>
    <row r="34" spans="1:2" ht="15.75">
      <c r="A34" s="1195" t="s">
        <v>1275</v>
      </c>
      <c r="B34" s="946">
        <f>8702+122</f>
        <v>8824</v>
      </c>
    </row>
    <row r="35" spans="1:2" ht="15.75">
      <c r="A35" s="950" t="s">
        <v>1274</v>
      </c>
      <c r="B35" s="948">
        <f>SUM(B34)</f>
        <v>8824</v>
      </c>
    </row>
    <row r="36" spans="1:2" ht="15.75">
      <c r="A36" s="1326"/>
      <c r="B36" s="946"/>
    </row>
    <row r="37" spans="1:2" ht="15.75">
      <c r="A37" s="1342" t="s">
        <v>1121</v>
      </c>
      <c r="B37" s="946">
        <f>9860-9860</f>
        <v>0</v>
      </c>
    </row>
    <row r="38" spans="1:2" s="110" customFormat="1" ht="15.75">
      <c r="A38" s="947" t="s">
        <v>1165</v>
      </c>
      <c r="B38" s="949">
        <f>SUM(B37:B37)</f>
        <v>0</v>
      </c>
    </row>
    <row r="39" spans="1:2" s="110" customFormat="1" ht="15.75">
      <c r="A39" s="950"/>
      <c r="B39" s="949"/>
    </row>
    <row r="40" spans="1:2" s="110" customFormat="1" ht="15.75">
      <c r="A40" s="1343" t="s">
        <v>1342</v>
      </c>
      <c r="B40" s="1327">
        <v>17200</v>
      </c>
    </row>
    <row r="41" spans="1:2" s="110" customFormat="1" ht="15.75">
      <c r="A41" s="1352" t="s">
        <v>1343</v>
      </c>
      <c r="B41" s="949">
        <f>SUM(B40)</f>
        <v>17200</v>
      </c>
    </row>
    <row r="42" spans="1:2" s="110" customFormat="1" ht="15.75">
      <c r="A42" s="950"/>
      <c r="B42" s="949"/>
    </row>
    <row r="43" spans="1:2" ht="15.75">
      <c r="A43" s="938" t="s">
        <v>1120</v>
      </c>
      <c r="B43" s="946">
        <v>15000</v>
      </c>
    </row>
    <row r="44" spans="1:2" s="110" customFormat="1" ht="15.75">
      <c r="A44" s="947" t="s">
        <v>538</v>
      </c>
      <c r="B44" s="948">
        <f>SUM(B43)</f>
        <v>15000</v>
      </c>
    </row>
    <row r="45" spans="1:2" s="110" customFormat="1" ht="15.75">
      <c r="A45" s="1351"/>
      <c r="B45" s="949"/>
    </row>
    <row r="46" spans="1:2" s="110" customFormat="1" ht="15.75">
      <c r="A46" s="1326" t="s">
        <v>1331</v>
      </c>
      <c r="B46" s="946">
        <f>13375+3529</f>
        <v>16904</v>
      </c>
    </row>
    <row r="47" spans="1:2" s="110" customFormat="1" ht="15.75">
      <c r="A47" s="951" t="s">
        <v>1166</v>
      </c>
      <c r="B47" s="952">
        <f>SUM(B46)</f>
        <v>16904</v>
      </c>
    </row>
    <row r="48" spans="1:2" s="110" customFormat="1" ht="15.75">
      <c r="A48" s="942"/>
      <c r="B48" s="953"/>
    </row>
    <row r="49" spans="1:2" ht="15.75">
      <c r="A49" s="941" t="s">
        <v>539</v>
      </c>
      <c r="B49" s="954">
        <f>B32+B38+B44+B47+B35+B41</f>
        <v>106491</v>
      </c>
    </row>
    <row r="50" spans="1:2" ht="15.75">
      <c r="A50" s="955"/>
      <c r="B50" s="956"/>
    </row>
    <row r="51" spans="1:2" ht="15.75">
      <c r="A51" s="957" t="s">
        <v>540</v>
      </c>
      <c r="B51" s="958">
        <f>SUM(B23+B49)</f>
        <v>117007</v>
      </c>
    </row>
    <row r="52" spans="1:2" ht="15.75">
      <c r="A52" s="552"/>
      <c r="B52" s="553"/>
    </row>
    <row r="53" spans="1:2" ht="15.75">
      <c r="A53" s="552"/>
      <c r="B53" s="553"/>
    </row>
  </sheetData>
  <sheetProtection/>
  <mergeCells count="3">
    <mergeCell ref="A3:B3"/>
    <mergeCell ref="A4:B4"/>
    <mergeCell ref="A5:B5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6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1.00390625" style="0" customWidth="1"/>
    <col min="2" max="2" width="18.28125" style="0" customWidth="1"/>
  </cols>
  <sheetData>
    <row r="1" spans="1:2" ht="12.75">
      <c r="A1" s="1"/>
      <c r="B1" s="753" t="s">
        <v>541</v>
      </c>
    </row>
    <row r="2" spans="1:2" ht="15.75">
      <c r="A2" s="1434" t="s">
        <v>542</v>
      </c>
      <c r="B2" s="1434"/>
    </row>
    <row r="3" spans="1:2" ht="15.75">
      <c r="A3" s="1434" t="s">
        <v>543</v>
      </c>
      <c r="B3" s="1434"/>
    </row>
    <row r="4" spans="1:2" ht="15.75">
      <c r="A4" s="1434" t="s">
        <v>2</v>
      </c>
      <c r="B4" s="1434"/>
    </row>
    <row r="5" spans="1:2" ht="13.5" thickBot="1">
      <c r="A5" s="375"/>
      <c r="B5" s="377" t="s">
        <v>33</v>
      </c>
    </row>
    <row r="6" spans="1:2" ht="16.5" thickBot="1">
      <c r="A6" s="934" t="s">
        <v>544</v>
      </c>
      <c r="B6" s="1249" t="s">
        <v>529</v>
      </c>
    </row>
    <row r="7" spans="1:2" ht="12.75" customHeight="1">
      <c r="A7" s="1211" t="s">
        <v>545</v>
      </c>
      <c r="B7" s="1250"/>
    </row>
    <row r="8" spans="1:2" ht="12.75" customHeight="1">
      <c r="A8" s="1212" t="s">
        <v>1158</v>
      </c>
      <c r="B8" s="1251">
        <f>396+79</f>
        <v>475</v>
      </c>
    </row>
    <row r="9" spans="1:2" ht="12.75" customHeight="1">
      <c r="A9" s="1213" t="s">
        <v>1286</v>
      </c>
      <c r="B9" s="1252">
        <v>2800</v>
      </c>
    </row>
    <row r="10" spans="1:2" ht="12.75" customHeight="1" thickBot="1">
      <c r="A10" s="1214" t="s">
        <v>1216</v>
      </c>
      <c r="B10" s="1253">
        <f>200+549</f>
        <v>749</v>
      </c>
    </row>
    <row r="11" spans="1:2" ht="12.75" customHeight="1" thickBot="1">
      <c r="A11" s="1215" t="s">
        <v>403</v>
      </c>
      <c r="B11" s="1254">
        <f>SUM(B8:B10)</f>
        <v>4024</v>
      </c>
    </row>
    <row r="12" spans="1:2" ht="9.75" customHeight="1">
      <c r="A12" s="1216"/>
      <c r="B12" s="1255"/>
    </row>
    <row r="13" spans="1:2" ht="12.75" customHeight="1">
      <c r="A13" s="1217" t="s">
        <v>82</v>
      </c>
      <c r="B13" s="1256"/>
    </row>
    <row r="14" spans="1:2" ht="12.75" customHeight="1">
      <c r="A14" s="1030" t="s">
        <v>1143</v>
      </c>
      <c r="B14" s="1253">
        <v>5423</v>
      </c>
    </row>
    <row r="15" spans="1:2" ht="12.75" customHeight="1">
      <c r="A15" s="1033" t="s">
        <v>1144</v>
      </c>
      <c r="B15" s="1257">
        <v>580</v>
      </c>
    </row>
    <row r="16" spans="1:2" ht="12.75" customHeight="1">
      <c r="A16" s="1030" t="s">
        <v>1145</v>
      </c>
      <c r="B16" s="1253">
        <v>687</v>
      </c>
    </row>
    <row r="17" spans="1:2" ht="12.75" customHeight="1">
      <c r="A17" s="1033" t="s">
        <v>1211</v>
      </c>
      <c r="B17" s="1257">
        <v>374</v>
      </c>
    </row>
    <row r="18" spans="1:2" ht="12.75" customHeight="1">
      <c r="A18" s="1033" t="s">
        <v>1262</v>
      </c>
      <c r="B18" s="1257">
        <v>155</v>
      </c>
    </row>
    <row r="19" spans="1:2" ht="12.75" customHeight="1" thickBot="1">
      <c r="A19" s="1030" t="s">
        <v>1212</v>
      </c>
      <c r="B19" s="1253">
        <v>525</v>
      </c>
    </row>
    <row r="20" spans="1:2" ht="12.75" customHeight="1" thickBot="1">
      <c r="A20" s="1215" t="s">
        <v>403</v>
      </c>
      <c r="B20" s="1258">
        <f>SUM(B14:B19)</f>
        <v>7744</v>
      </c>
    </row>
    <row r="21" spans="1:2" ht="13.5" thickBot="1">
      <c r="A21" s="1215" t="s">
        <v>1363</v>
      </c>
      <c r="B21" s="1268">
        <f>B20+B11</f>
        <v>11768</v>
      </c>
    </row>
    <row r="22" spans="1:2" ht="9.75" customHeight="1">
      <c r="A22" s="1216"/>
      <c r="B22" s="1259"/>
    </row>
    <row r="23" spans="1:2" ht="12.75" customHeight="1">
      <c r="A23" s="1217" t="s">
        <v>107</v>
      </c>
      <c r="B23" s="1260"/>
    </row>
    <row r="24" spans="1:2" ht="12.75" customHeight="1">
      <c r="A24" s="1033" t="s">
        <v>1302</v>
      </c>
      <c r="B24" s="1261">
        <v>3283</v>
      </c>
    </row>
    <row r="25" spans="1:2" ht="12.75" customHeight="1">
      <c r="A25" s="1247" t="s">
        <v>1303</v>
      </c>
      <c r="B25" s="1262">
        <v>350</v>
      </c>
    </row>
    <row r="26" spans="1:2" ht="12.75" customHeight="1" thickBot="1">
      <c r="A26" s="1247" t="s">
        <v>1251</v>
      </c>
      <c r="B26" s="1262">
        <v>385</v>
      </c>
    </row>
    <row r="27" spans="1:2" ht="12.75" customHeight="1" thickBot="1">
      <c r="A27" s="1248" t="s">
        <v>548</v>
      </c>
      <c r="B27" s="1220">
        <f>SUM(B24:B26)</f>
        <v>4018</v>
      </c>
    </row>
    <row r="28" spans="1:2" ht="10.5" customHeight="1">
      <c r="A28" s="1218"/>
      <c r="B28" s="1263"/>
    </row>
    <row r="29" spans="1:2" ht="12.75">
      <c r="A29" s="1219" t="s">
        <v>546</v>
      </c>
      <c r="B29" s="1264"/>
    </row>
    <row r="30" spans="1:2" ht="12.75">
      <c r="A30" s="1095" t="s">
        <v>1300</v>
      </c>
      <c r="B30" s="1265">
        <v>4000</v>
      </c>
    </row>
    <row r="31" spans="1:2" ht="12.75" customHeight="1">
      <c r="A31" s="1095" t="s">
        <v>1301</v>
      </c>
      <c r="B31" s="1265">
        <v>500</v>
      </c>
    </row>
    <row r="32" spans="1:2" ht="13.5" thickBot="1">
      <c r="A32" s="1096" t="s">
        <v>1233</v>
      </c>
      <c r="B32" s="1266">
        <v>260</v>
      </c>
    </row>
    <row r="33" spans="1:2" ht="13.5" thickBot="1">
      <c r="A33" s="1215" t="s">
        <v>403</v>
      </c>
      <c r="B33" s="1220">
        <f>SUM(B30:B32)</f>
        <v>4760</v>
      </c>
    </row>
    <row r="34" spans="1:2" ht="12.75">
      <c r="A34" s="1221"/>
      <c r="B34" s="1267"/>
    </row>
    <row r="35" spans="1:2" ht="12.75">
      <c r="A35" s="1222" t="s">
        <v>547</v>
      </c>
      <c r="B35" s="1265"/>
    </row>
    <row r="36" spans="1:2" ht="12.75">
      <c r="A36" s="1332" t="s">
        <v>1296</v>
      </c>
      <c r="B36" s="1266">
        <v>250</v>
      </c>
    </row>
    <row r="37" spans="1:2" ht="12.75">
      <c r="A37" s="1096" t="s">
        <v>1297</v>
      </c>
      <c r="B37" s="1266">
        <v>1250</v>
      </c>
    </row>
    <row r="38" spans="1:2" ht="13.5" thickBot="1">
      <c r="A38" s="1096" t="s">
        <v>1298</v>
      </c>
      <c r="B38" s="1266">
        <v>7400</v>
      </c>
    </row>
    <row r="39" spans="1:2" ht="13.5" thickBot="1">
      <c r="A39" s="1215" t="s">
        <v>548</v>
      </c>
      <c r="B39" s="1258">
        <f>SUM(B36:B38)</f>
        <v>8900</v>
      </c>
    </row>
    <row r="40" spans="1:2" ht="13.5" thickBot="1">
      <c r="A40" s="1215" t="s">
        <v>1146</v>
      </c>
      <c r="B40" s="1268">
        <f>B39+B33+B27</f>
        <v>17678</v>
      </c>
    </row>
    <row r="41" spans="1:2" ht="9.75" customHeight="1">
      <c r="A41" s="1221"/>
      <c r="B41" s="1234"/>
    </row>
    <row r="42" spans="1:2" ht="12.75">
      <c r="A42" s="1219" t="s">
        <v>549</v>
      </c>
      <c r="B42" s="864"/>
    </row>
    <row r="43" spans="1:2" ht="12.75">
      <c r="A43" s="1095" t="s">
        <v>1162</v>
      </c>
      <c r="B43" s="1239">
        <v>137311</v>
      </c>
    </row>
    <row r="44" spans="1:2" ht="12.75">
      <c r="A44" s="1095" t="s">
        <v>1169</v>
      </c>
      <c r="B44" s="1239">
        <v>1464</v>
      </c>
    </row>
    <row r="45" spans="1:2" ht="12.75">
      <c r="A45" s="1095" t="s">
        <v>1337</v>
      </c>
      <c r="B45" s="1239">
        <v>404</v>
      </c>
    </row>
    <row r="46" spans="1:2" ht="12.75">
      <c r="A46" s="1095" t="s">
        <v>1126</v>
      </c>
      <c r="B46" s="1239">
        <v>536144</v>
      </c>
    </row>
    <row r="47" spans="1:2" ht="12.75">
      <c r="A47" s="1095" t="s">
        <v>1277</v>
      </c>
      <c r="B47" s="1239">
        <f>1319739-8702-122</f>
        <v>1310915</v>
      </c>
    </row>
    <row r="48" spans="1:2" s="110" customFormat="1" ht="12.75">
      <c r="A48" s="1094" t="s">
        <v>1276</v>
      </c>
      <c r="B48" s="1269">
        <f>SUM(B43:B47)</f>
        <v>1986238</v>
      </c>
    </row>
    <row r="49" spans="1:2" ht="12.75">
      <c r="A49" s="1095"/>
      <c r="B49" s="1239"/>
    </row>
    <row r="50" spans="1:2" ht="12.75">
      <c r="A50" s="1095" t="s">
        <v>1175</v>
      </c>
      <c r="B50" s="1239">
        <v>100</v>
      </c>
    </row>
    <row r="51" spans="1:2" ht="12.75">
      <c r="A51" s="1095" t="s">
        <v>551</v>
      </c>
      <c r="B51" s="1239">
        <f>438-66</f>
        <v>372</v>
      </c>
    </row>
    <row r="52" spans="1:2" s="110" customFormat="1" ht="12.75">
      <c r="A52" s="1094" t="s">
        <v>552</v>
      </c>
      <c r="B52" s="1269">
        <f>SUM(B50:B51)</f>
        <v>472</v>
      </c>
    </row>
    <row r="53" spans="1:2" ht="12.75">
      <c r="A53" s="1223"/>
      <c r="B53" s="1239"/>
    </row>
    <row r="54" spans="1:2" ht="12.75">
      <c r="A54" s="1223" t="s">
        <v>1292</v>
      </c>
      <c r="B54" s="1239">
        <f>970196</f>
        <v>970196</v>
      </c>
    </row>
    <row r="55" spans="1:2" ht="12.75">
      <c r="A55" s="1223" t="s">
        <v>1289</v>
      </c>
      <c r="B55" s="1239">
        <v>226513</v>
      </c>
    </row>
    <row r="56" spans="1:2" s="110" customFormat="1" ht="12.75">
      <c r="A56" s="1224" t="s">
        <v>1333</v>
      </c>
      <c r="B56" s="1269">
        <f>SUM(B54:B55)</f>
        <v>1196709</v>
      </c>
    </row>
    <row r="57" spans="1:2" ht="12.75">
      <c r="A57" s="1225"/>
      <c r="B57" s="1233"/>
    </row>
    <row r="58" spans="1:2" ht="12.75">
      <c r="A58" s="1225" t="s">
        <v>1330</v>
      </c>
      <c r="B58" s="1233">
        <v>97430</v>
      </c>
    </row>
    <row r="59" spans="1:2" ht="12.75">
      <c r="A59" s="1225" t="s">
        <v>1329</v>
      </c>
      <c r="B59" s="1233">
        <v>2813</v>
      </c>
    </row>
    <row r="60" spans="1:2" s="110" customFormat="1" ht="13.5" thickBot="1">
      <c r="A60" s="1227" t="s">
        <v>553</v>
      </c>
      <c r="B60" s="1242">
        <f>SUM(B58:B59)</f>
        <v>100243</v>
      </c>
    </row>
    <row r="61" spans="1:2" s="110" customFormat="1" ht="12.75">
      <c r="A61" s="1435">
        <v>2</v>
      </c>
      <c r="B61" s="1435"/>
    </row>
    <row r="62" spans="1:2" ht="12.75">
      <c r="A62" s="1228"/>
      <c r="B62" s="1229"/>
    </row>
    <row r="63" spans="1:2" ht="12.75">
      <c r="A63" s="1"/>
      <c r="B63" s="753" t="s">
        <v>541</v>
      </c>
    </row>
    <row r="64" spans="1:2" ht="15.75">
      <c r="A64" s="1434" t="s">
        <v>542</v>
      </c>
      <c r="B64" s="1434"/>
    </row>
    <row r="65" spans="1:2" ht="15.75">
      <c r="A65" s="1434" t="s">
        <v>543</v>
      </c>
      <c r="B65" s="1434"/>
    </row>
    <row r="66" spans="1:2" ht="15.75">
      <c r="A66" s="1434" t="s">
        <v>2</v>
      </c>
      <c r="B66" s="1434"/>
    </row>
    <row r="67" spans="1:2" ht="13.5" thickBot="1">
      <c r="A67" s="375"/>
      <c r="B67" s="377" t="s">
        <v>33</v>
      </c>
    </row>
    <row r="68" spans="1:2" ht="16.5" thickBot="1">
      <c r="A68" s="1230" t="s">
        <v>544</v>
      </c>
      <c r="B68" s="1231" t="s">
        <v>529</v>
      </c>
    </row>
    <row r="69" spans="1:2" ht="12.75">
      <c r="A69" s="1225"/>
      <c r="B69" s="1232"/>
    </row>
    <row r="70" spans="1:2" s="110" customFormat="1" ht="12.75">
      <c r="A70" s="1225" t="s">
        <v>1332</v>
      </c>
      <c r="B70" s="1233">
        <v>743</v>
      </c>
    </row>
    <row r="71" spans="1:2" s="110" customFormat="1" ht="12.75">
      <c r="A71" s="1226" t="s">
        <v>1334</v>
      </c>
      <c r="B71" s="1234">
        <f>SUM(B70)</f>
        <v>743</v>
      </c>
    </row>
    <row r="72" spans="1:2" s="110" customFormat="1" ht="12.75">
      <c r="A72" s="1226"/>
      <c r="B72" s="1234"/>
    </row>
    <row r="73" spans="1:2" s="110" customFormat="1" ht="12.75">
      <c r="A73" s="1225" t="s">
        <v>1256</v>
      </c>
      <c r="B73" s="1233">
        <v>6022</v>
      </c>
    </row>
    <row r="74" spans="1:2" s="110" customFormat="1" ht="12.75">
      <c r="A74" s="1225" t="s">
        <v>1257</v>
      </c>
      <c r="B74" s="1233">
        <v>3983</v>
      </c>
    </row>
    <row r="75" spans="1:2" s="110" customFormat="1" ht="12.75">
      <c r="A75" s="1033" t="s">
        <v>1266</v>
      </c>
      <c r="B75" s="1233">
        <v>2400</v>
      </c>
    </row>
    <row r="76" spans="1:2" s="110" customFormat="1" ht="12.75">
      <c r="A76" s="1033" t="s">
        <v>1362</v>
      </c>
      <c r="B76" s="1233">
        <v>750</v>
      </c>
    </row>
    <row r="77" spans="1:2" s="110" customFormat="1" ht="12.75">
      <c r="A77" s="1225" t="s">
        <v>1206</v>
      </c>
      <c r="B77" s="1233">
        <v>331289</v>
      </c>
    </row>
    <row r="78" spans="1:2" s="110" customFormat="1" ht="12.75">
      <c r="A78" s="1226" t="s">
        <v>1153</v>
      </c>
      <c r="B78" s="1234">
        <f>SUM(B73:B77)</f>
        <v>344444</v>
      </c>
    </row>
    <row r="79" spans="1:2" s="110" customFormat="1" ht="12.75">
      <c r="A79" s="1226"/>
      <c r="B79" s="1234"/>
    </row>
    <row r="80" spans="1:2" s="110" customFormat="1" ht="12.75">
      <c r="A80" s="1225" t="s">
        <v>1341</v>
      </c>
      <c r="B80" s="1233">
        <v>1900</v>
      </c>
    </row>
    <row r="81" spans="1:2" s="110" customFormat="1" ht="12.75">
      <c r="A81" s="1225" t="s">
        <v>1208</v>
      </c>
      <c r="B81" s="1233">
        <v>3865</v>
      </c>
    </row>
    <row r="82" spans="1:2" s="110" customFormat="1" ht="12.75">
      <c r="A82" s="1348" t="s">
        <v>1207</v>
      </c>
      <c r="B82" s="1349">
        <f>SUM(B80:B81)</f>
        <v>5765</v>
      </c>
    </row>
    <row r="83" spans="1:2" ht="12.75">
      <c r="A83" s="1225"/>
      <c r="B83" s="1233"/>
    </row>
    <row r="84" spans="1:2" ht="12.75">
      <c r="A84" s="1225" t="s">
        <v>554</v>
      </c>
      <c r="B84" s="1233">
        <v>55206</v>
      </c>
    </row>
    <row r="85" spans="1:2" ht="12.75">
      <c r="A85" s="1225" t="s">
        <v>1115</v>
      </c>
      <c r="B85" s="1233">
        <v>120135</v>
      </c>
    </row>
    <row r="86" spans="1:2" ht="12.75">
      <c r="A86" s="1226" t="s">
        <v>555</v>
      </c>
      <c r="B86" s="1234">
        <f>SUM(B84:B85)</f>
        <v>175341</v>
      </c>
    </row>
    <row r="87" spans="1:2" ht="12.75">
      <c r="A87" s="1348"/>
      <c r="B87" s="1349"/>
    </row>
    <row r="88" spans="1:2" ht="12.75">
      <c r="A88" s="1346" t="s">
        <v>1336</v>
      </c>
      <c r="B88" s="1347">
        <v>421</v>
      </c>
    </row>
    <row r="89" spans="1:2" ht="12.75">
      <c r="A89" s="1344" t="s">
        <v>1335</v>
      </c>
      <c r="B89" s="1345">
        <f>SUM(B88:B88)</f>
        <v>421</v>
      </c>
    </row>
    <row r="90" spans="1:2" ht="12.75">
      <c r="A90" s="1235"/>
      <c r="B90" s="1236"/>
    </row>
    <row r="91" spans="1:2" ht="12.75">
      <c r="A91" s="1237" t="s">
        <v>1119</v>
      </c>
      <c r="B91" s="1238">
        <v>122323</v>
      </c>
    </row>
    <row r="92" spans="1:2" ht="12.75">
      <c r="A92" s="1344" t="s">
        <v>1338</v>
      </c>
      <c r="B92" s="1345">
        <f>SUM(B91)</f>
        <v>122323</v>
      </c>
    </row>
    <row r="93" spans="1:2" ht="12.75">
      <c r="A93" s="1341"/>
      <c r="B93" s="1350"/>
    </row>
    <row r="94" spans="1:2" ht="12.75">
      <c r="A94" s="1095" t="s">
        <v>550</v>
      </c>
      <c r="B94" s="1239">
        <v>209</v>
      </c>
    </row>
    <row r="95" spans="1:2" ht="12.75">
      <c r="A95" s="1095" t="s">
        <v>1205</v>
      </c>
      <c r="B95" s="1240">
        <v>114</v>
      </c>
    </row>
    <row r="96" spans="1:2" ht="13.5" thickBot="1">
      <c r="A96" s="1241" t="s">
        <v>1118</v>
      </c>
      <c r="B96" s="1242">
        <f>SUM(B94:B95)</f>
        <v>323</v>
      </c>
    </row>
    <row r="97" spans="1:2" ht="13.5" thickBot="1">
      <c r="A97" s="1243" t="s">
        <v>471</v>
      </c>
      <c r="B97" s="1244">
        <f>B48+B52+B56+B60+B86+B96+B78+B82+B71+B89+B92</f>
        <v>3933022</v>
      </c>
    </row>
    <row r="98" spans="1:2" ht="13.5" thickBot="1">
      <c r="A98" s="1245" t="s">
        <v>556</v>
      </c>
      <c r="B98" s="1246">
        <f>B97+B40+B21</f>
        <v>3962468</v>
      </c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</sheetData>
  <sheetProtection/>
  <mergeCells count="7">
    <mergeCell ref="A66:B66"/>
    <mergeCell ref="A2:B2"/>
    <mergeCell ref="A3:B3"/>
    <mergeCell ref="A4:B4"/>
    <mergeCell ref="A61:B61"/>
    <mergeCell ref="A64:B64"/>
    <mergeCell ref="A65:B65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64.00390625" style="0" customWidth="1"/>
    <col min="2" max="2" width="18.421875" style="0" customWidth="1"/>
  </cols>
  <sheetData>
    <row r="1" spans="1:2" ht="12.75">
      <c r="A1" s="1436" t="s">
        <v>557</v>
      </c>
      <c r="B1" s="1436"/>
    </row>
    <row r="2" spans="1:2" ht="15.75">
      <c r="A2" s="1437" t="s">
        <v>558</v>
      </c>
      <c r="B2" s="1437"/>
    </row>
    <row r="3" spans="1:2" ht="15.75">
      <c r="A3" s="1437" t="s">
        <v>2</v>
      </c>
      <c r="B3" s="1437"/>
    </row>
    <row r="4" spans="1:2" ht="15.75">
      <c r="A4" s="548"/>
      <c r="B4" s="548"/>
    </row>
    <row r="5" ht="12.75">
      <c r="B5" s="441" t="s">
        <v>33</v>
      </c>
    </row>
    <row r="6" spans="1:2" ht="31.5">
      <c r="A6" s="556" t="s">
        <v>559</v>
      </c>
      <c r="B6" s="557" t="s">
        <v>560</v>
      </c>
    </row>
    <row r="7" spans="1:2" ht="15.75">
      <c r="A7" s="558" t="s">
        <v>561</v>
      </c>
      <c r="B7" s="559"/>
    </row>
    <row r="8" spans="1:2" ht="15">
      <c r="A8" s="560" t="s">
        <v>562</v>
      </c>
      <c r="B8" s="561">
        <f>15000-15000</f>
        <v>0</v>
      </c>
    </row>
    <row r="9" spans="1:2" ht="15">
      <c r="A9" s="562" t="s">
        <v>563</v>
      </c>
      <c r="B9" s="563">
        <v>600</v>
      </c>
    </row>
    <row r="10" spans="1:2" ht="15" customHeight="1">
      <c r="A10" s="562" t="s">
        <v>564</v>
      </c>
      <c r="B10" s="564">
        <f>20000-20000</f>
        <v>0</v>
      </c>
    </row>
    <row r="11" spans="1:2" ht="15">
      <c r="A11" s="565" t="s">
        <v>565</v>
      </c>
      <c r="B11" s="564">
        <f>9000-9000</f>
        <v>0</v>
      </c>
    </row>
    <row r="12" spans="1:2" ht="15">
      <c r="A12" s="562" t="s">
        <v>566</v>
      </c>
      <c r="B12" s="563">
        <f>3000-3000</f>
        <v>0</v>
      </c>
    </row>
    <row r="13" spans="1:2" ht="15">
      <c r="A13" s="566" t="s">
        <v>567</v>
      </c>
      <c r="B13" s="564">
        <f>15032-14508</f>
        <v>524</v>
      </c>
    </row>
    <row r="14" spans="1:2" ht="30">
      <c r="A14" s="562" t="s">
        <v>568</v>
      </c>
      <c r="B14" s="563">
        <v>0</v>
      </c>
    </row>
    <row r="15" spans="1:2" ht="30">
      <c r="A15" s="567" t="s">
        <v>569</v>
      </c>
      <c r="B15" s="568">
        <f>1353-469</f>
        <v>884</v>
      </c>
    </row>
    <row r="16" spans="1:2" ht="26.25" customHeight="1">
      <c r="A16" s="569" t="s">
        <v>570</v>
      </c>
      <c r="B16" s="570">
        <f>SUM(B8:B15)</f>
        <v>2008</v>
      </c>
    </row>
    <row r="17" spans="1:2" ht="15">
      <c r="A17" s="567"/>
      <c r="B17" s="571"/>
    </row>
    <row r="18" spans="1:2" ht="15.75">
      <c r="A18" s="572" t="s">
        <v>571</v>
      </c>
      <c r="B18" s="573"/>
    </row>
    <row r="19" spans="1:2" ht="15">
      <c r="A19" s="562" t="s">
        <v>572</v>
      </c>
      <c r="B19" s="563"/>
    </row>
    <row r="20" spans="1:2" ht="15">
      <c r="A20" s="562" t="s">
        <v>573</v>
      </c>
      <c r="B20" s="563">
        <f>25000-25000</f>
        <v>0</v>
      </c>
    </row>
    <row r="21" spans="1:2" ht="15">
      <c r="A21" s="562" t="s">
        <v>574</v>
      </c>
      <c r="B21" s="563">
        <f>2000+2653-1464+25000+9+987-1323-114+4925-2356-912-17200-4+1326-2813-743-35-29-420-404-34-11-3529</f>
        <v>5509</v>
      </c>
    </row>
    <row r="22" spans="1:2" ht="15">
      <c r="A22" s="562" t="s">
        <v>575</v>
      </c>
      <c r="B22" s="563">
        <v>0</v>
      </c>
    </row>
    <row r="23" spans="1:2" ht="21" customHeight="1">
      <c r="A23" s="562" t="s">
        <v>576</v>
      </c>
      <c r="B23" s="563"/>
    </row>
    <row r="24" spans="1:2" ht="15">
      <c r="A24" s="565"/>
      <c r="B24" s="568"/>
    </row>
    <row r="25" spans="1:2" ht="15.75">
      <c r="A25" s="103" t="s">
        <v>577</v>
      </c>
      <c r="B25" s="574">
        <f>SUM(B19:B24)</f>
        <v>5509</v>
      </c>
    </row>
    <row r="26" spans="1:2" ht="15.75">
      <c r="A26" s="103"/>
      <c r="B26" s="574"/>
    </row>
    <row r="27" spans="1:2" ht="15.75">
      <c r="A27" s="103" t="s">
        <v>578</v>
      </c>
      <c r="B27" s="574">
        <f>B16+B25</f>
        <v>7517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5.421875" style="0" customWidth="1"/>
    <col min="2" max="2" width="22.8515625" style="0" customWidth="1"/>
  </cols>
  <sheetData>
    <row r="1" ht="12.75">
      <c r="B1" s="441" t="s">
        <v>579</v>
      </c>
    </row>
    <row r="3" spans="1:2" ht="15.75">
      <c r="A3" s="1437" t="s">
        <v>580</v>
      </c>
      <c r="B3" s="1437"/>
    </row>
    <row r="4" spans="1:2" ht="15.75">
      <c r="A4" s="548"/>
      <c r="B4" s="548"/>
    </row>
    <row r="5" ht="13.5" thickBot="1"/>
    <row r="6" spans="1:2" ht="15.75">
      <c r="A6" s="555" t="s">
        <v>581</v>
      </c>
      <c r="B6" s="575" t="s">
        <v>582</v>
      </c>
    </row>
    <row r="7" spans="1:2" ht="15">
      <c r="A7" s="576" t="s">
        <v>583</v>
      </c>
      <c r="B7" s="577">
        <v>68</v>
      </c>
    </row>
    <row r="8" spans="1:2" ht="15">
      <c r="A8" s="576" t="s">
        <v>584</v>
      </c>
      <c r="B8" s="577">
        <v>49</v>
      </c>
    </row>
    <row r="9" spans="1:2" ht="15">
      <c r="A9" s="576" t="s">
        <v>547</v>
      </c>
      <c r="B9" s="577">
        <v>77</v>
      </c>
    </row>
    <row r="10" spans="1:2" ht="15">
      <c r="A10" s="576" t="s">
        <v>546</v>
      </c>
      <c r="B10" s="577">
        <v>51</v>
      </c>
    </row>
    <row r="11" spans="1:2" ht="15">
      <c r="A11" s="576" t="s">
        <v>173</v>
      </c>
      <c r="B11" s="577">
        <f>79+1</f>
        <v>80</v>
      </c>
    </row>
    <row r="12" spans="1:2" ht="15">
      <c r="A12" s="576" t="s">
        <v>585</v>
      </c>
      <c r="B12" s="577">
        <v>11</v>
      </c>
    </row>
    <row r="13" spans="1:2" ht="15">
      <c r="A13" s="576" t="s">
        <v>586</v>
      </c>
      <c r="B13" s="577">
        <v>76.05</v>
      </c>
    </row>
    <row r="14" spans="1:2" ht="15">
      <c r="A14" s="576" t="s">
        <v>587</v>
      </c>
      <c r="B14" s="577">
        <v>1</v>
      </c>
    </row>
    <row r="15" spans="1:2" ht="15">
      <c r="A15" s="576" t="s">
        <v>588</v>
      </c>
      <c r="B15" s="577">
        <v>61.5</v>
      </c>
    </row>
    <row r="16" spans="1:2" ht="15">
      <c r="A16" s="576" t="s">
        <v>106</v>
      </c>
      <c r="B16" s="577">
        <v>83</v>
      </c>
    </row>
    <row r="17" spans="1:2" ht="15">
      <c r="A17" s="576" t="s">
        <v>107</v>
      </c>
      <c r="B17" s="577">
        <v>134</v>
      </c>
    </row>
    <row r="18" spans="1:2" ht="15">
      <c r="A18" s="578"/>
      <c r="B18" s="579"/>
    </row>
    <row r="19" spans="1:2" ht="15.75">
      <c r="A19" s="103" t="s">
        <v>589</v>
      </c>
      <c r="B19" s="1185">
        <f>SUM(B7:B18)</f>
        <v>691.55</v>
      </c>
    </row>
    <row r="20" spans="1:2" ht="15.75">
      <c r="A20" s="581"/>
      <c r="B20" s="582"/>
    </row>
    <row r="21" spans="1:2" ht="15.75">
      <c r="A21" s="581"/>
      <c r="B21" s="582"/>
    </row>
    <row r="23" ht="12.75">
      <c r="B23" s="441" t="s">
        <v>590</v>
      </c>
    </row>
    <row r="25" spans="1:2" ht="15.75">
      <c r="A25" s="1437" t="s">
        <v>591</v>
      </c>
      <c r="B25" s="1437"/>
    </row>
    <row r="26" spans="1:2" ht="15.75">
      <c r="A26" s="548"/>
      <c r="B26" s="548"/>
    </row>
    <row r="27" ht="13.5" thickBot="1"/>
    <row r="28" spans="1:2" ht="15.75">
      <c r="A28" s="555" t="s">
        <v>581</v>
      </c>
      <c r="B28" s="575" t="s">
        <v>582</v>
      </c>
    </row>
    <row r="29" spans="1:2" ht="15">
      <c r="A29" s="576" t="s">
        <v>592</v>
      </c>
      <c r="B29" s="577">
        <v>227</v>
      </c>
    </row>
    <row r="30" spans="1:2" ht="15">
      <c r="A30" s="578"/>
      <c r="B30" s="579"/>
    </row>
    <row r="31" spans="1:2" ht="15.75">
      <c r="A31" s="362" t="s">
        <v>589</v>
      </c>
      <c r="B31" s="580">
        <f>SUM(B29:B30)</f>
        <v>227</v>
      </c>
    </row>
    <row r="33" ht="17.25" customHeight="1"/>
    <row r="34" ht="18.75" customHeight="1"/>
    <row r="35" ht="12.75">
      <c r="B35" s="441" t="s">
        <v>1218</v>
      </c>
    </row>
    <row r="37" spans="1:2" ht="15.75">
      <c r="A37" s="1437" t="s">
        <v>1219</v>
      </c>
      <c r="B37" s="1437"/>
    </row>
    <row r="38" spans="1:2" ht="15.75">
      <c r="A38" s="548"/>
      <c r="B38" s="548"/>
    </row>
    <row r="39" ht="13.5" thickBot="1"/>
    <row r="40" spans="1:2" ht="16.5" thickBot="1">
      <c r="A40" s="555" t="s">
        <v>581</v>
      </c>
      <c r="B40" s="575" t="s">
        <v>582</v>
      </c>
    </row>
    <row r="41" spans="1:2" ht="15">
      <c r="A41" s="576" t="s">
        <v>1220</v>
      </c>
      <c r="B41" s="577">
        <v>2</v>
      </c>
    </row>
    <row r="42" spans="1:2" ht="15.75" thickBot="1">
      <c r="A42" s="578"/>
      <c r="B42" s="579"/>
    </row>
    <row r="43" spans="1:2" ht="16.5" thickBot="1">
      <c r="A43" s="362" t="s">
        <v>589</v>
      </c>
      <c r="B43" s="580">
        <f>SUM(B41:B42)</f>
        <v>2</v>
      </c>
    </row>
  </sheetData>
  <sheetProtection/>
  <mergeCells count="3">
    <mergeCell ref="A3:B3"/>
    <mergeCell ref="A25:B25"/>
    <mergeCell ref="A37:B3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4">
      <selection activeCell="A52" sqref="A1:D52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5.57421875" style="0" customWidth="1"/>
    <col min="4" max="4" width="17.140625" style="0" customWidth="1"/>
  </cols>
  <sheetData>
    <row r="1" ht="14.25">
      <c r="D1" s="43" t="s">
        <v>31</v>
      </c>
    </row>
    <row r="2" spans="1:4" ht="15.75">
      <c r="A2" s="1382" t="s">
        <v>32</v>
      </c>
      <c r="B2" s="1382"/>
      <c r="C2" s="1382"/>
      <c r="D2" s="1382"/>
    </row>
    <row r="3" spans="1:4" ht="6.75" customHeight="1">
      <c r="A3" s="44"/>
      <c r="B3" s="45"/>
      <c r="C3" s="45"/>
      <c r="D3" s="45"/>
    </row>
    <row r="4" spans="1:4" ht="15.75">
      <c r="A4" s="46"/>
      <c r="B4" s="47"/>
      <c r="D4" s="48" t="s">
        <v>33</v>
      </c>
    </row>
    <row r="5" spans="1:4" ht="15.75">
      <c r="A5" s="49" t="s">
        <v>34</v>
      </c>
      <c r="B5" s="50" t="s">
        <v>35</v>
      </c>
      <c r="C5" s="50" t="s">
        <v>36</v>
      </c>
      <c r="D5" s="50" t="s">
        <v>37</v>
      </c>
    </row>
    <row r="6" spans="1:4" ht="15.75">
      <c r="A6" s="51" t="s">
        <v>38</v>
      </c>
      <c r="B6" s="52" t="s">
        <v>39</v>
      </c>
      <c r="C6" s="52" t="s">
        <v>40</v>
      </c>
      <c r="D6" s="52" t="s">
        <v>41</v>
      </c>
    </row>
    <row r="7" spans="1:4" ht="12.75">
      <c r="A7" s="50" t="s">
        <v>42</v>
      </c>
      <c r="B7" s="53"/>
      <c r="C7" s="54"/>
      <c r="D7" s="53"/>
    </row>
    <row r="8" spans="1:4" ht="12.75">
      <c r="A8" s="55" t="s">
        <v>43</v>
      </c>
      <c r="B8" s="56">
        <f>1_b_sz_melléklet!D8</f>
        <v>378252</v>
      </c>
      <c r="C8" s="57">
        <f>1_d_sz_melléklet!F422</f>
        <v>1461660</v>
      </c>
      <c r="D8" s="56">
        <f>B8+C8</f>
        <v>1839912</v>
      </c>
    </row>
    <row r="9" spans="1:4" ht="12.75">
      <c r="A9" s="58" t="s">
        <v>44</v>
      </c>
      <c r="B9" s="56">
        <f>1_b_sz_melléklet!D9</f>
        <v>98965</v>
      </c>
      <c r="C9" s="57">
        <f>1_d_sz_melléklet!F423</f>
        <v>385325</v>
      </c>
      <c r="D9" s="56">
        <f aca="true" t="shared" si="0" ref="D9:D14">B9+C9</f>
        <v>484290</v>
      </c>
    </row>
    <row r="10" spans="1:4" ht="12.75">
      <c r="A10" s="58" t="s">
        <v>45</v>
      </c>
      <c r="B10" s="56">
        <f>1_b_sz_melléklet!D10</f>
        <v>205636</v>
      </c>
      <c r="C10" s="57">
        <f>1_d_sz_melléklet!F424</f>
        <v>1109163</v>
      </c>
      <c r="D10" s="56">
        <f t="shared" si="0"/>
        <v>1314799</v>
      </c>
    </row>
    <row r="11" spans="1:4" ht="12.75">
      <c r="A11" s="58" t="s">
        <v>46</v>
      </c>
      <c r="B11" s="56">
        <f>1_b_sz_melléklet!D11</f>
        <v>0</v>
      </c>
      <c r="C11" s="57">
        <f>1_d_sz_melléklet!D425</f>
        <v>-98791</v>
      </c>
      <c r="D11" s="56">
        <f t="shared" si="0"/>
        <v>-98791</v>
      </c>
    </row>
    <row r="12" spans="1:4" ht="12.75">
      <c r="A12" s="58" t="s">
        <v>47</v>
      </c>
      <c r="B12" s="56">
        <f>1_b_sz_melléklet!D12</f>
        <v>0</v>
      </c>
      <c r="C12" s="57">
        <f>1_d_sz_melléklet!F426</f>
        <v>16851</v>
      </c>
      <c r="D12" s="56">
        <f t="shared" si="0"/>
        <v>16851</v>
      </c>
    </row>
    <row r="13" spans="1:4" ht="12.75">
      <c r="A13" s="58" t="s">
        <v>48</v>
      </c>
      <c r="B13" s="56">
        <f>1_b_sz_melléklet!D13</f>
        <v>0</v>
      </c>
      <c r="C13" s="57">
        <f>1_d_sz_melléklet!F427</f>
        <v>365880</v>
      </c>
      <c r="D13" s="56">
        <f t="shared" si="0"/>
        <v>365880</v>
      </c>
    </row>
    <row r="14" spans="1:4" ht="12.75">
      <c r="A14" s="59" t="s">
        <v>49</v>
      </c>
      <c r="B14" s="56">
        <f>1_b_sz_melléklet!D14</f>
        <v>0</v>
      </c>
      <c r="C14" s="60">
        <f>1_d_sz_melléklet!F428</f>
        <v>365880</v>
      </c>
      <c r="D14" s="56">
        <f t="shared" si="0"/>
        <v>365880</v>
      </c>
    </row>
    <row r="15" spans="1:4" ht="12.75">
      <c r="A15" s="61" t="s">
        <v>50</v>
      </c>
      <c r="B15" s="62">
        <f>SUM(B8:B13)</f>
        <v>682853</v>
      </c>
      <c r="C15" s="62">
        <f>1_d_sz_melléklet!F429</f>
        <v>3240088</v>
      </c>
      <c r="D15" s="62">
        <f>C15+B15</f>
        <v>3922941</v>
      </c>
    </row>
    <row r="16" spans="1:4" ht="12.75">
      <c r="A16" s="63"/>
      <c r="B16" s="64"/>
      <c r="C16" s="65"/>
      <c r="D16" s="64"/>
    </row>
    <row r="17" spans="1:4" ht="12.75">
      <c r="A17" s="66" t="s">
        <v>51</v>
      </c>
      <c r="B17" s="67"/>
      <c r="C17" s="68"/>
      <c r="D17" s="58"/>
    </row>
    <row r="18" spans="1:4" ht="12.75">
      <c r="A18" s="58" t="s">
        <v>52</v>
      </c>
      <c r="B18" s="67">
        <f>1_b_sz_melléklet!D19</f>
        <v>11768</v>
      </c>
      <c r="C18" s="57">
        <f>1_d_sz_melléklet!F432</f>
        <v>3950700</v>
      </c>
      <c r="D18" s="56">
        <f>B18+C18</f>
        <v>3962468</v>
      </c>
    </row>
    <row r="19" spans="1:4" ht="12.75">
      <c r="A19" s="58" t="s">
        <v>53</v>
      </c>
      <c r="B19" s="67">
        <f>1_b_sz_melléklet!D20</f>
        <v>8016</v>
      </c>
      <c r="C19" s="57">
        <f>1_d_sz_melléklet!F433</f>
        <v>108991</v>
      </c>
      <c r="D19" s="56">
        <f>B19+C19</f>
        <v>117007</v>
      </c>
    </row>
    <row r="20" spans="1:4" ht="12.75">
      <c r="A20" s="58" t="s">
        <v>54</v>
      </c>
      <c r="B20" s="67">
        <f>1_b_sz_melléklet!D21</f>
        <v>0</v>
      </c>
      <c r="C20" s="57">
        <f>1_d_sz_melléklet!F434</f>
        <v>1500</v>
      </c>
      <c r="D20" s="56">
        <f>B20+C20</f>
        <v>1500</v>
      </c>
    </row>
    <row r="21" spans="1:4" ht="12.75">
      <c r="A21" s="58" t="s">
        <v>55</v>
      </c>
      <c r="B21" s="67">
        <f>1_b_sz_melléklet!D22</f>
        <v>0</v>
      </c>
      <c r="C21" s="57">
        <f>1_d_sz_melléklet!F435</f>
        <v>98791</v>
      </c>
      <c r="D21" s="56">
        <f>B21+C21</f>
        <v>98791</v>
      </c>
    </row>
    <row r="22" spans="1:4" ht="13.5" thickBot="1">
      <c r="A22" s="1152" t="s">
        <v>1238</v>
      </c>
      <c r="B22" s="82">
        <f>1_b_sz_melléklet!D23</f>
        <v>0</v>
      </c>
      <c r="C22" s="90">
        <f>1_d_sz_melléklet!F436</f>
        <v>110114</v>
      </c>
      <c r="D22" s="56">
        <f>B22+C22</f>
        <v>110114</v>
      </c>
    </row>
    <row r="23" spans="1:4" ht="13.5" thickBot="1">
      <c r="A23" s="61" t="s">
        <v>56</v>
      </c>
      <c r="B23" s="62">
        <f>SUM(B18:B22)</f>
        <v>19784</v>
      </c>
      <c r="C23" s="62">
        <f>SUM(C18:C22)</f>
        <v>4270096</v>
      </c>
      <c r="D23" s="62">
        <f>SUM(D18:D22)</f>
        <v>4289880</v>
      </c>
    </row>
    <row r="24" spans="1:4" ht="12.75">
      <c r="A24" s="69"/>
      <c r="B24" s="70"/>
      <c r="C24" s="71"/>
      <c r="D24" s="72"/>
    </row>
    <row r="25" spans="1:4" ht="12.75">
      <c r="A25" s="69" t="s">
        <v>57</v>
      </c>
      <c r="B25" s="70"/>
      <c r="C25" s="67"/>
      <c r="D25" s="72"/>
    </row>
    <row r="26" spans="1:4" ht="12.75">
      <c r="A26" s="73" t="s">
        <v>58</v>
      </c>
      <c r="B26" s="74">
        <f>1_b_sz_melléklet!D27</f>
        <v>0</v>
      </c>
      <c r="C26" s="56">
        <f>1_d_sz_melléklet!F440</f>
        <v>82556</v>
      </c>
      <c r="D26" s="75">
        <f>B26+C26</f>
        <v>82556</v>
      </c>
    </row>
    <row r="27" spans="1:4" ht="12.75">
      <c r="A27" s="76" t="s">
        <v>59</v>
      </c>
      <c r="B27" s="74">
        <f>1_b_sz_melléklet!D28</f>
        <v>0</v>
      </c>
      <c r="C27" s="77">
        <f>1_d_sz_melléklet!F441</f>
        <v>0</v>
      </c>
      <c r="D27" s="78">
        <f>B27+C27</f>
        <v>0</v>
      </c>
    </row>
    <row r="28" spans="1:4" ht="12.75">
      <c r="A28" s="61" t="s">
        <v>60</v>
      </c>
      <c r="B28" s="79">
        <f>SUM(B26:B27)</f>
        <v>0</v>
      </c>
      <c r="C28" s="62">
        <f>SUM(C26:C27)</f>
        <v>82556</v>
      </c>
      <c r="D28" s="80">
        <f>B28+C28</f>
        <v>82556</v>
      </c>
    </row>
    <row r="29" spans="1:4" ht="12.75">
      <c r="A29" s="69"/>
      <c r="B29" s="70"/>
      <c r="C29" s="71"/>
      <c r="D29" s="72"/>
    </row>
    <row r="30" spans="1:4" ht="12.75">
      <c r="A30" s="81" t="s">
        <v>61</v>
      </c>
      <c r="B30" s="70"/>
      <c r="C30" s="67"/>
      <c r="D30" s="72"/>
    </row>
    <row r="31" spans="1:4" ht="12.75">
      <c r="A31" s="73" t="s">
        <v>58</v>
      </c>
      <c r="B31" s="74">
        <f>1_b_sz_melléklet!D32</f>
        <v>0</v>
      </c>
      <c r="C31" s="56">
        <f>1_d_sz_melléklet!F445</f>
        <v>237923</v>
      </c>
      <c r="D31" s="75">
        <f>B31+C31</f>
        <v>237923</v>
      </c>
    </row>
    <row r="32" spans="1:4" ht="13.5" thickBot="1">
      <c r="A32" s="76" t="s">
        <v>59</v>
      </c>
      <c r="B32" s="74">
        <f>1_b_sz_melléklet!D33</f>
        <v>0</v>
      </c>
      <c r="C32" s="77">
        <f>1_d_sz_melléklet!F446</f>
        <v>96266</v>
      </c>
      <c r="D32" s="75">
        <f>B32+C32</f>
        <v>96266</v>
      </c>
    </row>
    <row r="33" spans="1:4" ht="13.5" thickBot="1">
      <c r="A33" s="61" t="s">
        <v>62</v>
      </c>
      <c r="B33" s="79">
        <f>SUM(B31:B32)</f>
        <v>0</v>
      </c>
      <c r="C33" s="849">
        <f>1_d_sz_melléklet!F447</f>
        <v>334189</v>
      </c>
      <c r="D33" s="80">
        <f>B33+C33</f>
        <v>334189</v>
      </c>
    </row>
    <row r="34" spans="1:4" ht="12.75">
      <c r="A34" s="69"/>
      <c r="B34" s="70"/>
      <c r="C34" s="850"/>
      <c r="D34" s="72"/>
    </row>
    <row r="35" spans="1:4" ht="12.75">
      <c r="A35" s="66" t="s">
        <v>63</v>
      </c>
      <c r="B35" s="225"/>
      <c r="C35" s="1093"/>
      <c r="D35" s="113"/>
    </row>
    <row r="36" spans="1:4" ht="12.75">
      <c r="A36" s="58" t="s">
        <v>64</v>
      </c>
      <c r="B36" s="67">
        <f>1_b_sz_melléklet!D37</f>
        <v>0</v>
      </c>
      <c r="C36" s="68">
        <f>1_d_sz_melléklet!F449</f>
        <v>1160</v>
      </c>
      <c r="D36" s="67">
        <f>B36+C36</f>
        <v>1160</v>
      </c>
    </row>
    <row r="37" spans="1:4" ht="12.75">
      <c r="A37" s="83" t="s">
        <v>65</v>
      </c>
      <c r="B37" s="67">
        <f>1_b_sz_melléklet!D38</f>
        <v>0</v>
      </c>
      <c r="C37" s="60">
        <f>1_d_sz_melléklet!F450</f>
        <v>7500</v>
      </c>
      <c r="D37" s="67">
        <f>B37+C37</f>
        <v>7500</v>
      </c>
    </row>
    <row r="38" spans="1:4" ht="12.75">
      <c r="A38" s="61" t="s">
        <v>66</v>
      </c>
      <c r="B38" s="62">
        <f>SUM(B36:B37)</f>
        <v>0</v>
      </c>
      <c r="C38" s="62">
        <f>SUM(C36:C37)</f>
        <v>8660</v>
      </c>
      <c r="D38" s="62">
        <f>B38+C38</f>
        <v>8660</v>
      </c>
    </row>
    <row r="39" spans="1:4" ht="12.75">
      <c r="A39" s="84"/>
      <c r="B39" s="71"/>
      <c r="C39" s="85"/>
      <c r="D39" s="71"/>
    </row>
    <row r="40" spans="1:4" ht="12.75">
      <c r="A40" s="86" t="s">
        <v>67</v>
      </c>
      <c r="B40" s="87"/>
      <c r="C40" s="68"/>
      <c r="D40" s="87"/>
    </row>
    <row r="41" spans="1:4" ht="12.75">
      <c r="A41" s="88" t="s">
        <v>68</v>
      </c>
      <c r="B41" s="67">
        <f>1_b_sz_melléklet!D42</f>
        <v>0</v>
      </c>
      <c r="C41" s="57">
        <f>1_d_sz_melléklet!F453</f>
        <v>1999</v>
      </c>
      <c r="D41" s="67">
        <f>C41+B41</f>
        <v>1999</v>
      </c>
    </row>
    <row r="42" spans="1:4" ht="12.75">
      <c r="A42" s="89" t="s">
        <v>69</v>
      </c>
      <c r="B42" s="67">
        <f>1_b_sz_melléklet!D43</f>
        <v>0</v>
      </c>
      <c r="C42" s="60">
        <f>1_d_sz_melléklet!F454</f>
        <v>7517</v>
      </c>
      <c r="D42" s="67">
        <f>C42+B42</f>
        <v>7517</v>
      </c>
    </row>
    <row r="43" spans="1:4" ht="12.75">
      <c r="A43" s="61" t="s">
        <v>70</v>
      </c>
      <c r="B43" s="62">
        <f>SUM(B41:B42)</f>
        <v>0</v>
      </c>
      <c r="C43" s="62">
        <f>1_d_sz_melléklet!F455</f>
        <v>9516</v>
      </c>
      <c r="D43" s="62">
        <f>C43+B43</f>
        <v>9516</v>
      </c>
    </row>
    <row r="44" spans="1:4" ht="7.5" customHeight="1">
      <c r="A44" s="69"/>
      <c r="B44" s="82"/>
      <c r="C44" s="90"/>
      <c r="D44" s="82"/>
    </row>
    <row r="45" spans="1:4" ht="31.5" customHeight="1">
      <c r="A45" s="91" t="s">
        <v>71</v>
      </c>
      <c r="B45" s="92">
        <f>B43+B38+B33+B28+B23+B15</f>
        <v>702637</v>
      </c>
      <c r="C45" s="92">
        <f>C43+C38+C33+C28+C23+C15</f>
        <v>7945105</v>
      </c>
      <c r="D45" s="92">
        <f>D43+D38+D33+D28+D23+D15</f>
        <v>8647742</v>
      </c>
    </row>
    <row r="46" spans="1:4" ht="12.75">
      <c r="A46" s="93"/>
      <c r="B46" s="94"/>
      <c r="C46" s="68"/>
      <c r="D46" s="95"/>
    </row>
    <row r="47" spans="1:4" ht="12.75">
      <c r="A47" s="52" t="s">
        <v>72</v>
      </c>
      <c r="B47" s="96"/>
      <c r="D47" s="96"/>
    </row>
    <row r="48" spans="1:4" s="99" customFormat="1" ht="12.75">
      <c r="A48" s="97" t="s">
        <v>73</v>
      </c>
      <c r="B48" s="98">
        <f>1_b_sz_melléklet!D49</f>
        <v>0</v>
      </c>
      <c r="C48" s="87">
        <f>1_d_sz_melléklet!F460</f>
        <v>0</v>
      </c>
      <c r="D48" s="98">
        <f>SUM(B48:C48)</f>
        <v>0</v>
      </c>
    </row>
    <row r="49" spans="1:4" s="99" customFormat="1" ht="12.75">
      <c r="A49" s="76" t="s">
        <v>1221</v>
      </c>
      <c r="B49" s="98">
        <f>1_b_sz_melléklet!D50</f>
        <v>0</v>
      </c>
      <c r="C49" s="82">
        <f>1_d_sz_melléklet!F461</f>
        <v>14432</v>
      </c>
      <c r="D49" s="100">
        <f>SUM(B49:C49)</f>
        <v>14432</v>
      </c>
    </row>
    <row r="50" spans="1:4" ht="12.75">
      <c r="A50" s="61" t="s">
        <v>74</v>
      </c>
      <c r="B50" s="62">
        <f>SUM(B48:B49)</f>
        <v>0</v>
      </c>
      <c r="C50" s="62">
        <f>1_d_sz_melléklet!F462</f>
        <v>14432</v>
      </c>
      <c r="D50" s="62">
        <f>SUM(D48:D49)</f>
        <v>14432</v>
      </c>
    </row>
    <row r="51" spans="1:4" ht="12.75">
      <c r="A51" s="83"/>
      <c r="B51" s="82"/>
      <c r="C51" s="90"/>
      <c r="D51" s="67"/>
    </row>
    <row r="52" spans="1:4" ht="24.75" customHeight="1">
      <c r="A52" s="101" t="s">
        <v>75</v>
      </c>
      <c r="B52" s="92">
        <f>B50+B45</f>
        <v>702637</v>
      </c>
      <c r="C52" s="62">
        <f>1_d_sz_melléklet!F464</f>
        <v>7959537</v>
      </c>
      <c r="D52" s="92">
        <f>D50+D45</f>
        <v>8662174</v>
      </c>
    </row>
  </sheetData>
  <sheetProtection/>
  <mergeCells count="1">
    <mergeCell ref="A2:D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4">
      <selection activeCell="D47" sqref="D47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27.421875" style="0" customWidth="1"/>
    <col min="4" max="4" width="13.00390625" style="0" customWidth="1"/>
  </cols>
  <sheetData>
    <row r="1" spans="1:4" ht="12.75">
      <c r="A1" s="583"/>
      <c r="B1" s="583"/>
      <c r="C1" s="1441" t="s">
        <v>593</v>
      </c>
      <c r="D1" s="1441"/>
    </row>
    <row r="2" spans="1:4" ht="15.75">
      <c r="A2" s="1442" t="s">
        <v>594</v>
      </c>
      <c r="B2" s="1442"/>
      <c r="C2" s="1442"/>
      <c r="D2" s="1442"/>
    </row>
    <row r="3" spans="1:4" ht="9" customHeight="1">
      <c r="A3" s="583"/>
      <c r="B3" s="583"/>
      <c r="C3" s="583"/>
      <c r="D3" s="583"/>
    </row>
    <row r="4" spans="1:4" ht="13.5" thickBot="1">
      <c r="A4" s="583"/>
      <c r="B4" s="583"/>
      <c r="C4" s="1438" t="s">
        <v>33</v>
      </c>
      <c r="D4" s="1438"/>
    </row>
    <row r="5" spans="1:4" ht="13.5" thickBot="1">
      <c r="A5" s="1443" t="s">
        <v>446</v>
      </c>
      <c r="B5" s="1444"/>
      <c r="C5" s="1445" t="s">
        <v>595</v>
      </c>
      <c r="D5" s="1446"/>
    </row>
    <row r="6" spans="1:4" ht="22.5" customHeight="1">
      <c r="A6" s="1129" t="s">
        <v>559</v>
      </c>
      <c r="B6" s="1123" t="s">
        <v>596</v>
      </c>
      <c r="C6" s="1120" t="s">
        <v>559</v>
      </c>
      <c r="D6" s="1130" t="s">
        <v>597</v>
      </c>
    </row>
    <row r="7" spans="1:4" ht="12.75">
      <c r="A7" s="1131" t="s">
        <v>598</v>
      </c>
      <c r="B7" s="1124">
        <f>'2_sz_ melléklet'!D6</f>
        <v>1636852</v>
      </c>
      <c r="C7" s="595" t="s">
        <v>599</v>
      </c>
      <c r="D7" s="1132">
        <f>'1_a_sz_ melléklet'!D8</f>
        <v>1839912</v>
      </c>
    </row>
    <row r="8" spans="1:4" ht="12.75">
      <c r="A8" s="1131" t="s">
        <v>600</v>
      </c>
      <c r="B8" s="1124">
        <f>-3590-45302</f>
        <v>-48892</v>
      </c>
      <c r="C8" s="595" t="s">
        <v>601</v>
      </c>
      <c r="D8" s="1132">
        <f>'1_a_sz_ melléklet'!D9</f>
        <v>484290</v>
      </c>
    </row>
    <row r="9" spans="1:4" ht="12.75">
      <c r="A9" s="1032" t="s">
        <v>1236</v>
      </c>
      <c r="B9" s="1139">
        <f>-62250-23607-1030-19787-3440</f>
        <v>-110114</v>
      </c>
      <c r="C9" s="595" t="s">
        <v>407</v>
      </c>
      <c r="D9" s="1132">
        <f>'1_a_sz_ melléklet'!D10</f>
        <v>1314799</v>
      </c>
    </row>
    <row r="10" spans="1:4" ht="12.75">
      <c r="A10" s="1131" t="s">
        <v>602</v>
      </c>
      <c r="B10" s="1125">
        <v>0</v>
      </c>
      <c r="C10" s="595" t="s">
        <v>1237</v>
      </c>
      <c r="D10" s="1132">
        <v>15097</v>
      </c>
    </row>
    <row r="11" spans="1:4" ht="12.75">
      <c r="A11" s="1131" t="s">
        <v>603</v>
      </c>
      <c r="B11" s="1125">
        <v>-6144</v>
      </c>
      <c r="C11" s="595" t="s">
        <v>605</v>
      </c>
      <c r="D11" s="1132">
        <f>-'1_a_sz_ melléklet'!D21</f>
        <v>-98791</v>
      </c>
    </row>
    <row r="12" spans="1:4" ht="12.75">
      <c r="A12" s="1131" t="s">
        <v>604</v>
      </c>
      <c r="B12" s="1124">
        <f>'2_sz_ melléklet'!D13</f>
        <v>4941721.994666667</v>
      </c>
      <c r="C12" s="595" t="s">
        <v>607</v>
      </c>
      <c r="D12" s="1132">
        <v>-3590</v>
      </c>
    </row>
    <row r="13" spans="1:4" ht="12.75">
      <c r="A13" s="1133" t="s">
        <v>606</v>
      </c>
      <c r="B13" s="1125">
        <v>-27593</v>
      </c>
      <c r="C13" s="595" t="s">
        <v>609</v>
      </c>
      <c r="D13" s="1132">
        <f>'1_a_sz_ melléklet'!D13</f>
        <v>365880</v>
      </c>
    </row>
    <row r="14" spans="1:4" ht="12.75">
      <c r="A14" s="1134" t="s">
        <v>608</v>
      </c>
      <c r="B14" s="1124">
        <f>-('2_sz_ melléklet'!D19+'2_sz_ melléklet'!D24)+(-'2_f_h_sz_ melléklet'!D10-'2_f_h_sz_ melléklet'!D11-'2_f_h_sz_ melléklet'!D14)-'2_f_h_sz_ melléklet'!D25-'2_f_h_sz_ melléklet'!D27</f>
        <v>-2521706</v>
      </c>
      <c r="C14" s="597" t="s">
        <v>611</v>
      </c>
      <c r="D14" s="1132">
        <f>'1_a_sz_ melléklet'!D14</f>
        <v>365880</v>
      </c>
    </row>
    <row r="15" spans="1:4" ht="12.75">
      <c r="A15" s="1134" t="s">
        <v>610</v>
      </c>
      <c r="B15" s="1124">
        <f>'2_sz_ melléklet'!D35</f>
        <v>268</v>
      </c>
      <c r="C15" s="597" t="s">
        <v>612</v>
      </c>
      <c r="D15" s="1132">
        <f>'1_a_sz_ melléklet'!D12</f>
        <v>16851</v>
      </c>
    </row>
    <row r="16" spans="1:4" ht="12.75">
      <c r="A16" s="1134"/>
      <c r="B16" s="1124"/>
      <c r="C16" s="597" t="s">
        <v>613</v>
      </c>
      <c r="D16" s="1132">
        <f>'1_a_sz_ melléklet'!D26</f>
        <v>82556</v>
      </c>
    </row>
    <row r="17" spans="1:4" ht="12.75">
      <c r="A17" s="1134"/>
      <c r="B17" s="1124"/>
      <c r="C17" s="597" t="s">
        <v>614</v>
      </c>
      <c r="D17" s="1132">
        <f>'1_a_sz_ melléklet'!D36</f>
        <v>1160</v>
      </c>
    </row>
    <row r="18" spans="1:4" ht="12.75">
      <c r="A18" s="1134"/>
      <c r="B18" s="1124"/>
      <c r="C18" s="1121" t="s">
        <v>615</v>
      </c>
      <c r="D18" s="1132">
        <f>'1_a_sz_ melléklet'!D31</f>
        <v>237923</v>
      </c>
    </row>
    <row r="19" spans="1:4" ht="12.75">
      <c r="A19" s="1134"/>
      <c r="B19" s="1124"/>
      <c r="C19" s="597" t="s">
        <v>616</v>
      </c>
      <c r="D19" s="1132">
        <f>D20+D21</f>
        <v>4007</v>
      </c>
    </row>
    <row r="20" spans="1:4" ht="12.75">
      <c r="A20" s="1134"/>
      <c r="B20" s="1124"/>
      <c r="C20" s="597" t="s">
        <v>617</v>
      </c>
      <c r="D20" s="1132">
        <f>'1_a_sz_ melléklet'!D41</f>
        <v>1999</v>
      </c>
    </row>
    <row r="21" spans="1:4" ht="12.75">
      <c r="A21" s="1134"/>
      <c r="B21" s="1124"/>
      <c r="C21" s="597" t="s">
        <v>618</v>
      </c>
      <c r="D21" s="1135">
        <f>'5_sz_ melléklet'!B16</f>
        <v>2008</v>
      </c>
    </row>
    <row r="22" spans="1:4" ht="13.5" thickBot="1">
      <c r="A22" s="1136" t="s">
        <v>619</v>
      </c>
      <c r="B22" s="1126">
        <f>SUM(B7:B20)</f>
        <v>3864392.9946666667</v>
      </c>
      <c r="C22" s="1137" t="s">
        <v>620</v>
      </c>
      <c r="D22" s="1138">
        <f>D7+D8+D9+D12+D13+D15+D18+D11+D16+D17+D19</f>
        <v>4244997</v>
      </c>
    </row>
    <row r="23" spans="1:4" ht="6.75" customHeight="1" thickBot="1">
      <c r="A23" s="1127"/>
      <c r="B23" s="1122"/>
      <c r="C23" s="1128"/>
      <c r="D23" s="588"/>
    </row>
    <row r="24" spans="1:4" ht="12.75" customHeight="1">
      <c r="A24" s="589" t="s">
        <v>621</v>
      </c>
      <c r="B24" s="590">
        <f>'2_sz_ melléklet'!D41</f>
        <v>151602</v>
      </c>
      <c r="C24" s="589"/>
      <c r="D24" s="589"/>
    </row>
    <row r="25" spans="1:4" ht="12.75">
      <c r="A25" s="587" t="s">
        <v>622</v>
      </c>
      <c r="B25" s="585">
        <f>D22+D25-B22-B24</f>
        <v>229002.00533333328</v>
      </c>
      <c r="C25" s="587" t="s">
        <v>623</v>
      </c>
      <c r="D25" s="586">
        <f>'1_a_sz_ melléklet'!D48</f>
        <v>0</v>
      </c>
    </row>
    <row r="26" spans="1:4" ht="12.75">
      <c r="A26" s="587" t="s">
        <v>624</v>
      </c>
      <c r="B26" s="585"/>
      <c r="C26" s="587"/>
      <c r="D26" s="585"/>
    </row>
    <row r="27" spans="1:4" ht="12.75">
      <c r="A27" s="587" t="s">
        <v>625</v>
      </c>
      <c r="B27" s="585"/>
      <c r="C27" s="587"/>
      <c r="D27" s="585"/>
    </row>
    <row r="28" spans="1:4" ht="12.75">
      <c r="A28" s="591" t="s">
        <v>626</v>
      </c>
      <c r="B28" s="592">
        <f>B22+B25+B24</f>
        <v>4244997</v>
      </c>
      <c r="C28" s="591" t="s">
        <v>627</v>
      </c>
      <c r="D28" s="592">
        <f>D22+D24+D25</f>
        <v>4244997</v>
      </c>
    </row>
    <row r="29" spans="1:4" ht="8.25" customHeight="1">
      <c r="A29" s="583"/>
      <c r="B29" s="583"/>
      <c r="C29" s="583"/>
      <c r="D29" s="583"/>
    </row>
    <row r="30" spans="1:4" ht="15.75">
      <c r="A30" s="1442" t="s">
        <v>628</v>
      </c>
      <c r="B30" s="1442"/>
      <c r="C30" s="1442"/>
      <c r="D30" s="1442"/>
    </row>
    <row r="31" spans="1:4" ht="6" customHeight="1">
      <c r="A31" s="583"/>
      <c r="B31" s="583"/>
      <c r="C31" s="583"/>
      <c r="D31" s="583"/>
    </row>
    <row r="32" spans="1:4" ht="13.5" thickBot="1">
      <c r="A32" s="583"/>
      <c r="B32" s="583"/>
      <c r="C32" s="1438" t="s">
        <v>33</v>
      </c>
      <c r="D32" s="1438"/>
    </row>
    <row r="33" spans="1:4" ht="13.5" thickBot="1">
      <c r="A33" s="1439" t="s">
        <v>446</v>
      </c>
      <c r="B33" s="1439"/>
      <c r="C33" s="1439" t="s">
        <v>595</v>
      </c>
      <c r="D33" s="1440"/>
    </row>
    <row r="34" spans="1:4" ht="26.25" thickBot="1">
      <c r="A34" s="593" t="s">
        <v>559</v>
      </c>
      <c r="B34" s="594" t="s">
        <v>596</v>
      </c>
      <c r="C34" s="1140" t="s">
        <v>559</v>
      </c>
      <c r="D34" s="1145" t="s">
        <v>597</v>
      </c>
    </row>
    <row r="35" spans="1:4" ht="12.75">
      <c r="A35" s="584" t="s">
        <v>629</v>
      </c>
      <c r="B35" s="586">
        <f>'2_sz_ melléklet'!D27</f>
        <v>475348</v>
      </c>
      <c r="C35" s="1141" t="s">
        <v>630</v>
      </c>
      <c r="D35" s="1125">
        <f>'1_a_sz_ melléklet'!D18</f>
        <v>3962468</v>
      </c>
    </row>
    <row r="36" spans="1:4" ht="12.75">
      <c r="A36" s="584" t="s">
        <v>631</v>
      </c>
      <c r="B36" s="585">
        <f>'2_f_h_sz_ melléklet'!D10+'2_f_h_sz_ melléklet'!D11+'2_f_h_sz_ melléklet'!D14+'2_f_h_sz_ melléklet'!D47+'2_f_h_sz_ melléklet'!D25+'2_f_h_sz_ melléklet'!D27</f>
        <v>50518</v>
      </c>
      <c r="C36" s="1141" t="s">
        <v>632</v>
      </c>
      <c r="D36" s="1124">
        <f>'1_a_sz_ melléklet'!D19</f>
        <v>117007</v>
      </c>
    </row>
    <row r="37" spans="1:4" ht="12.75">
      <c r="A37" s="596" t="s">
        <v>633</v>
      </c>
      <c r="B37" s="585">
        <f>'2_sz_ melléklet'!D24</f>
        <v>2471188</v>
      </c>
      <c r="C37" s="1142" t="s">
        <v>634</v>
      </c>
      <c r="D37" s="1124">
        <f>'1_a_sz_ melléklet'!D20</f>
        <v>1500</v>
      </c>
    </row>
    <row r="38" spans="1:4" ht="12.75">
      <c r="A38" s="587" t="s">
        <v>635</v>
      </c>
      <c r="B38" s="585"/>
      <c r="C38" s="1142" t="s">
        <v>636</v>
      </c>
      <c r="D38" s="1124">
        <f>'1_a_sz_ melléklet'!D32</f>
        <v>96266</v>
      </c>
    </row>
    <row r="39" spans="1:4" ht="12.75">
      <c r="A39" s="587" t="s">
        <v>621</v>
      </c>
      <c r="B39" s="585">
        <f>'[1]2_sz_melléklet'!D41</f>
        <v>0</v>
      </c>
      <c r="C39" s="1142" t="s">
        <v>614</v>
      </c>
      <c r="D39" s="1124">
        <f>'1_a_sz_ melléklet'!D37</f>
        <v>7500</v>
      </c>
    </row>
    <row r="40" spans="1:4" ht="12.75">
      <c r="A40" s="587" t="s">
        <v>637</v>
      </c>
      <c r="B40" s="585">
        <f>'2_sz_ melléklet'!D36</f>
        <v>4090</v>
      </c>
      <c r="C40" s="1142" t="s">
        <v>638</v>
      </c>
      <c r="D40" s="1124">
        <f>-D11</f>
        <v>98791</v>
      </c>
    </row>
    <row r="41" spans="1:4" ht="12.75">
      <c r="A41" s="587" t="s">
        <v>639</v>
      </c>
      <c r="B41" s="585">
        <f>B42</f>
        <v>27593</v>
      </c>
      <c r="C41" s="1142" t="s">
        <v>616</v>
      </c>
      <c r="D41" s="1124">
        <f>D42+D43</f>
        <v>5509</v>
      </c>
    </row>
    <row r="42" spans="1:4" ht="25.5">
      <c r="A42" s="598" t="s">
        <v>640</v>
      </c>
      <c r="B42" s="585">
        <f>-B13</f>
        <v>27593</v>
      </c>
      <c r="C42" s="1142" t="s">
        <v>641</v>
      </c>
      <c r="D42" s="1124"/>
    </row>
    <row r="43" spans="1:4" ht="15.75" customHeight="1">
      <c r="A43" s="587" t="s">
        <v>642</v>
      </c>
      <c r="B43" s="26">
        <f>-B11</f>
        <v>6144</v>
      </c>
      <c r="C43" s="1142" t="s">
        <v>643</v>
      </c>
      <c r="D43" s="1124">
        <f>'5_sz_ melléklet'!B25</f>
        <v>5509</v>
      </c>
    </row>
    <row r="44" spans="1:4" ht="15" customHeight="1">
      <c r="A44" s="599" t="s">
        <v>644</v>
      </c>
      <c r="B44" s="585">
        <f>-B8</f>
        <v>48892</v>
      </c>
      <c r="C44" s="1142" t="s">
        <v>645</v>
      </c>
      <c r="D44" s="1124">
        <f>-D12</f>
        <v>3590</v>
      </c>
    </row>
    <row r="45" spans="1:4" ht="15" customHeight="1">
      <c r="A45" s="1032" t="s">
        <v>1236</v>
      </c>
      <c r="B45" s="585">
        <f>-B9</f>
        <v>110114</v>
      </c>
      <c r="C45" s="1142" t="s">
        <v>646</v>
      </c>
      <c r="D45" s="1124">
        <f>'1_a_sz_ melléklet'!D27</f>
        <v>0</v>
      </c>
    </row>
    <row r="46" spans="1:4" ht="13.5" thickBot="1">
      <c r="A46" s="1032"/>
      <c r="B46" s="585"/>
      <c r="C46" s="1032" t="s">
        <v>1236</v>
      </c>
      <c r="D46" s="1124">
        <v>110114</v>
      </c>
    </row>
    <row r="47" spans="1:4" ht="12.75">
      <c r="A47" s="600" t="s">
        <v>647</v>
      </c>
      <c r="B47" s="601">
        <f>B35+B36+B37+B38+B39+B40+B41+B43+B44+B46+B45</f>
        <v>3193887</v>
      </c>
      <c r="C47" s="600" t="s">
        <v>648</v>
      </c>
      <c r="D47" s="1146">
        <f>SUM(D35:D41)+D44+D46</f>
        <v>4402745</v>
      </c>
    </row>
    <row r="48" spans="1:4" ht="6" customHeight="1">
      <c r="A48" s="600"/>
      <c r="B48" s="601"/>
      <c r="C48" s="600"/>
      <c r="D48" s="1146"/>
    </row>
    <row r="49" spans="1:4" ht="12" customHeight="1">
      <c r="A49" s="602" t="s">
        <v>621</v>
      </c>
      <c r="B49" s="601">
        <f>'2_sz_ melléklet'!D42</f>
        <v>1223290</v>
      </c>
      <c r="C49" s="600"/>
      <c r="D49" s="1146"/>
    </row>
    <row r="50" spans="1:4" ht="12.75">
      <c r="A50" s="603" t="s">
        <v>649</v>
      </c>
      <c r="B50" s="604">
        <f>D51-B47-B49</f>
        <v>0</v>
      </c>
      <c r="C50" s="1143" t="s">
        <v>623</v>
      </c>
      <c r="D50" s="1147">
        <f>'1_a_sz_ melléklet'!D49</f>
        <v>14432</v>
      </c>
    </row>
    <row r="51" spans="1:4" ht="12.75">
      <c r="A51" s="600" t="s">
        <v>650</v>
      </c>
      <c r="B51" s="601">
        <f>SUM(B47:B50)</f>
        <v>4417177</v>
      </c>
      <c r="C51" s="600" t="s">
        <v>651</v>
      </c>
      <c r="D51" s="1146">
        <f>SUM(D47:D50)</f>
        <v>4417177</v>
      </c>
    </row>
    <row r="52" spans="1:4" ht="4.5" customHeight="1">
      <c r="A52" s="602"/>
      <c r="B52" s="605"/>
      <c r="C52" s="602"/>
      <c r="D52" s="1148"/>
    </row>
    <row r="53" spans="1:4" ht="12.75">
      <c r="A53" s="606" t="s">
        <v>652</v>
      </c>
      <c r="B53" s="607">
        <f>B22+B47</f>
        <v>7058279.994666667</v>
      </c>
      <c r="C53" s="1144" t="s">
        <v>653</v>
      </c>
      <c r="D53" s="1149">
        <f>D22+D47</f>
        <v>8647742</v>
      </c>
    </row>
    <row r="54" spans="1:4" ht="12.75">
      <c r="A54" s="608" t="s">
        <v>654</v>
      </c>
      <c r="B54" s="607">
        <f>B49+B24</f>
        <v>1374892</v>
      </c>
      <c r="C54" s="608"/>
      <c r="D54" s="1149"/>
    </row>
    <row r="55" spans="1:4" ht="12.75">
      <c r="A55" s="609" t="s">
        <v>622</v>
      </c>
      <c r="B55" s="610">
        <f>B50+B25</f>
        <v>229002.00533333328</v>
      </c>
      <c r="C55" s="609" t="s">
        <v>655</v>
      </c>
      <c r="D55" s="1150">
        <f>D25+D50</f>
        <v>14432</v>
      </c>
    </row>
    <row r="56" spans="1:4" ht="12.75">
      <c r="A56" s="611" t="s">
        <v>656</v>
      </c>
      <c r="B56" s="592">
        <f>SUM(B53:B55)</f>
        <v>8662174</v>
      </c>
      <c r="C56" s="611" t="s">
        <v>657</v>
      </c>
      <c r="D56" s="1151">
        <f>SUM(D53:D55)</f>
        <v>8662174</v>
      </c>
    </row>
    <row r="57" spans="1:4" ht="12.75">
      <c r="A57" s="1"/>
      <c r="B57" s="1"/>
      <c r="C57" s="1"/>
      <c r="D57" s="1"/>
    </row>
  </sheetData>
  <sheetProtection/>
  <mergeCells count="9">
    <mergeCell ref="C32:D32"/>
    <mergeCell ref="A33:B33"/>
    <mergeCell ref="C33:D33"/>
    <mergeCell ref="C1:D1"/>
    <mergeCell ref="A2:D2"/>
    <mergeCell ref="C4:D4"/>
    <mergeCell ref="A5:B5"/>
    <mergeCell ref="C5:D5"/>
    <mergeCell ref="A30:D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1447" t="s">
        <v>658</v>
      </c>
      <c r="B1" s="1447"/>
      <c r="C1" s="1447"/>
      <c r="D1" s="1447"/>
    </row>
    <row r="2" spans="1:4" s="99" customFormat="1" ht="12.75">
      <c r="A2" s="1402" t="s">
        <v>659</v>
      </c>
      <c r="B2" s="1402"/>
      <c r="C2" s="1402"/>
      <c r="D2" s="1402"/>
    </row>
    <row r="3" ht="12.75">
      <c r="D3" s="612" t="s">
        <v>33</v>
      </c>
    </row>
    <row r="4" spans="1:4" s="1" customFormat="1" ht="15.75" customHeight="1">
      <c r="A4" s="613" t="s">
        <v>660</v>
      </c>
      <c r="B4" s="614" t="s">
        <v>2</v>
      </c>
      <c r="C4" s="615" t="s">
        <v>661</v>
      </c>
      <c r="D4" s="614" t="s">
        <v>662</v>
      </c>
    </row>
    <row r="5" spans="1:4" s="1" customFormat="1" ht="12.75">
      <c r="A5" s="39" t="s">
        <v>663</v>
      </c>
      <c r="B5" s="189"/>
      <c r="C5" s="616"/>
      <c r="D5" s="189"/>
    </row>
    <row r="6" spans="1:4" ht="12.75">
      <c r="A6" s="617" t="s">
        <v>664</v>
      </c>
      <c r="B6" s="147">
        <f>'2_sz_ melléklet'!D7-'2_a_d_sz_ melléklet'!D10</f>
        <v>396806</v>
      </c>
      <c r="C6" s="147">
        <v>328185</v>
      </c>
      <c r="D6" s="26">
        <v>317600</v>
      </c>
    </row>
    <row r="7" spans="1:4" ht="12.75">
      <c r="A7" s="16" t="s">
        <v>665</v>
      </c>
      <c r="B7" s="26">
        <f>'2_sz_ melléklet'!D8-'2_sz_ melléklet'!D10+'2_a_d_sz_ melléklet'!B66</f>
        <v>779368</v>
      </c>
      <c r="C7" s="26">
        <v>485000</v>
      </c>
      <c r="D7" s="26">
        <v>473200</v>
      </c>
    </row>
    <row r="8" spans="1:4" ht="12.75">
      <c r="A8" s="16" t="s">
        <v>666</v>
      </c>
      <c r="B8" s="26">
        <f>'2_sz_ melléklet'!D14+'2_a_d_sz_ melléklet'!B63+'2_a_d_sz_ melléklet'!B64-'2_sz_ melléklet'!D19</f>
        <v>2303187.9946666667</v>
      </c>
      <c r="C8" s="26">
        <v>2410062</v>
      </c>
      <c r="D8" s="26">
        <v>2415600</v>
      </c>
    </row>
    <row r="9" spans="1:4" ht="12.75">
      <c r="A9" s="16" t="s">
        <v>667</v>
      </c>
      <c r="B9" s="26">
        <f>'2_a_d_sz_ melléklet'!D10</f>
        <v>11819</v>
      </c>
      <c r="C9" s="26">
        <v>2254</v>
      </c>
      <c r="D9" s="26">
        <v>2220</v>
      </c>
    </row>
    <row r="10" spans="1:4" ht="12.75">
      <c r="A10" s="180" t="s">
        <v>668</v>
      </c>
      <c r="B10" s="26">
        <f>'2_sz_ melléklet'!D22</f>
        <v>557474</v>
      </c>
      <c r="C10" s="26">
        <v>420500</v>
      </c>
      <c r="D10" s="26">
        <v>407300</v>
      </c>
    </row>
    <row r="11" spans="1:4" ht="12.75">
      <c r="A11" s="180" t="s">
        <v>669</v>
      </c>
      <c r="B11" s="26">
        <v>0</v>
      </c>
      <c r="C11" s="26">
        <v>0</v>
      </c>
      <c r="D11" s="26">
        <v>0</v>
      </c>
    </row>
    <row r="12" spans="1:4" ht="12.75">
      <c r="A12" s="180" t="s">
        <v>1295</v>
      </c>
      <c r="B12" s="26">
        <f>'7_sz_ melléklet'!B8+'7_sz_ melléklet'!B9</f>
        <v>-159006</v>
      </c>
      <c r="C12" s="26">
        <v>0</v>
      </c>
      <c r="D12" s="26">
        <v>0</v>
      </c>
    </row>
    <row r="13" spans="1:4" ht="12.75">
      <c r="A13" s="180" t="s">
        <v>670</v>
      </c>
      <c r="B13" s="26">
        <f>'2_sz_ melléklet'!D35</f>
        <v>268</v>
      </c>
      <c r="C13" s="26">
        <v>500</v>
      </c>
      <c r="D13" s="26">
        <v>500</v>
      </c>
    </row>
    <row r="14" spans="1:4" ht="12.75">
      <c r="A14" s="180" t="s">
        <v>671</v>
      </c>
      <c r="B14" s="26">
        <f>'2_sz_ melléklet'!D44</f>
        <v>229002.00533333328</v>
      </c>
      <c r="C14" s="26">
        <v>418000</v>
      </c>
      <c r="D14" s="26">
        <v>427000</v>
      </c>
    </row>
    <row r="15" spans="1:4" ht="12.75">
      <c r="A15" s="180" t="s">
        <v>672</v>
      </c>
      <c r="B15" s="26">
        <v>0</v>
      </c>
      <c r="C15" s="26">
        <v>0</v>
      </c>
      <c r="D15" s="26">
        <v>0</v>
      </c>
    </row>
    <row r="16" spans="1:4" ht="12.75">
      <c r="A16" s="618" t="s">
        <v>673</v>
      </c>
      <c r="B16" s="157">
        <f>'2_sz_ melléklet'!D41</f>
        <v>151602</v>
      </c>
      <c r="C16" s="170">
        <v>0</v>
      </c>
      <c r="D16" s="170">
        <v>0</v>
      </c>
    </row>
    <row r="17" spans="1:4" s="99" customFormat="1" ht="12.75">
      <c r="A17" s="187" t="s">
        <v>674</v>
      </c>
      <c r="B17" s="1331">
        <f>SUM(B6:B16)</f>
        <v>4270521</v>
      </c>
      <c r="C17" s="1330">
        <f>SUM(C6:C16)</f>
        <v>4064501</v>
      </c>
      <c r="D17" s="619">
        <f>SUM(D6:D16)</f>
        <v>4043420</v>
      </c>
    </row>
    <row r="18" spans="1:4" ht="12.75">
      <c r="A18" s="620" t="s">
        <v>599</v>
      </c>
      <c r="B18" s="151">
        <f>'1_a_sz_ melléklet'!D8</f>
        <v>1839912</v>
      </c>
      <c r="C18" s="26">
        <v>1820100</v>
      </c>
      <c r="D18" s="26">
        <v>1860100</v>
      </c>
    </row>
    <row r="19" spans="1:4" ht="12.75">
      <c r="A19" s="16" t="s">
        <v>601</v>
      </c>
      <c r="B19" s="26">
        <f>'1_a_sz_ melléklet'!D9</f>
        <v>484290</v>
      </c>
      <c r="C19" s="26">
        <v>582432</v>
      </c>
      <c r="D19" s="26">
        <v>595232</v>
      </c>
    </row>
    <row r="20" spans="1:4" ht="12.75">
      <c r="A20" s="16" t="s">
        <v>675</v>
      </c>
      <c r="B20" s="26">
        <f>'7_sz_ melléklet'!D9+'7_sz_ melléklet'!D11-'7_sz_ melléklet'!D10+'7_sz_ melléklet'!D12</f>
        <v>1197321</v>
      </c>
      <c r="C20" s="26">
        <v>965800</v>
      </c>
      <c r="D20" s="26">
        <v>983400</v>
      </c>
    </row>
    <row r="21" spans="1:4" ht="12.75">
      <c r="A21" s="16" t="s">
        <v>676</v>
      </c>
      <c r="B21" s="26">
        <f>'7_sz_ melléklet'!D13+'7_sz_ melléklet'!D18</f>
        <v>603803</v>
      </c>
      <c r="C21" s="26">
        <v>377000</v>
      </c>
      <c r="D21" s="26">
        <v>381000</v>
      </c>
    </row>
    <row r="22" spans="1:4" ht="12.75">
      <c r="A22" s="180" t="s">
        <v>677</v>
      </c>
      <c r="B22" s="26">
        <f>'1_a_sz_ melléklet'!D26</f>
        <v>82556</v>
      </c>
      <c r="C22" s="26">
        <v>6000</v>
      </c>
      <c r="D22" s="26">
        <v>6500</v>
      </c>
    </row>
    <row r="23" spans="1:4" ht="12.75">
      <c r="A23" s="180" t="s">
        <v>678</v>
      </c>
      <c r="B23" s="26"/>
      <c r="C23" s="26">
        <v>0</v>
      </c>
      <c r="D23" s="26">
        <v>0</v>
      </c>
    </row>
    <row r="24" spans="1:4" ht="12.75">
      <c r="A24" s="16" t="s">
        <v>679</v>
      </c>
      <c r="B24" s="26">
        <f>'1_a_sz_ melléklet'!D12</f>
        <v>16851</v>
      </c>
      <c r="C24" s="26">
        <v>680</v>
      </c>
      <c r="D24" s="26">
        <v>678</v>
      </c>
    </row>
    <row r="25" spans="1:4" ht="12.75">
      <c r="A25" s="180" t="s">
        <v>680</v>
      </c>
      <c r="B25" s="26">
        <f>'1_a_sz_ melléklet'!D36</f>
        <v>1160</v>
      </c>
      <c r="C25" s="26">
        <v>1000</v>
      </c>
      <c r="D25" s="26">
        <v>1000</v>
      </c>
    </row>
    <row r="26" spans="1:4" ht="12.75">
      <c r="A26" s="180" t="s">
        <v>681</v>
      </c>
      <c r="B26" s="151">
        <f>'1_a_sz_ melléklet'!D48</f>
        <v>0</v>
      </c>
      <c r="C26" s="151">
        <v>213352</v>
      </c>
      <c r="D26" s="151">
        <v>150000</v>
      </c>
    </row>
    <row r="27" spans="1:4" ht="12.75">
      <c r="A27" s="180" t="s">
        <v>682</v>
      </c>
      <c r="B27" s="151">
        <f>'7_sz_ melléklet'!D10</f>
        <v>15097</v>
      </c>
      <c r="C27" s="151">
        <v>17000</v>
      </c>
      <c r="D27" s="151">
        <v>15000</v>
      </c>
    </row>
    <row r="28" spans="1:4" ht="12.75">
      <c r="A28" s="180" t="s">
        <v>683</v>
      </c>
      <c r="B28" s="151">
        <v>0</v>
      </c>
      <c r="C28" s="151">
        <v>0</v>
      </c>
      <c r="D28" s="151">
        <v>0</v>
      </c>
    </row>
    <row r="29" spans="1:4" ht="12.75">
      <c r="A29" s="180" t="s">
        <v>616</v>
      </c>
      <c r="B29" s="157">
        <f>'7_sz_ melléklet'!D19</f>
        <v>4007</v>
      </c>
      <c r="C29" s="157">
        <v>40000</v>
      </c>
      <c r="D29" s="157">
        <v>38000</v>
      </c>
    </row>
    <row r="30" spans="1:4" s="99" customFormat="1" ht="12.75">
      <c r="A30" s="187" t="s">
        <v>684</v>
      </c>
      <c r="B30" s="619">
        <f>SUM(B18:B29)</f>
        <v>4244997</v>
      </c>
      <c r="C30" s="619">
        <f>SUM(C18:C29)</f>
        <v>4023364</v>
      </c>
      <c r="D30" s="619">
        <f>SUM(D18:D29)</f>
        <v>4030910</v>
      </c>
    </row>
    <row r="31" spans="1:4" s="99" customFormat="1" ht="12.75">
      <c r="A31" s="39" t="s">
        <v>685</v>
      </c>
      <c r="B31" s="189"/>
      <c r="C31" s="189"/>
      <c r="D31" s="621"/>
    </row>
    <row r="32" spans="1:4" ht="12.75">
      <c r="A32" s="617" t="s">
        <v>686</v>
      </c>
      <c r="B32" s="147">
        <f>'2_i_j_sz_ mell_'!E33+'2_sz_ melléklet'!D28+'2_i_j_sz_ mell_'!E44</f>
        <v>77571</v>
      </c>
      <c r="C32" s="26">
        <v>125000</v>
      </c>
      <c r="D32" s="26">
        <v>123700</v>
      </c>
    </row>
    <row r="33" spans="1:4" ht="12.75">
      <c r="A33" s="180" t="s">
        <v>687</v>
      </c>
      <c r="B33" s="26">
        <f>'2_i_j_sz_ mell_'!E31+'2_i_j_sz_ mell_'!E32</f>
        <v>195558</v>
      </c>
      <c r="C33" s="26">
        <v>145792</v>
      </c>
      <c r="D33" s="26">
        <v>139600</v>
      </c>
    </row>
    <row r="34" spans="1:4" ht="12.75">
      <c r="A34" s="16" t="s">
        <v>688</v>
      </c>
      <c r="B34" s="26">
        <f>'2_sz_ melléklet'!D19</f>
        <v>10951</v>
      </c>
      <c r="C34" s="26">
        <v>81700</v>
      </c>
      <c r="D34" s="26">
        <v>79300</v>
      </c>
    </row>
    <row r="35" spans="1:4" ht="12.75">
      <c r="A35" s="16" t="s">
        <v>689</v>
      </c>
      <c r="B35" s="26">
        <f>'2_sz_ melléklet'!D33</f>
        <v>4152</v>
      </c>
      <c r="C35" s="26">
        <v>74700</v>
      </c>
      <c r="D35" s="26">
        <v>74000</v>
      </c>
    </row>
    <row r="36" spans="1:4" ht="12.75">
      <c r="A36" s="622" t="s">
        <v>690</v>
      </c>
      <c r="B36" s="26">
        <f>'2_sz_ melléklet'!D24</f>
        <v>2471188</v>
      </c>
      <c r="C36" s="26">
        <v>100900</v>
      </c>
      <c r="D36" s="26">
        <v>98400</v>
      </c>
    </row>
    <row r="37" spans="1:4" ht="12.75">
      <c r="A37" s="180" t="s">
        <v>691</v>
      </c>
      <c r="B37" s="151">
        <v>0</v>
      </c>
      <c r="C37" s="151">
        <v>0</v>
      </c>
      <c r="D37" s="151">
        <v>0</v>
      </c>
    </row>
    <row r="38" spans="1:4" ht="12.75">
      <c r="A38" s="180" t="s">
        <v>1295</v>
      </c>
      <c r="B38" s="151">
        <f>'7_sz_ melléklet'!B44+'7_sz_ melléklet'!B45</f>
        <v>159006</v>
      </c>
      <c r="C38" s="151">
        <v>0</v>
      </c>
      <c r="D38" s="151">
        <v>0</v>
      </c>
    </row>
    <row r="39" spans="1:4" ht="12.75">
      <c r="A39" s="180" t="s">
        <v>692</v>
      </c>
      <c r="B39" s="151">
        <v>0</v>
      </c>
      <c r="C39" s="151">
        <v>0</v>
      </c>
      <c r="D39" s="151">
        <v>0</v>
      </c>
    </row>
    <row r="40" spans="1:4" ht="12.75">
      <c r="A40" s="180" t="s">
        <v>693</v>
      </c>
      <c r="B40" s="151">
        <f>'2_sz_ melléklet'!D36</f>
        <v>4090</v>
      </c>
      <c r="C40" s="151">
        <v>4500</v>
      </c>
      <c r="D40" s="151">
        <v>4000</v>
      </c>
    </row>
    <row r="41" spans="1:4" ht="12.75">
      <c r="A41" s="180" t="s">
        <v>694</v>
      </c>
      <c r="B41" s="151">
        <f>'2_sz_ melléklet'!D45</f>
        <v>0</v>
      </c>
      <c r="C41" s="151">
        <v>21000</v>
      </c>
      <c r="D41" s="151">
        <v>20000</v>
      </c>
    </row>
    <row r="42" spans="1:4" ht="12.75">
      <c r="A42" s="16" t="s">
        <v>695</v>
      </c>
      <c r="B42" s="26">
        <f>'2_i_j_sz_ mell_'!E45</f>
        <v>198067</v>
      </c>
      <c r="C42" s="26">
        <v>0</v>
      </c>
      <c r="D42" s="26">
        <v>0</v>
      </c>
    </row>
    <row r="43" spans="1:4" ht="12.75">
      <c r="A43" s="618" t="s">
        <v>696</v>
      </c>
      <c r="B43" s="170">
        <f>'2_sz_ melléklet'!D42</f>
        <v>1223290</v>
      </c>
      <c r="C43" s="157">
        <v>0</v>
      </c>
      <c r="D43" s="157">
        <v>0</v>
      </c>
    </row>
    <row r="44" spans="1:4" s="99" customFormat="1" ht="12.75">
      <c r="A44" s="187" t="s">
        <v>697</v>
      </c>
      <c r="B44" s="619">
        <f>SUM(B32:B43)</f>
        <v>4343873</v>
      </c>
      <c r="C44" s="619">
        <f>SUM(C32:C43)</f>
        <v>553592</v>
      </c>
      <c r="D44" s="619">
        <f>SUM(D32:D43)</f>
        <v>539000</v>
      </c>
    </row>
    <row r="45" spans="1:4" ht="12.75">
      <c r="A45" s="617" t="s">
        <v>698</v>
      </c>
      <c r="B45" s="26">
        <f>'7_sz_ melléklet'!D35+'7_sz_ melléklet'!D37</f>
        <v>3963968</v>
      </c>
      <c r="C45" s="26">
        <v>307800</v>
      </c>
      <c r="D45" s="26">
        <v>293973</v>
      </c>
    </row>
    <row r="46" spans="1:4" ht="12.75">
      <c r="A46" s="16" t="s">
        <v>699</v>
      </c>
      <c r="B46" s="26">
        <f>'7_sz_ melléklet'!D36</f>
        <v>117007</v>
      </c>
      <c r="C46" s="26">
        <v>81200</v>
      </c>
      <c r="D46" s="26">
        <v>80700</v>
      </c>
    </row>
    <row r="47" spans="1:4" ht="12.75">
      <c r="A47" s="16" t="s">
        <v>700</v>
      </c>
      <c r="B47" s="26">
        <f>'7_sz_ melléklet'!D44</f>
        <v>3590</v>
      </c>
      <c r="C47" s="26">
        <v>0</v>
      </c>
      <c r="D47" s="26">
        <v>0</v>
      </c>
    </row>
    <row r="48" spans="1:4" ht="12.75">
      <c r="A48" s="16" t="s">
        <v>701</v>
      </c>
      <c r="B48" s="26">
        <f>'7_sz_ melléklet'!D38</f>
        <v>96266</v>
      </c>
      <c r="C48" s="26">
        <v>68500</v>
      </c>
      <c r="D48" s="26">
        <v>68500</v>
      </c>
    </row>
    <row r="49" spans="1:4" ht="12.75">
      <c r="A49" s="16" t="s">
        <v>702</v>
      </c>
      <c r="B49" s="26">
        <f>'7_sz_ melléklet'!D46</f>
        <v>110114</v>
      </c>
      <c r="C49" s="26">
        <v>0</v>
      </c>
      <c r="D49" s="26">
        <v>0</v>
      </c>
    </row>
    <row r="50" spans="1:4" ht="12.75">
      <c r="A50" s="180" t="s">
        <v>703</v>
      </c>
      <c r="B50" s="26"/>
      <c r="C50" s="26">
        <v>0</v>
      </c>
      <c r="D50" s="26">
        <v>0</v>
      </c>
    </row>
    <row r="51" spans="1:4" ht="12.75">
      <c r="A51" s="16" t="s">
        <v>704</v>
      </c>
      <c r="B51" s="26">
        <f>'7_sz_ melléklet'!D39</f>
        <v>7500</v>
      </c>
      <c r="C51" s="26">
        <v>52278</v>
      </c>
      <c r="D51" s="26">
        <v>52278</v>
      </c>
    </row>
    <row r="52" spans="1:4" ht="12.75">
      <c r="A52" s="16" t="s">
        <v>705</v>
      </c>
      <c r="B52" s="26">
        <f>'7_sz_ melléklet'!D50</f>
        <v>14432</v>
      </c>
      <c r="C52" s="26">
        <v>14515</v>
      </c>
      <c r="D52" s="26">
        <v>14604</v>
      </c>
    </row>
    <row r="53" spans="1:4" ht="12.75">
      <c r="A53" s="16" t="s">
        <v>706</v>
      </c>
      <c r="B53" s="26">
        <f>'7_sz_ melléklet'!D40</f>
        <v>98791</v>
      </c>
      <c r="C53" s="26">
        <v>22847</v>
      </c>
      <c r="D53" s="26">
        <v>19300</v>
      </c>
    </row>
    <row r="54" spans="1:4" ht="12.75">
      <c r="A54" s="16" t="s">
        <v>707</v>
      </c>
      <c r="B54" s="26">
        <v>0</v>
      </c>
      <c r="C54" s="26">
        <v>0</v>
      </c>
      <c r="D54" s="26">
        <v>0</v>
      </c>
    </row>
    <row r="55" spans="1:4" ht="12.75">
      <c r="A55" s="623" t="s">
        <v>708</v>
      </c>
      <c r="B55" s="26">
        <f>'7_sz_ melléklet'!D41</f>
        <v>5509</v>
      </c>
      <c r="C55" s="26">
        <v>47589</v>
      </c>
      <c r="D55" s="26">
        <v>22155</v>
      </c>
    </row>
    <row r="56" spans="1:4" s="99" customFormat="1" ht="12.75">
      <c r="A56" s="187" t="s">
        <v>709</v>
      </c>
      <c r="B56" s="619">
        <f>SUM(B45:B55)</f>
        <v>4417177</v>
      </c>
      <c r="C56" s="619">
        <f>SUM(C45:C55)</f>
        <v>594729</v>
      </c>
      <c r="D56" s="619">
        <f>SUM(D45:D55)</f>
        <v>551510</v>
      </c>
    </row>
    <row r="57" spans="1:4" s="99" customFormat="1" ht="12.75">
      <c r="A57" s="187" t="s">
        <v>710</v>
      </c>
      <c r="B57" s="619">
        <f>B44+B17</f>
        <v>8614394</v>
      </c>
      <c r="C57" s="619">
        <f>C44+C17</f>
        <v>4618093</v>
      </c>
      <c r="D57" s="619">
        <f>D44+D17</f>
        <v>4582420</v>
      </c>
    </row>
    <row r="58" spans="1:4" s="99" customFormat="1" ht="12.75">
      <c r="A58" s="624" t="s">
        <v>711</v>
      </c>
      <c r="B58" s="625">
        <f>B56+B30</f>
        <v>8662174</v>
      </c>
      <c r="C58" s="625">
        <f>C56+C30</f>
        <v>4618093</v>
      </c>
      <c r="D58" s="625">
        <f>D56+D30</f>
        <v>4582420</v>
      </c>
    </row>
  </sheetData>
  <sheetProtection/>
  <mergeCells count="2">
    <mergeCell ref="A1:D1"/>
    <mergeCell ref="A2:D2"/>
  </mergeCells>
  <printOptions/>
  <pageMargins left="0.7875" right="0.7875" top="0.5902777777777778" bottom="0.59027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1">
      <selection activeCell="A44" sqref="A4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547" t="s">
        <v>712</v>
      </c>
    </row>
    <row r="3" ht="12.75">
      <c r="E3" s="547"/>
    </row>
    <row r="5" ht="15.75">
      <c r="B5" s="46" t="s">
        <v>713</v>
      </c>
    </row>
    <row r="6" spans="2:5" ht="15.75">
      <c r="B6" s="46" t="s">
        <v>714</v>
      </c>
      <c r="C6" s="46"/>
      <c r="D6" s="46"/>
      <c r="E6" s="46"/>
    </row>
    <row r="7" spans="2:5" ht="15.75">
      <c r="B7" s="46"/>
      <c r="C7" s="46"/>
      <c r="D7" s="46"/>
      <c r="E7" s="46"/>
    </row>
    <row r="8" spans="2:5" ht="15.75">
      <c r="B8" s="46"/>
      <c r="C8" s="46"/>
      <c r="D8" s="46" t="s">
        <v>715</v>
      </c>
      <c r="E8" s="46"/>
    </row>
    <row r="9" spans="2:5" ht="15.75">
      <c r="B9" s="46"/>
      <c r="C9" s="46"/>
      <c r="D9" s="46"/>
      <c r="E9" s="46"/>
    </row>
    <row r="10" spans="2:5" ht="15.75">
      <c r="B10" s="46"/>
      <c r="C10" s="46"/>
      <c r="D10" s="46"/>
      <c r="E10" s="46"/>
    </row>
    <row r="12" spans="1:4" ht="15">
      <c r="A12" s="47" t="s">
        <v>716</v>
      </c>
      <c r="B12" s="47"/>
      <c r="C12" s="47"/>
      <c r="D12" s="47"/>
    </row>
    <row r="15" spans="1:5" ht="15">
      <c r="A15" s="47" t="s">
        <v>717</v>
      </c>
      <c r="B15" s="47"/>
      <c r="C15" s="47"/>
      <c r="D15" s="47"/>
      <c r="E15" s="47"/>
    </row>
    <row r="16" spans="1:5" ht="15">
      <c r="A16" s="47" t="s">
        <v>718</v>
      </c>
      <c r="B16" s="47"/>
      <c r="C16" s="47"/>
      <c r="D16" s="47"/>
      <c r="E16" s="47"/>
    </row>
    <row r="17" ht="12.75">
      <c r="A17" s="626" t="s">
        <v>719</v>
      </c>
    </row>
    <row r="18" ht="12.75">
      <c r="A18" s="626"/>
    </row>
    <row r="19" ht="12.75">
      <c r="A19" s="626"/>
    </row>
    <row r="21" spans="1:5" ht="12.75">
      <c r="A21" s="53"/>
      <c r="B21" s="353"/>
      <c r="C21" s="627"/>
      <c r="D21" s="628"/>
      <c r="E21" s="302" t="s">
        <v>720</v>
      </c>
    </row>
    <row r="22" spans="1:5" ht="12.75">
      <c r="A22" s="629" t="s">
        <v>721</v>
      </c>
      <c r="B22" s="1448" t="s">
        <v>722</v>
      </c>
      <c r="C22" s="1448"/>
      <c r="D22" s="1448"/>
      <c r="E22" s="629" t="s">
        <v>723</v>
      </c>
    </row>
    <row r="23" spans="1:5" ht="12.75">
      <c r="A23" s="303"/>
      <c r="B23" s="307"/>
      <c r="C23" s="630"/>
      <c r="D23" s="631"/>
      <c r="E23" s="304" t="s">
        <v>724</v>
      </c>
    </row>
    <row r="24" spans="1:5" ht="12.75">
      <c r="A24" s="53"/>
      <c r="B24" s="54"/>
      <c r="C24" s="54"/>
      <c r="D24" s="54"/>
      <c r="E24" s="302"/>
    </row>
    <row r="25" spans="1:5" ht="12.75">
      <c r="A25" s="632">
        <v>1</v>
      </c>
      <c r="B25" s="633" t="s">
        <v>725</v>
      </c>
      <c r="C25" s="633"/>
      <c r="D25" s="633"/>
      <c r="E25" s="58"/>
    </row>
    <row r="26" spans="1:5" ht="12.75">
      <c r="A26" s="634">
        <v>2</v>
      </c>
      <c r="B26" s="54" t="s">
        <v>726</v>
      </c>
      <c r="C26" s="54"/>
      <c r="D26" s="452"/>
      <c r="E26" s="83"/>
    </row>
    <row r="27" spans="1:5" ht="12.75">
      <c r="A27" s="632"/>
      <c r="B27" s="633" t="s">
        <v>727</v>
      </c>
      <c r="C27" s="633"/>
      <c r="D27" s="635"/>
      <c r="E27" s="58"/>
    </row>
    <row r="28" spans="1:5" ht="12.75">
      <c r="A28" s="634">
        <v>3</v>
      </c>
      <c r="B28" s="54" t="s">
        <v>728</v>
      </c>
      <c r="C28" s="54"/>
      <c r="D28" s="452"/>
      <c r="E28" s="83"/>
    </row>
    <row r="29" spans="1:5" ht="12.75">
      <c r="A29" s="632"/>
      <c r="B29" s="633" t="s">
        <v>729</v>
      </c>
      <c r="C29" s="633"/>
      <c r="D29" s="635"/>
      <c r="E29" s="58"/>
    </row>
    <row r="30" spans="1:5" ht="12.75">
      <c r="A30" s="632">
        <v>4</v>
      </c>
      <c r="B30" s="633" t="s">
        <v>730</v>
      </c>
      <c r="C30" s="633"/>
      <c r="D30" s="635"/>
      <c r="E30" s="58"/>
    </row>
    <row r="31" spans="1:5" ht="12.75">
      <c r="A31" s="634">
        <v>5</v>
      </c>
      <c r="B31" s="54" t="s">
        <v>731</v>
      </c>
      <c r="C31" s="54"/>
      <c r="D31" s="452"/>
      <c r="E31" s="83"/>
    </row>
    <row r="32" spans="1:5" ht="12.75">
      <c r="A32" s="632"/>
      <c r="B32" s="633" t="s">
        <v>732</v>
      </c>
      <c r="C32" s="633"/>
      <c r="D32" s="635"/>
      <c r="E32" s="58"/>
    </row>
    <row r="33" spans="1:5" ht="12.75">
      <c r="A33" s="636">
        <v>6</v>
      </c>
      <c r="B33" s="107" t="s">
        <v>733</v>
      </c>
      <c r="C33" s="397"/>
      <c r="D33" s="405"/>
      <c r="E33" s="223"/>
    </row>
    <row r="34" spans="1:5" ht="12.75">
      <c r="A34" s="637">
        <v>7</v>
      </c>
      <c r="B34" s="630" t="s">
        <v>734</v>
      </c>
      <c r="C34" s="630"/>
      <c r="D34" s="631"/>
      <c r="E34" s="288"/>
    </row>
    <row r="35" spans="2:5" ht="15.75">
      <c r="B35" s="103" t="s">
        <v>181</v>
      </c>
      <c r="C35" s="399"/>
      <c r="D35" s="638"/>
      <c r="E35" s="639"/>
    </row>
    <row r="37" spans="2:5" ht="12.75">
      <c r="B37" s="626" t="s">
        <v>735</v>
      </c>
      <c r="C37" s="626"/>
      <c r="D37" s="626"/>
      <c r="E37" s="626"/>
    </row>
    <row r="38" spans="2:5" ht="12.75">
      <c r="B38" s="626" t="s">
        <v>736</v>
      </c>
      <c r="C38" s="626"/>
      <c r="D38" s="626"/>
      <c r="E38" s="626"/>
    </row>
    <row r="40" ht="12.75">
      <c r="B40" t="s">
        <v>737</v>
      </c>
    </row>
    <row r="43" ht="12.75">
      <c r="E43" t="s">
        <v>738</v>
      </c>
    </row>
    <row r="44" ht="12.75">
      <c r="E44" t="s">
        <v>739</v>
      </c>
    </row>
  </sheetData>
  <sheetProtection/>
  <mergeCells count="1">
    <mergeCell ref="B22:D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76"/>
  <sheetViews>
    <sheetView zoomScalePageLayoutView="0" workbookViewId="0" topLeftCell="A7">
      <selection activeCell="D61" sqref="D61"/>
    </sheetView>
  </sheetViews>
  <sheetFormatPr defaultColWidth="9.140625" defaultRowHeight="12.75"/>
  <cols>
    <col min="1" max="1" width="32.28125" style="0" customWidth="1"/>
    <col min="2" max="2" width="15.7109375" style="0" customWidth="1"/>
    <col min="3" max="3" width="15.28125" style="0" customWidth="1"/>
    <col min="4" max="4" width="19.00390625" style="0" customWidth="1"/>
  </cols>
  <sheetData>
    <row r="2" spans="2:3" ht="12.75">
      <c r="B2" s="554"/>
      <c r="C2" s="554" t="s">
        <v>740</v>
      </c>
    </row>
    <row r="4" spans="1:4" ht="18">
      <c r="A4" s="1449" t="s">
        <v>741</v>
      </c>
      <c r="B4" s="1449"/>
      <c r="C4" s="1449"/>
      <c r="D4" s="1449"/>
    </row>
    <row r="5" spans="1:4" ht="18">
      <c r="A5" s="1450" t="s">
        <v>742</v>
      </c>
      <c r="B5" s="1450"/>
      <c r="C5" s="1450"/>
      <c r="D5" s="1450"/>
    </row>
    <row r="8" spans="1:4" ht="18">
      <c r="A8" s="1449" t="s">
        <v>743</v>
      </c>
      <c r="B8" s="1449"/>
      <c r="C8" s="1449"/>
      <c r="D8" s="1449"/>
    </row>
    <row r="9" spans="1:4" ht="11.25" customHeight="1">
      <c r="A9" s="640"/>
      <c r="B9" s="640"/>
      <c r="C9" s="640"/>
      <c r="D9" s="640"/>
    </row>
    <row r="10" spans="1:3" ht="12.75">
      <c r="A10" s="630"/>
      <c r="B10" s="1406" t="s">
        <v>468</v>
      </c>
      <c r="C10" s="1406"/>
    </row>
    <row r="11" spans="1:4" ht="12.75">
      <c r="A11" s="411" t="s">
        <v>5</v>
      </c>
      <c r="B11" s="1451" t="s">
        <v>529</v>
      </c>
      <c r="C11" s="1451"/>
      <c r="D11" s="45"/>
    </row>
    <row r="12" spans="1:4" ht="15">
      <c r="A12" s="641" t="s">
        <v>1180</v>
      </c>
      <c r="B12" s="1452">
        <f>571-6+387+16</f>
        <v>968</v>
      </c>
      <c r="C12" s="1452"/>
      <c r="D12" s="47"/>
    </row>
    <row r="13" spans="1:4" ht="15">
      <c r="A13" s="465" t="s">
        <v>1179</v>
      </c>
      <c r="B13" s="1453">
        <f>571-6+387+71</f>
        <v>1023</v>
      </c>
      <c r="C13" s="1453"/>
      <c r="D13" s="47"/>
    </row>
    <row r="14" spans="1:4" ht="15">
      <c r="A14" s="642" t="s">
        <v>1181</v>
      </c>
      <c r="B14" s="1454">
        <f>195-2+150</f>
        <v>343</v>
      </c>
      <c r="C14" s="1454"/>
      <c r="D14" s="47"/>
    </row>
    <row r="15" spans="1:4" ht="15.75">
      <c r="A15" s="442" t="s">
        <v>746</v>
      </c>
      <c r="B15" s="1455">
        <f>SUM(B12:B14)</f>
        <v>2334</v>
      </c>
      <c r="C15" s="1455"/>
      <c r="D15" s="46"/>
    </row>
    <row r="18" spans="1:4" ht="18">
      <c r="A18" s="1449" t="s">
        <v>747</v>
      </c>
      <c r="B18" s="1449"/>
      <c r="C18" s="1449"/>
      <c r="D18" s="1449"/>
    </row>
    <row r="19" spans="1:4" ht="12" customHeight="1">
      <c r="A19" s="640"/>
      <c r="B19" s="640"/>
      <c r="C19" s="640"/>
      <c r="D19" s="640"/>
    </row>
    <row r="20" spans="2:4" ht="12.75">
      <c r="B20" s="441"/>
      <c r="C20" s="441"/>
      <c r="D20" s="441" t="s">
        <v>468</v>
      </c>
    </row>
    <row r="21" spans="1:4" ht="31.5">
      <c r="A21" s="442" t="s">
        <v>559</v>
      </c>
      <c r="B21" s="557" t="s">
        <v>748</v>
      </c>
      <c r="C21" s="643" t="s">
        <v>749</v>
      </c>
      <c r="D21" s="555" t="s">
        <v>181</v>
      </c>
    </row>
    <row r="22" spans="1:4" ht="23.25" customHeight="1">
      <c r="A22" s="644" t="s">
        <v>750</v>
      </c>
      <c r="B22" s="645">
        <f>195+9+62-5</f>
        <v>261</v>
      </c>
      <c r="C22" s="646"/>
      <c r="D22" s="645">
        <f>C22+B22</f>
        <v>261</v>
      </c>
    </row>
    <row r="23" spans="1:4" ht="15.75">
      <c r="A23" s="647" t="s">
        <v>751</v>
      </c>
      <c r="B23" s="648"/>
      <c r="C23" s="649"/>
      <c r="D23" s="645">
        <f aca="true" t="shared" si="0" ref="D23:D39">C23+B23</f>
        <v>0</v>
      </c>
    </row>
    <row r="24" spans="1:4" ht="15.75">
      <c r="A24" s="650" t="s">
        <v>752</v>
      </c>
      <c r="B24" s="651"/>
      <c r="C24" s="652"/>
      <c r="D24" s="645">
        <f t="shared" si="0"/>
        <v>0</v>
      </c>
    </row>
    <row r="25" spans="1:4" ht="15.75">
      <c r="A25" s="549" t="s">
        <v>753</v>
      </c>
      <c r="B25" s="651"/>
      <c r="C25" s="652"/>
      <c r="D25" s="645">
        <f t="shared" si="0"/>
        <v>0</v>
      </c>
    </row>
    <row r="26" spans="1:4" ht="15.75">
      <c r="A26" s="549" t="s">
        <v>754</v>
      </c>
      <c r="B26" s="651"/>
      <c r="C26" s="652"/>
      <c r="D26" s="645">
        <f t="shared" si="0"/>
        <v>0</v>
      </c>
    </row>
    <row r="27" spans="1:4" ht="15.75">
      <c r="A27" s="653" t="s">
        <v>1282</v>
      </c>
      <c r="B27" s="651">
        <f>89+16</f>
        <v>105</v>
      </c>
      <c r="C27" s="652">
        <f>69+39</f>
        <v>108</v>
      </c>
      <c r="D27" s="645">
        <f t="shared" si="0"/>
        <v>213</v>
      </c>
    </row>
    <row r="28" spans="1:4" ht="15.75">
      <c r="A28" s="653" t="s">
        <v>755</v>
      </c>
      <c r="B28" s="651">
        <v>250</v>
      </c>
      <c r="C28" s="652">
        <v>150</v>
      </c>
      <c r="D28" s="645">
        <f t="shared" si="0"/>
        <v>400</v>
      </c>
    </row>
    <row r="29" spans="1:4" ht="15.75">
      <c r="A29" s="653" t="s">
        <v>1182</v>
      </c>
      <c r="B29" s="651"/>
      <c r="C29" s="652">
        <v>457</v>
      </c>
      <c r="D29" s="645"/>
    </row>
    <row r="30" spans="1:4" ht="15.75">
      <c r="A30" s="653" t="s">
        <v>1184</v>
      </c>
      <c r="B30" s="651">
        <v>202</v>
      </c>
      <c r="C30" s="652"/>
      <c r="D30" s="645"/>
    </row>
    <row r="31" spans="1:4" ht="15.75">
      <c r="A31" s="654" t="s">
        <v>756</v>
      </c>
      <c r="B31" s="651">
        <v>127</v>
      </c>
      <c r="C31" s="652"/>
      <c r="D31" s="645">
        <f t="shared" si="0"/>
        <v>127</v>
      </c>
    </row>
    <row r="32" spans="1:4" ht="25.5">
      <c r="A32" s="655" t="s">
        <v>1249</v>
      </c>
      <c r="B32" s="645"/>
      <c r="C32" s="646"/>
      <c r="D32" s="645">
        <f t="shared" si="0"/>
        <v>0</v>
      </c>
    </row>
    <row r="33" spans="1:4" ht="15.75">
      <c r="A33" s="656" t="s">
        <v>757</v>
      </c>
      <c r="B33" s="645"/>
      <c r="C33" s="646">
        <v>8</v>
      </c>
      <c r="D33" s="645">
        <f t="shared" si="0"/>
        <v>8</v>
      </c>
    </row>
    <row r="34" spans="1:4" ht="15.75">
      <c r="A34" s="656" t="s">
        <v>1183</v>
      </c>
      <c r="B34" s="645">
        <v>216</v>
      </c>
      <c r="C34" s="646"/>
      <c r="D34" s="645"/>
    </row>
    <row r="35" spans="1:4" ht="15.75">
      <c r="A35" s="656" t="s">
        <v>1283</v>
      </c>
      <c r="B35" s="645"/>
      <c r="C35" s="646">
        <v>50</v>
      </c>
      <c r="D35" s="645"/>
    </row>
    <row r="36" spans="1:4" ht="15.75">
      <c r="A36" s="656" t="s">
        <v>1284</v>
      </c>
      <c r="B36" s="645"/>
      <c r="C36" s="646">
        <v>350</v>
      </c>
      <c r="D36" s="645"/>
    </row>
    <row r="37" spans="1:4" ht="15.75">
      <c r="A37" s="549" t="s">
        <v>758</v>
      </c>
      <c r="B37" s="651"/>
      <c r="C37" s="652">
        <f>26+24</f>
        <v>50</v>
      </c>
      <c r="D37" s="651">
        <f t="shared" si="0"/>
        <v>50</v>
      </c>
    </row>
    <row r="38" spans="1:4" ht="15.75">
      <c r="A38" s="551" t="s">
        <v>759</v>
      </c>
      <c r="B38" s="657"/>
      <c r="C38" s="658"/>
      <c r="D38" s="657">
        <f t="shared" si="0"/>
        <v>0</v>
      </c>
    </row>
    <row r="39" spans="1:4" ht="15.75">
      <c r="A39" s="550" t="s">
        <v>760</v>
      </c>
      <c r="B39" s="1202">
        <f>SUM(B22:B38)</f>
        <v>1161</v>
      </c>
      <c r="C39" s="1202">
        <f>SUM(C22:C38)</f>
        <v>1173</v>
      </c>
      <c r="D39" s="1201">
        <f t="shared" si="0"/>
        <v>2334</v>
      </c>
    </row>
    <row r="41" spans="1:4" ht="31.5">
      <c r="A41" s="660" t="s">
        <v>559</v>
      </c>
      <c r="B41" s="661" t="s">
        <v>748</v>
      </c>
      <c r="C41" s="662" t="s">
        <v>749</v>
      </c>
      <c r="D41" s="663" t="s">
        <v>181</v>
      </c>
    </row>
    <row r="42" spans="1:4" ht="12.75">
      <c r="A42" s="107" t="s">
        <v>761</v>
      </c>
      <c r="B42" s="107">
        <f>177</f>
        <v>177</v>
      </c>
      <c r="C42" s="223">
        <v>56</v>
      </c>
      <c r="D42" s="405">
        <f>SUM(B42:C42)</f>
        <v>233</v>
      </c>
    </row>
    <row r="43" spans="1:4" ht="12.75">
      <c r="A43" s="107" t="s">
        <v>762</v>
      </c>
      <c r="B43" s="107">
        <f>18-5</f>
        <v>13</v>
      </c>
      <c r="C43" s="223">
        <v>15</v>
      </c>
      <c r="D43" s="405">
        <f>SUM(B43:C43)</f>
        <v>28</v>
      </c>
    </row>
    <row r="44" spans="1:4" ht="12.75">
      <c r="A44" s="342" t="s">
        <v>763</v>
      </c>
      <c r="B44" s="342">
        <f>565+390+16</f>
        <v>971</v>
      </c>
      <c r="C44" s="288">
        <f>565+537</f>
        <v>1102</v>
      </c>
      <c r="D44" s="78">
        <f>SUM(B44:C44)</f>
        <v>2073</v>
      </c>
    </row>
    <row r="45" spans="1:4" s="110" customFormat="1" ht="12.75">
      <c r="A45" s="664" t="s">
        <v>764</v>
      </c>
      <c r="B45" s="915">
        <f>SUM(B42:B44)</f>
        <v>1161</v>
      </c>
      <c r="C45" s="916">
        <f>SUM(C42:C44)</f>
        <v>1173</v>
      </c>
      <c r="D45" s="917">
        <f>SUM(B45:C45)</f>
        <v>2334</v>
      </c>
    </row>
    <row r="50" spans="2:3" ht="12.75">
      <c r="B50" s="665"/>
      <c r="C50" s="665" t="s">
        <v>765</v>
      </c>
    </row>
    <row r="51" spans="2:3" ht="12.75">
      <c r="B51" s="554"/>
      <c r="C51" s="554"/>
    </row>
    <row r="53" spans="1:4" ht="18">
      <c r="A53" s="1449" t="s">
        <v>766</v>
      </c>
      <c r="B53" s="1449"/>
      <c r="C53" s="1449"/>
      <c r="D53" s="1449"/>
    </row>
    <row r="54" spans="1:4" ht="18">
      <c r="A54" s="1450" t="s">
        <v>742</v>
      </c>
      <c r="B54" s="1450"/>
      <c r="C54" s="1450"/>
      <c r="D54" s="1450"/>
    </row>
    <row r="57" spans="1:4" ht="18">
      <c r="A57" s="1449" t="s">
        <v>743</v>
      </c>
      <c r="B57" s="1449"/>
      <c r="C57" s="1449"/>
      <c r="D57" s="1449"/>
    </row>
    <row r="58" spans="1:4" ht="18">
      <c r="A58" s="640"/>
      <c r="B58" s="640"/>
      <c r="C58" s="640"/>
      <c r="D58" s="640"/>
    </row>
    <row r="59" spans="1:3" ht="12.75">
      <c r="A59" s="630"/>
      <c r="B59" s="1406" t="s">
        <v>468</v>
      </c>
      <c r="C59" s="1406"/>
    </row>
    <row r="60" spans="1:4" ht="12.75">
      <c r="A60" s="411" t="s">
        <v>5</v>
      </c>
      <c r="B60" s="1451" t="s">
        <v>529</v>
      </c>
      <c r="C60" s="1451"/>
      <c r="D60" s="45"/>
    </row>
    <row r="61" spans="1:4" ht="15">
      <c r="A61" s="641" t="s">
        <v>744</v>
      </c>
      <c r="B61" s="1452">
        <f>571-6-94</f>
        <v>471</v>
      </c>
      <c r="C61" s="1452"/>
      <c r="D61" s="47"/>
    </row>
    <row r="62" spans="1:4" ht="15">
      <c r="A62" s="465" t="s">
        <v>745</v>
      </c>
      <c r="B62" s="1453">
        <v>0</v>
      </c>
      <c r="C62" s="1453"/>
      <c r="D62" s="47"/>
    </row>
    <row r="63" spans="1:4" ht="15">
      <c r="A63" s="642" t="s">
        <v>1178</v>
      </c>
      <c r="B63" s="1454">
        <v>5</v>
      </c>
      <c r="C63" s="1454"/>
      <c r="D63" s="47"/>
    </row>
    <row r="64" spans="1:4" ht="15.75">
      <c r="A64" s="442" t="s">
        <v>746</v>
      </c>
      <c r="B64" s="1455">
        <f>SUM(B61:C63)</f>
        <v>476</v>
      </c>
      <c r="C64" s="1455"/>
      <c r="D64" s="46"/>
    </row>
    <row r="68" spans="1:4" ht="18">
      <c r="A68" s="1449" t="s">
        <v>747</v>
      </c>
      <c r="B68" s="1449"/>
      <c r="C68" s="1449"/>
      <c r="D68" s="1449"/>
    </row>
    <row r="69" spans="1:4" ht="18">
      <c r="A69" s="640"/>
      <c r="B69" s="640"/>
      <c r="C69" s="640"/>
      <c r="D69" s="640"/>
    </row>
    <row r="70" spans="2:4" ht="12.75">
      <c r="B70" s="441"/>
      <c r="C70" s="441"/>
      <c r="D70" s="441" t="s">
        <v>468</v>
      </c>
    </row>
    <row r="71" spans="1:4" ht="31.5">
      <c r="A71" s="442" t="s">
        <v>559</v>
      </c>
      <c r="B71" s="557" t="s">
        <v>748</v>
      </c>
      <c r="C71" s="643" t="s">
        <v>749</v>
      </c>
      <c r="D71" s="555" t="s">
        <v>181</v>
      </c>
    </row>
    <row r="72" spans="1:4" ht="15.75">
      <c r="A72" s="666"/>
      <c r="B72" s="667"/>
      <c r="C72" s="668"/>
      <c r="D72" s="669"/>
    </row>
    <row r="73" spans="1:4" ht="15.75">
      <c r="A73" s="549" t="s">
        <v>767</v>
      </c>
      <c r="B73" s="651">
        <v>277</v>
      </c>
      <c r="C73" s="652">
        <v>0</v>
      </c>
      <c r="D73" s="651">
        <f>C73+B73</f>
        <v>277</v>
      </c>
    </row>
    <row r="74" spans="1:4" ht="15.75">
      <c r="A74" s="549" t="s">
        <v>768</v>
      </c>
      <c r="B74" s="651">
        <f>294-6-94+5</f>
        <v>199</v>
      </c>
      <c r="C74" s="652">
        <v>0</v>
      </c>
      <c r="D74" s="651">
        <f>C74+B74</f>
        <v>199</v>
      </c>
    </row>
    <row r="75" spans="1:4" ht="15.75">
      <c r="A75" s="551"/>
      <c r="B75" s="657"/>
      <c r="C75" s="658"/>
      <c r="D75" s="657"/>
    </row>
    <row r="76" spans="1:4" ht="15.75">
      <c r="A76" s="550" t="s">
        <v>760</v>
      </c>
      <c r="B76" s="659">
        <f>SUM(B73:B74)</f>
        <v>476</v>
      </c>
      <c r="C76" s="659">
        <f>SUM(C73:C74)</f>
        <v>0</v>
      </c>
      <c r="D76" s="659">
        <f>SUM(D73:D74)</f>
        <v>476</v>
      </c>
    </row>
  </sheetData>
  <sheetProtection/>
  <mergeCells count="20">
    <mergeCell ref="B64:C64"/>
    <mergeCell ref="A68:D68"/>
    <mergeCell ref="A57:D57"/>
    <mergeCell ref="B59:C59"/>
    <mergeCell ref="B60:C60"/>
    <mergeCell ref="B61:C61"/>
    <mergeCell ref="B62:C62"/>
    <mergeCell ref="B63:C63"/>
    <mergeCell ref="B13:C13"/>
    <mergeCell ref="B14:C14"/>
    <mergeCell ref="B15:C15"/>
    <mergeCell ref="A18:D18"/>
    <mergeCell ref="A53:D53"/>
    <mergeCell ref="A54:D54"/>
    <mergeCell ref="A4:D4"/>
    <mergeCell ref="A5:D5"/>
    <mergeCell ref="A8:D8"/>
    <mergeCell ref="B10:C10"/>
    <mergeCell ref="B11:C11"/>
    <mergeCell ref="B12:C1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17.4218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14.421875" style="0" customWidth="1"/>
  </cols>
  <sheetData>
    <row r="1" spans="5:6" ht="12.75" customHeight="1">
      <c r="E1" s="1456" t="s">
        <v>769</v>
      </c>
      <c r="F1" s="1456"/>
    </row>
    <row r="5" spans="2:4" ht="15.75">
      <c r="B5" s="671" t="s">
        <v>770</v>
      </c>
      <c r="C5" s="46"/>
      <c r="D5" s="46"/>
    </row>
    <row r="6" spans="2:4" ht="15.75">
      <c r="B6" s="47"/>
      <c r="C6" s="671" t="s">
        <v>771</v>
      </c>
      <c r="D6" s="671"/>
    </row>
    <row r="7" spans="2:4" ht="15.75">
      <c r="B7" s="47"/>
      <c r="C7" s="671"/>
      <c r="D7" s="671"/>
    </row>
    <row r="8" spans="2:4" ht="15.75">
      <c r="B8" s="47"/>
      <c r="C8" s="671"/>
      <c r="D8" s="671"/>
    </row>
    <row r="11" ht="13.5" thickBot="1">
      <c r="F11" s="441" t="s">
        <v>33</v>
      </c>
    </row>
    <row r="12" spans="1:6" ht="45.75" thickBot="1">
      <c r="A12" s="555" t="s">
        <v>772</v>
      </c>
      <c r="B12" s="672" t="s">
        <v>773</v>
      </c>
      <c r="C12" s="556" t="s">
        <v>774</v>
      </c>
      <c r="D12" s="887" t="s">
        <v>1123</v>
      </c>
      <c r="E12" s="713" t="s">
        <v>775</v>
      </c>
      <c r="F12" s="888" t="s">
        <v>776</v>
      </c>
    </row>
    <row r="13" spans="1:6" ht="15">
      <c r="A13" s="673" t="s">
        <v>777</v>
      </c>
      <c r="B13" s="674">
        <v>295820</v>
      </c>
      <c r="C13" s="883">
        <v>325000</v>
      </c>
      <c r="D13" s="885"/>
      <c r="E13" s="674">
        <f>C13+F13-B13</f>
        <v>29180</v>
      </c>
      <c r="F13" s="675">
        <v>0</v>
      </c>
    </row>
    <row r="14" spans="1:6" ht="15">
      <c r="A14" s="673" t="s">
        <v>778</v>
      </c>
      <c r="B14" s="674">
        <v>295820</v>
      </c>
      <c r="C14" s="883">
        <v>320000</v>
      </c>
      <c r="D14" s="885"/>
      <c r="E14" s="674">
        <f>C14+F14-B14</f>
        <v>24180</v>
      </c>
      <c r="F14" s="675">
        <v>0</v>
      </c>
    </row>
    <row r="15" spans="1:6" ht="15">
      <c r="A15" s="673" t="s">
        <v>779</v>
      </c>
      <c r="B15" s="674">
        <v>570820</v>
      </c>
      <c r="C15" s="883">
        <v>345000</v>
      </c>
      <c r="D15" s="885"/>
      <c r="E15" s="674">
        <v>0</v>
      </c>
      <c r="F15" s="675">
        <v>3607</v>
      </c>
    </row>
    <row r="16" spans="1:6" ht="15">
      <c r="A16" s="673" t="s">
        <v>780</v>
      </c>
      <c r="B16" s="674">
        <v>295820</v>
      </c>
      <c r="C16" s="883">
        <v>390000</v>
      </c>
      <c r="D16" s="885">
        <v>45127</v>
      </c>
      <c r="E16" s="674">
        <v>0</v>
      </c>
      <c r="F16" s="675">
        <v>0</v>
      </c>
    </row>
    <row r="17" spans="1:6" ht="15">
      <c r="A17" s="673" t="s">
        <v>781</v>
      </c>
      <c r="B17" s="674">
        <v>305820</v>
      </c>
      <c r="C17" s="883">
        <f>380000+120135</f>
        <v>500135</v>
      </c>
      <c r="D17" s="885">
        <v>63907</v>
      </c>
      <c r="E17" s="674">
        <v>29800</v>
      </c>
      <c r="F17" s="675">
        <v>0</v>
      </c>
    </row>
    <row r="18" spans="1:6" ht="15">
      <c r="A18" s="673" t="s">
        <v>782</v>
      </c>
      <c r="B18" s="674">
        <v>495820</v>
      </c>
      <c r="C18" s="883">
        <v>490000</v>
      </c>
      <c r="D18" s="885"/>
      <c r="E18" s="674">
        <v>50000</v>
      </c>
      <c r="F18" s="675">
        <v>3607</v>
      </c>
    </row>
    <row r="19" spans="1:6" ht="15">
      <c r="A19" s="673" t="s">
        <v>783</v>
      </c>
      <c r="B19" s="674">
        <f>295820+90101</f>
        <v>385921</v>
      </c>
      <c r="C19" s="883">
        <v>620000</v>
      </c>
      <c r="D19" s="885"/>
      <c r="E19" s="674">
        <v>50000</v>
      </c>
      <c r="F19" s="675">
        <v>0</v>
      </c>
    </row>
    <row r="20" spans="1:6" ht="15">
      <c r="A20" s="673" t="s">
        <v>784</v>
      </c>
      <c r="B20" s="674">
        <f>402000</f>
        <v>402000</v>
      </c>
      <c r="C20" s="883">
        <f>450000+970196-206</f>
        <v>1419990</v>
      </c>
      <c r="D20" s="885">
        <v>583565</v>
      </c>
      <c r="E20" s="674">
        <v>30000</v>
      </c>
      <c r="F20" s="675">
        <v>0</v>
      </c>
    </row>
    <row r="21" spans="1:6" ht="15">
      <c r="A21" s="673" t="s">
        <v>785</v>
      </c>
      <c r="B21" s="674">
        <v>575820</v>
      </c>
      <c r="C21" s="883">
        <v>540000</v>
      </c>
      <c r="D21" s="885">
        <v>56974</v>
      </c>
      <c r="E21" s="674">
        <v>15842</v>
      </c>
      <c r="F21" s="675">
        <v>3607</v>
      </c>
    </row>
    <row r="22" spans="1:6" ht="15">
      <c r="A22" s="673" t="s">
        <v>786</v>
      </c>
      <c r="B22" s="674">
        <v>649808</v>
      </c>
      <c r="C22" s="883">
        <v>980000</v>
      </c>
      <c r="D22" s="885"/>
      <c r="E22" s="674">
        <v>0</v>
      </c>
      <c r="F22" s="675">
        <v>0</v>
      </c>
    </row>
    <row r="23" spans="1:6" ht="15">
      <c r="A23" s="673" t="s">
        <v>787</v>
      </c>
      <c r="B23" s="674">
        <v>926062</v>
      </c>
      <c r="C23" s="883">
        <v>1188000</v>
      </c>
      <c r="D23" s="885">
        <v>353614</v>
      </c>
      <c r="E23" s="674">
        <v>0</v>
      </c>
      <c r="F23" s="676">
        <v>0</v>
      </c>
    </row>
    <row r="24" spans="1:6" ht="15.75" thickBot="1">
      <c r="A24" s="677" t="s">
        <v>788</v>
      </c>
      <c r="B24" s="933">
        <v>1858749</v>
      </c>
      <c r="C24" s="884">
        <v>1529617</v>
      </c>
      <c r="D24" s="886">
        <v>271705</v>
      </c>
      <c r="E24" s="674">
        <v>0</v>
      </c>
      <c r="F24" s="678">
        <v>3611</v>
      </c>
    </row>
    <row r="25" spans="1:6" ht="16.5" thickBot="1">
      <c r="A25" s="442" t="s">
        <v>181</v>
      </c>
      <c r="B25" s="889">
        <f>SUM(B13:B24)</f>
        <v>7058280</v>
      </c>
      <c r="C25" s="679">
        <f>SUM(C13:C24)</f>
        <v>8647742</v>
      </c>
      <c r="D25" s="889">
        <f>SUM(D13:D24)</f>
        <v>1374892</v>
      </c>
      <c r="E25" s="679">
        <f>SUM(E13:E24)</f>
        <v>229002</v>
      </c>
      <c r="F25" s="680">
        <f>SUM(F13:F24)</f>
        <v>14432</v>
      </c>
    </row>
    <row r="26" spans="2:5" ht="15">
      <c r="B26" s="933"/>
      <c r="C26" s="933"/>
      <c r="E26" s="933"/>
    </row>
    <row r="27" spans="2:5" ht="12.75">
      <c r="B27" s="711"/>
      <c r="C27" s="711"/>
      <c r="D27" s="711"/>
      <c r="E27" s="711"/>
    </row>
  </sheetData>
  <sheetProtection/>
  <mergeCells count="1">
    <mergeCell ref="E1:F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3.7109375" style="0" customWidth="1"/>
    <col min="7" max="8" width="12.140625" style="0" customWidth="1"/>
    <col min="9" max="9" width="11.57421875" style="0" customWidth="1"/>
    <col min="10" max="10" width="12.57421875" style="0" customWidth="1"/>
    <col min="11" max="11" width="14.140625" style="0" customWidth="1"/>
  </cols>
  <sheetData>
    <row r="1" spans="4:11" ht="12.75">
      <c r="D1" s="554"/>
      <c r="E1" s="554"/>
      <c r="F1" s="1457" t="s">
        <v>789</v>
      </c>
      <c r="G1" s="1457"/>
      <c r="H1" s="1457"/>
      <c r="I1" s="1457"/>
      <c r="J1" s="1457"/>
      <c r="K1" s="1457"/>
    </row>
    <row r="2" ht="7.5" customHeight="1"/>
    <row r="3" spans="1:11" ht="12.75">
      <c r="A3" s="1457" t="s">
        <v>790</v>
      </c>
      <c r="B3" s="1457"/>
      <c r="C3" s="1457"/>
      <c r="D3" s="1457"/>
      <c r="E3" s="1457"/>
      <c r="F3" s="1457"/>
      <c r="G3" s="1457"/>
      <c r="H3" s="1457"/>
      <c r="I3" s="1457"/>
      <c r="J3" s="1457"/>
      <c r="K3" s="1457"/>
    </row>
    <row r="4" spans="1:11" ht="12.75">
      <c r="A4" s="1457" t="s">
        <v>791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</row>
    <row r="5" spans="1:11" ht="12.75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 t="s">
        <v>792</v>
      </c>
    </row>
    <row r="6" spans="1:11" ht="12.75">
      <c r="A6" s="1458" t="s">
        <v>793</v>
      </c>
      <c r="B6" s="1459" t="s">
        <v>794</v>
      </c>
      <c r="C6" s="1459"/>
      <c r="D6" s="1460" t="s">
        <v>795</v>
      </c>
      <c r="E6" s="1460"/>
      <c r="F6" s="1460"/>
      <c r="G6" s="1460"/>
      <c r="H6" s="1460"/>
      <c r="I6" s="1460"/>
      <c r="J6" s="1460"/>
      <c r="K6" s="1458" t="s">
        <v>796</v>
      </c>
    </row>
    <row r="7" spans="1:11" ht="33.75" customHeight="1">
      <c r="A7" s="1458"/>
      <c r="B7" s="681" t="s">
        <v>797</v>
      </c>
      <c r="C7" s="681" t="s">
        <v>798</v>
      </c>
      <c r="D7" s="681" t="s">
        <v>799</v>
      </c>
      <c r="E7" s="682" t="s">
        <v>800</v>
      </c>
      <c r="F7" s="682" t="s">
        <v>801</v>
      </c>
      <c r="G7" s="682" t="s">
        <v>802</v>
      </c>
      <c r="H7" s="682" t="s">
        <v>803</v>
      </c>
      <c r="I7" s="682" t="s">
        <v>804</v>
      </c>
      <c r="J7" s="682" t="s">
        <v>805</v>
      </c>
      <c r="K7" s="1458"/>
    </row>
    <row r="8" spans="1:11" ht="43.5" customHeight="1">
      <c r="A8" s="683" t="s">
        <v>806</v>
      </c>
      <c r="B8" s="684">
        <v>0</v>
      </c>
      <c r="C8" s="685">
        <v>0</v>
      </c>
      <c r="D8" s="685">
        <v>24949</v>
      </c>
      <c r="E8" s="685">
        <v>47060</v>
      </c>
      <c r="F8" s="686">
        <v>38125</v>
      </c>
      <c r="G8" s="687">
        <v>1181</v>
      </c>
      <c r="H8" s="687">
        <v>3005480</v>
      </c>
      <c r="I8" s="687"/>
      <c r="J8" s="687">
        <v>129997</v>
      </c>
      <c r="K8" s="687">
        <f>SUM(B8:J8)</f>
        <v>3246792</v>
      </c>
    </row>
    <row r="9" spans="1:11" ht="28.5" customHeight="1">
      <c r="A9" s="688" t="s">
        <v>807</v>
      </c>
      <c r="B9" s="689"/>
      <c r="C9" s="690">
        <f>'7_sz_ melléklet'!B25</f>
        <v>229002.00533333328</v>
      </c>
      <c r="D9" s="690"/>
      <c r="E9" s="690"/>
      <c r="F9" s="691">
        <v>0</v>
      </c>
      <c r="G9" s="692"/>
      <c r="H9" s="692"/>
      <c r="I9" s="692">
        <f>'1_sz_ melléklet'!B30</f>
        <v>0</v>
      </c>
      <c r="J9" s="692"/>
      <c r="K9" s="693">
        <f>SUM(B9:J9)</f>
        <v>229002.00533333328</v>
      </c>
    </row>
    <row r="10" spans="1:11" ht="24.75" customHeight="1">
      <c r="A10" s="688" t="s">
        <v>808</v>
      </c>
      <c r="B10" s="694"/>
      <c r="C10" s="690"/>
      <c r="D10" s="690"/>
      <c r="E10" s="690"/>
      <c r="F10" s="691"/>
      <c r="G10" s="692"/>
      <c r="H10" s="692"/>
      <c r="I10" s="692"/>
      <c r="J10" s="692"/>
      <c r="K10" s="693"/>
    </row>
    <row r="11" spans="1:11" ht="12.75">
      <c r="A11" s="695">
        <v>2010</v>
      </c>
      <c r="B11" s="696"/>
      <c r="C11" s="689">
        <v>0</v>
      </c>
      <c r="D11" s="689"/>
      <c r="E11" s="690">
        <v>2940</v>
      </c>
      <c r="F11" s="697">
        <v>2500</v>
      </c>
      <c r="G11" s="698">
        <f>292+4</f>
        <v>296</v>
      </c>
      <c r="H11" s="698">
        <v>0</v>
      </c>
      <c r="I11" s="698"/>
      <c r="J11" s="698">
        <v>8696</v>
      </c>
      <c r="K11" s="693">
        <f aca="true" t="shared" si="0" ref="K11:K26">SUM(B11:J11)</f>
        <v>14432</v>
      </c>
    </row>
    <row r="12" spans="1:11" ht="12.75">
      <c r="A12" s="695">
        <v>2011</v>
      </c>
      <c r="B12" s="696">
        <v>0</v>
      </c>
      <c r="C12" s="689">
        <f>C9</f>
        <v>229002.00533333328</v>
      </c>
      <c r="D12" s="689"/>
      <c r="E12" s="690">
        <v>2940</v>
      </c>
      <c r="F12" s="697">
        <v>2500</v>
      </c>
      <c r="G12" s="698">
        <v>379</v>
      </c>
      <c r="H12" s="698">
        <v>0</v>
      </c>
      <c r="I12" s="698"/>
      <c r="J12" s="698">
        <v>8696</v>
      </c>
      <c r="K12" s="693">
        <f t="shared" si="0"/>
        <v>243517.00533333328</v>
      </c>
    </row>
    <row r="13" spans="1:11" ht="12.75">
      <c r="A13" s="699">
        <v>2012</v>
      </c>
      <c r="B13" s="696">
        <v>0</v>
      </c>
      <c r="C13" s="700">
        <v>0</v>
      </c>
      <c r="D13" s="700"/>
      <c r="E13" s="690">
        <v>2940</v>
      </c>
      <c r="F13" s="697">
        <v>2500</v>
      </c>
      <c r="G13" s="698">
        <v>468</v>
      </c>
      <c r="H13" s="698">
        <v>0</v>
      </c>
      <c r="I13" s="698"/>
      <c r="J13" s="698">
        <v>8696</v>
      </c>
      <c r="K13" s="701">
        <f t="shared" si="0"/>
        <v>14604</v>
      </c>
    </row>
    <row r="14" spans="1:11" ht="12.75">
      <c r="A14" s="695">
        <v>2013</v>
      </c>
      <c r="B14" s="696">
        <v>0</v>
      </c>
      <c r="C14" s="700">
        <v>0</v>
      </c>
      <c r="D14" s="177">
        <v>1074</v>
      </c>
      <c r="E14" s="690">
        <v>2940</v>
      </c>
      <c r="F14" s="697">
        <v>2500</v>
      </c>
      <c r="G14" s="153">
        <v>42</v>
      </c>
      <c r="H14" s="153">
        <v>69113</v>
      </c>
      <c r="I14" s="153"/>
      <c r="J14" s="698">
        <v>8696</v>
      </c>
      <c r="K14" s="153">
        <f t="shared" si="0"/>
        <v>84365</v>
      </c>
    </row>
    <row r="15" spans="1:11" ht="12.75">
      <c r="A15" s="695">
        <v>2014</v>
      </c>
      <c r="B15" s="696">
        <v>0</v>
      </c>
      <c r="C15" s="700">
        <v>0</v>
      </c>
      <c r="D15" s="177">
        <v>1432</v>
      </c>
      <c r="E15" s="690">
        <v>2940</v>
      </c>
      <c r="F15" s="697">
        <v>2500</v>
      </c>
      <c r="G15" s="153">
        <v>0</v>
      </c>
      <c r="H15" s="153">
        <v>76792</v>
      </c>
      <c r="I15" s="153"/>
      <c r="J15" s="698">
        <v>8696</v>
      </c>
      <c r="K15" s="153">
        <f t="shared" si="0"/>
        <v>92360</v>
      </c>
    </row>
    <row r="16" spans="1:11" ht="12.75">
      <c r="A16" s="695">
        <v>2015</v>
      </c>
      <c r="B16" s="696">
        <v>0</v>
      </c>
      <c r="C16" s="700">
        <v>0</v>
      </c>
      <c r="D16" s="177">
        <v>1432</v>
      </c>
      <c r="E16" s="690">
        <v>2940</v>
      </c>
      <c r="F16" s="697">
        <v>2500</v>
      </c>
      <c r="G16" s="153">
        <v>0</v>
      </c>
      <c r="H16" s="153">
        <v>85796</v>
      </c>
      <c r="I16" s="153"/>
      <c r="J16" s="698">
        <v>8696</v>
      </c>
      <c r="K16" s="153">
        <f t="shared" si="0"/>
        <v>101364</v>
      </c>
    </row>
    <row r="17" spans="1:11" ht="12.75">
      <c r="A17" s="695">
        <v>2016</v>
      </c>
      <c r="B17" s="696">
        <v>0</v>
      </c>
      <c r="C17" s="700">
        <v>0</v>
      </c>
      <c r="D17" s="177">
        <v>1432</v>
      </c>
      <c r="E17" s="690">
        <v>2940</v>
      </c>
      <c r="F17" s="697">
        <v>2500</v>
      </c>
      <c r="G17" s="153">
        <v>0</v>
      </c>
      <c r="H17" s="153">
        <v>85796</v>
      </c>
      <c r="I17" s="153"/>
      <c r="J17" s="698">
        <v>8696</v>
      </c>
      <c r="K17" s="153">
        <f t="shared" si="0"/>
        <v>101364</v>
      </c>
    </row>
    <row r="18" spans="1:11" ht="12.75">
      <c r="A18" s="695">
        <v>2017</v>
      </c>
      <c r="B18" s="696">
        <v>0</v>
      </c>
      <c r="C18" s="700">
        <v>0</v>
      </c>
      <c r="D18" s="177">
        <v>1432</v>
      </c>
      <c r="E18" s="690">
        <v>2940</v>
      </c>
      <c r="F18" s="697">
        <v>2500</v>
      </c>
      <c r="G18" s="153">
        <v>0</v>
      </c>
      <c r="H18" s="153">
        <v>88443</v>
      </c>
      <c r="I18" s="153"/>
      <c r="J18" s="698">
        <v>8696</v>
      </c>
      <c r="K18" s="153">
        <f t="shared" si="0"/>
        <v>104011</v>
      </c>
    </row>
    <row r="19" spans="1:11" ht="12.75">
      <c r="A19" s="695">
        <v>2018</v>
      </c>
      <c r="B19" s="696">
        <v>0</v>
      </c>
      <c r="C19" s="700">
        <v>0</v>
      </c>
      <c r="D19" s="177">
        <v>1432</v>
      </c>
      <c r="E19" s="690">
        <v>2940</v>
      </c>
      <c r="F19" s="697">
        <v>2500</v>
      </c>
      <c r="G19" s="153">
        <v>0</v>
      </c>
      <c r="H19" s="153">
        <v>94798</v>
      </c>
      <c r="I19" s="153"/>
      <c r="J19" s="698">
        <v>8696</v>
      </c>
      <c r="K19" s="153">
        <f t="shared" si="0"/>
        <v>110366</v>
      </c>
    </row>
    <row r="20" spans="1:11" ht="12.75">
      <c r="A20" s="695">
        <v>2019</v>
      </c>
      <c r="B20" s="696">
        <v>0</v>
      </c>
      <c r="C20" s="700">
        <v>0</v>
      </c>
      <c r="D20" s="177">
        <v>1432</v>
      </c>
      <c r="E20" s="690">
        <v>2940</v>
      </c>
      <c r="F20" s="697">
        <v>2500</v>
      </c>
      <c r="G20" s="153">
        <v>0</v>
      </c>
      <c r="H20" s="153">
        <v>96387</v>
      </c>
      <c r="I20" s="153"/>
      <c r="J20" s="698">
        <v>8696</v>
      </c>
      <c r="K20" s="153">
        <f t="shared" si="0"/>
        <v>111955</v>
      </c>
    </row>
    <row r="21" spans="1:11" ht="12.75">
      <c r="A21" s="695">
        <v>2020</v>
      </c>
      <c r="B21" s="696">
        <v>0</v>
      </c>
      <c r="C21" s="700">
        <v>0</v>
      </c>
      <c r="D21" s="177">
        <v>1432</v>
      </c>
      <c r="E21" s="690">
        <v>2940</v>
      </c>
      <c r="F21" s="697">
        <v>2500</v>
      </c>
      <c r="G21" s="153">
        <v>0</v>
      </c>
      <c r="H21" s="153">
        <v>97446</v>
      </c>
      <c r="I21" s="153"/>
      <c r="J21" s="698">
        <v>8696</v>
      </c>
      <c r="K21" s="153">
        <f t="shared" si="0"/>
        <v>113014</v>
      </c>
    </row>
    <row r="22" spans="1:11" ht="12.75">
      <c r="A22" s="695">
        <v>2021</v>
      </c>
      <c r="B22" s="696">
        <v>0</v>
      </c>
      <c r="C22" s="700">
        <v>0</v>
      </c>
      <c r="D22" s="177">
        <v>1432</v>
      </c>
      <c r="E22" s="690">
        <v>2940</v>
      </c>
      <c r="F22" s="697">
        <v>2500</v>
      </c>
      <c r="G22" s="153">
        <v>0</v>
      </c>
      <c r="H22" s="153">
        <v>102213</v>
      </c>
      <c r="I22" s="153"/>
      <c r="J22" s="698">
        <v>8696</v>
      </c>
      <c r="K22" s="153">
        <f t="shared" si="0"/>
        <v>117781</v>
      </c>
    </row>
    <row r="23" spans="1:11" ht="12.75">
      <c r="A23" s="695">
        <v>2022</v>
      </c>
      <c r="B23" s="696">
        <v>0</v>
      </c>
      <c r="C23" s="700">
        <v>0</v>
      </c>
      <c r="D23" s="177">
        <v>1432</v>
      </c>
      <c r="E23" s="690">
        <v>2940</v>
      </c>
      <c r="F23" s="697">
        <v>2500</v>
      </c>
      <c r="G23" s="153">
        <v>0</v>
      </c>
      <c r="H23" s="153">
        <v>105390</v>
      </c>
      <c r="I23" s="153"/>
      <c r="J23" s="698">
        <v>8696</v>
      </c>
      <c r="K23" s="153">
        <f t="shared" si="0"/>
        <v>120958</v>
      </c>
    </row>
    <row r="24" spans="1:11" ht="12.75">
      <c r="A24" s="695">
        <v>2023</v>
      </c>
      <c r="B24" s="696">
        <v>0</v>
      </c>
      <c r="C24" s="700">
        <v>0</v>
      </c>
      <c r="D24" s="177">
        <v>1432</v>
      </c>
      <c r="E24" s="690">
        <v>2940</v>
      </c>
      <c r="F24" s="697">
        <v>2500</v>
      </c>
      <c r="G24" s="153">
        <v>0</v>
      </c>
      <c r="H24" s="153">
        <v>108038</v>
      </c>
      <c r="I24" s="153"/>
      <c r="J24" s="698">
        <v>8696</v>
      </c>
      <c r="K24" s="153">
        <f t="shared" si="0"/>
        <v>123606</v>
      </c>
    </row>
    <row r="25" spans="1:11" ht="12.75">
      <c r="A25" s="695">
        <v>2024</v>
      </c>
      <c r="B25" s="696">
        <v>0</v>
      </c>
      <c r="C25" s="700">
        <v>0</v>
      </c>
      <c r="D25" s="177">
        <v>1432</v>
      </c>
      <c r="E25" s="690">
        <v>2940</v>
      </c>
      <c r="F25" s="697">
        <v>2500</v>
      </c>
      <c r="G25" s="153">
        <v>0</v>
      </c>
      <c r="H25" s="153">
        <v>112804</v>
      </c>
      <c r="I25" s="153"/>
      <c r="J25" s="698">
        <v>8253</v>
      </c>
      <c r="K25" s="153">
        <f t="shared" si="0"/>
        <v>127929</v>
      </c>
    </row>
    <row r="26" spans="1:11" ht="12.75">
      <c r="A26" s="699">
        <v>2025</v>
      </c>
      <c r="B26" s="702">
        <v>0</v>
      </c>
      <c r="C26" s="700">
        <v>0</v>
      </c>
      <c r="D26" s="177">
        <v>1432</v>
      </c>
      <c r="E26" s="700">
        <v>2960</v>
      </c>
      <c r="F26" s="703">
        <v>625</v>
      </c>
      <c r="G26" s="173">
        <v>0</v>
      </c>
      <c r="H26" s="173">
        <v>118630</v>
      </c>
      <c r="I26" s="173"/>
      <c r="J26" s="704"/>
      <c r="K26" s="173">
        <f t="shared" si="0"/>
        <v>123647</v>
      </c>
    </row>
    <row r="27" spans="1:11" ht="12.75">
      <c r="A27" s="695">
        <v>2026</v>
      </c>
      <c r="B27" s="696"/>
      <c r="C27" s="689"/>
      <c r="D27" s="177">
        <v>1432</v>
      </c>
      <c r="E27" s="689"/>
      <c r="F27" s="705"/>
      <c r="G27" s="153"/>
      <c r="H27" s="153">
        <v>126045</v>
      </c>
      <c r="I27" s="153"/>
      <c r="J27" s="706"/>
      <c r="K27" s="173">
        <f aca="true" t="shared" si="1" ref="K27:K34">SUM(B27:J27)</f>
        <v>127477</v>
      </c>
    </row>
    <row r="28" spans="1:11" ht="12.75">
      <c r="A28" s="695">
        <v>2027</v>
      </c>
      <c r="B28" s="696"/>
      <c r="C28" s="689"/>
      <c r="D28" s="177">
        <v>1432</v>
      </c>
      <c r="E28" s="689"/>
      <c r="F28" s="705"/>
      <c r="G28" s="153"/>
      <c r="H28" s="153">
        <v>67789</v>
      </c>
      <c r="I28" s="153"/>
      <c r="J28" s="706"/>
      <c r="K28" s="173">
        <f t="shared" si="1"/>
        <v>69221</v>
      </c>
    </row>
    <row r="29" spans="1:11" ht="12.75">
      <c r="A29" s="695">
        <v>2028</v>
      </c>
      <c r="B29" s="696"/>
      <c r="C29" s="689"/>
      <c r="D29" s="177">
        <v>1432</v>
      </c>
      <c r="E29" s="689"/>
      <c r="F29" s="705"/>
      <c r="G29" s="153"/>
      <c r="H29" s="153">
        <v>1570000</v>
      </c>
      <c r="I29" s="153"/>
      <c r="J29" s="706"/>
      <c r="K29" s="173">
        <f t="shared" si="1"/>
        <v>1571432</v>
      </c>
    </row>
    <row r="30" spans="1:11" ht="12.75">
      <c r="A30" s="695">
        <v>2029</v>
      </c>
      <c r="B30" s="696"/>
      <c r="C30" s="689"/>
      <c r="D30" s="177">
        <v>1432</v>
      </c>
      <c r="E30" s="689"/>
      <c r="F30" s="705"/>
      <c r="G30" s="153"/>
      <c r="H30" s="153">
        <v>0</v>
      </c>
      <c r="I30" s="153"/>
      <c r="J30" s="706"/>
      <c r="K30" s="173">
        <f t="shared" si="1"/>
        <v>1432</v>
      </c>
    </row>
    <row r="31" spans="1:11" ht="12.75">
      <c r="A31" s="695">
        <v>2030</v>
      </c>
      <c r="B31" s="696"/>
      <c r="C31" s="689"/>
      <c r="D31" s="177">
        <v>963</v>
      </c>
      <c r="E31" s="689"/>
      <c r="F31" s="705"/>
      <c r="G31" s="153"/>
      <c r="H31" s="153">
        <v>0</v>
      </c>
      <c r="I31" s="153"/>
      <c r="J31" s="706"/>
      <c r="K31" s="173">
        <f t="shared" si="1"/>
        <v>963</v>
      </c>
    </row>
    <row r="32" spans="1:11" ht="12.75">
      <c r="A32" s="695">
        <v>2031</v>
      </c>
      <c r="B32" s="696"/>
      <c r="C32" s="689"/>
      <c r="D32" s="177"/>
      <c r="E32" s="689"/>
      <c r="F32" s="705"/>
      <c r="G32" s="153"/>
      <c r="H32" s="153">
        <v>0</v>
      </c>
      <c r="I32" s="153"/>
      <c r="J32" s="706"/>
      <c r="K32" s="173">
        <f t="shared" si="1"/>
        <v>0</v>
      </c>
    </row>
    <row r="33" spans="1:11" ht="12.75">
      <c r="A33" s="695">
        <v>2032</v>
      </c>
      <c r="B33" s="696"/>
      <c r="C33" s="689"/>
      <c r="D33" s="177"/>
      <c r="E33" s="689"/>
      <c r="F33" s="705"/>
      <c r="G33" s="153"/>
      <c r="H33" s="153">
        <v>0</v>
      </c>
      <c r="I33" s="153"/>
      <c r="J33" s="706"/>
      <c r="K33" s="153">
        <f t="shared" si="1"/>
        <v>0</v>
      </c>
    </row>
    <row r="34" spans="1:11" ht="12.75">
      <c r="A34" s="707">
        <v>2033</v>
      </c>
      <c r="B34" s="409"/>
      <c r="C34" s="409"/>
      <c r="D34" s="409"/>
      <c r="E34" s="409"/>
      <c r="F34" s="299"/>
      <c r="G34" s="708"/>
      <c r="H34" s="253">
        <v>0</v>
      </c>
      <c r="I34" s="708"/>
      <c r="J34" s="708"/>
      <c r="K34" s="709">
        <f t="shared" si="1"/>
        <v>0</v>
      </c>
    </row>
    <row r="35" spans="1:11" ht="12.75">
      <c r="A35" s="710"/>
      <c r="B35" s="54"/>
      <c r="C35" s="54"/>
      <c r="D35" s="54"/>
      <c r="E35" s="54"/>
      <c r="F35" s="54"/>
      <c r="G35" s="54"/>
      <c r="H35" s="54"/>
      <c r="I35" s="54"/>
      <c r="J35" s="54"/>
      <c r="K35" s="166"/>
    </row>
    <row r="36" spans="1:11" ht="12.75">
      <c r="A36" s="710"/>
      <c r="B36" s="54"/>
      <c r="C36" s="54"/>
      <c r="D36" s="54"/>
      <c r="E36" s="54"/>
      <c r="F36" s="54"/>
      <c r="G36" s="54"/>
      <c r="H36" s="54"/>
      <c r="I36" s="54"/>
      <c r="J36" s="54"/>
      <c r="K36" s="166"/>
    </row>
    <row r="37" spans="1:11" ht="12.75">
      <c r="A37" s="710"/>
      <c r="B37" s="54"/>
      <c r="C37" s="54"/>
      <c r="D37" s="54"/>
      <c r="E37" s="54"/>
      <c r="F37" s="54"/>
      <c r="G37" s="54"/>
      <c r="H37" s="54"/>
      <c r="I37" s="54"/>
      <c r="J37" s="54"/>
      <c r="K37" s="166"/>
    </row>
    <row r="38" spans="1:11" ht="12.75">
      <c r="A38" s="710"/>
      <c r="B38" s="54"/>
      <c r="C38" s="54"/>
      <c r="D38" s="54"/>
      <c r="E38" s="54"/>
      <c r="F38" s="54"/>
      <c r="G38" s="54"/>
      <c r="H38" s="54"/>
      <c r="I38" s="54"/>
      <c r="J38" s="54"/>
      <c r="K38" s="166"/>
    </row>
    <row r="39" spans="1:11" ht="12.75">
      <c r="A39" s="99" t="s">
        <v>809</v>
      </c>
      <c r="B39" s="711">
        <f aca="true" t="shared" si="2" ref="B39:K39">SUM(B11:B34)</f>
        <v>0</v>
      </c>
      <c r="C39" s="711">
        <f t="shared" si="2"/>
        <v>229002.00533333328</v>
      </c>
      <c r="D39" s="711">
        <f t="shared" si="2"/>
        <v>24949</v>
      </c>
      <c r="E39" s="711">
        <f t="shared" si="2"/>
        <v>47060</v>
      </c>
      <c r="F39" s="711">
        <f t="shared" si="2"/>
        <v>38125</v>
      </c>
      <c r="G39" s="711">
        <f t="shared" si="2"/>
        <v>1185</v>
      </c>
      <c r="H39" s="711">
        <f t="shared" si="2"/>
        <v>3005480</v>
      </c>
      <c r="I39" s="711">
        <f t="shared" si="2"/>
        <v>0</v>
      </c>
      <c r="J39" s="711">
        <f t="shared" si="2"/>
        <v>129997</v>
      </c>
      <c r="K39" s="711">
        <f t="shared" si="2"/>
        <v>3475798.0053333333</v>
      </c>
    </row>
  </sheetData>
  <sheetProtection/>
  <mergeCells count="7">
    <mergeCell ref="F1:K1"/>
    <mergeCell ref="A3:K3"/>
    <mergeCell ref="A4:K4"/>
    <mergeCell ref="A6:A7"/>
    <mergeCell ref="B6:C6"/>
    <mergeCell ref="D6:J6"/>
    <mergeCell ref="K6:K7"/>
  </mergeCells>
  <printOptions/>
  <pageMargins left="0.5902777777777778" right="0.5902777777777778" top="0.5902777777777778" bottom="0.5902777777777779" header="0.5118055555555556" footer="0.5118055555555556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B18" sqref="B18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712" t="s">
        <v>810</v>
      </c>
    </row>
    <row r="5" spans="1:3" ht="15.75">
      <c r="A5" s="1437" t="s">
        <v>811</v>
      </c>
      <c r="B5" s="1437"/>
      <c r="C5" s="1437"/>
    </row>
    <row r="6" spans="1:3" ht="15.75">
      <c r="A6" s="1382" t="s">
        <v>812</v>
      </c>
      <c r="B6" s="1382"/>
      <c r="C6" s="1382"/>
    </row>
    <row r="7" spans="1:3" ht="15.75">
      <c r="A7" s="1382" t="s">
        <v>813</v>
      </c>
      <c r="B7" s="1382"/>
      <c r="C7" s="1382"/>
    </row>
    <row r="8" spans="1:3" ht="15.75">
      <c r="A8" s="44"/>
      <c r="B8" s="44"/>
      <c r="C8" s="44"/>
    </row>
    <row r="12" ht="12.75">
      <c r="C12" s="441" t="s">
        <v>33</v>
      </c>
    </row>
    <row r="13" spans="1:3" ht="38.25">
      <c r="A13" s="556" t="s">
        <v>5</v>
      </c>
      <c r="B13" s="410" t="s">
        <v>814</v>
      </c>
      <c r="C13" s="713" t="s">
        <v>815</v>
      </c>
    </row>
    <row r="14" spans="1:3" ht="15">
      <c r="A14" s="641" t="s">
        <v>816</v>
      </c>
      <c r="B14" s="714">
        <v>5000</v>
      </c>
      <c r="C14" s="715" t="s">
        <v>817</v>
      </c>
    </row>
    <row r="15" spans="1:3" ht="15">
      <c r="A15" s="465" t="s">
        <v>818</v>
      </c>
      <c r="B15" s="716">
        <v>1000</v>
      </c>
      <c r="C15" s="717" t="s">
        <v>817</v>
      </c>
    </row>
    <row r="16" spans="1:3" ht="15">
      <c r="A16" s="465" t="s">
        <v>819</v>
      </c>
      <c r="B16" s="716">
        <v>0</v>
      </c>
      <c r="C16" s="717" t="s">
        <v>817</v>
      </c>
    </row>
    <row r="17" spans="1:3" ht="15">
      <c r="A17" s="642" t="s">
        <v>1124</v>
      </c>
      <c r="B17" s="718">
        <v>0</v>
      </c>
      <c r="C17" s="717" t="s">
        <v>817</v>
      </c>
    </row>
    <row r="18" spans="1:3" ht="12.75">
      <c r="A18" s="342"/>
      <c r="B18" s="289"/>
      <c r="C18" s="719"/>
    </row>
    <row r="19" spans="1:3" ht="15.75">
      <c r="A19" s="442" t="s">
        <v>403</v>
      </c>
      <c r="B19" s="680">
        <f>SUM(B14:B17)</f>
        <v>6000</v>
      </c>
      <c r="C19" s="638"/>
    </row>
  </sheetData>
  <sheetProtection/>
  <mergeCells count="3">
    <mergeCell ref="A5:C5"/>
    <mergeCell ref="A6:C6"/>
    <mergeCell ref="A7:C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3" sqref="A33:B33"/>
    </sheetView>
  </sheetViews>
  <sheetFormatPr defaultColWidth="9.140625" defaultRowHeight="12.75"/>
  <cols>
    <col min="1" max="1" width="65.7109375" style="0" customWidth="1"/>
    <col min="2" max="2" width="19.140625" style="0" customWidth="1"/>
  </cols>
  <sheetData>
    <row r="1" spans="1:2" ht="14.25">
      <c r="A1" s="720"/>
      <c r="B1" s="721" t="s">
        <v>820</v>
      </c>
    </row>
    <row r="2" spans="1:2" ht="14.25">
      <c r="A2" s="720"/>
      <c r="B2" s="721"/>
    </row>
    <row r="3" spans="1:2" ht="15.75">
      <c r="A3" s="1462" t="s">
        <v>811</v>
      </c>
      <c r="B3" s="1462"/>
    </row>
    <row r="4" spans="1:2" ht="15.75">
      <c r="A4" s="1463" t="s">
        <v>821</v>
      </c>
      <c r="B4" s="1463"/>
    </row>
    <row r="5" spans="1:2" ht="12.75">
      <c r="A5" s="722"/>
      <c r="B5" s="723"/>
    </row>
    <row r="6" spans="1:2" ht="13.5" thickBot="1">
      <c r="A6" s="722"/>
      <c r="B6" s="724" t="s">
        <v>33</v>
      </c>
    </row>
    <row r="7" spans="1:2" ht="13.5" thickBot="1">
      <c r="A7" s="1465" t="s">
        <v>822</v>
      </c>
      <c r="B7" s="1466" t="s">
        <v>823</v>
      </c>
    </row>
    <row r="8" spans="1:2" ht="13.5" thickBot="1">
      <c r="A8" s="1465"/>
      <c r="B8" s="1466"/>
    </row>
    <row r="9" spans="1:2" ht="15.75">
      <c r="A9" s="725" t="s">
        <v>824</v>
      </c>
      <c r="B9" s="726">
        <v>0</v>
      </c>
    </row>
    <row r="10" spans="1:2" ht="15.75">
      <c r="A10" s="727" t="s">
        <v>825</v>
      </c>
      <c r="B10" s="728"/>
    </row>
    <row r="11" spans="1:2" ht="15.75">
      <c r="A11" s="729" t="s">
        <v>826</v>
      </c>
      <c r="B11" s="730">
        <v>1000</v>
      </c>
    </row>
    <row r="12" spans="1:2" ht="15.75">
      <c r="A12" s="731" t="s">
        <v>827</v>
      </c>
      <c r="B12" s="730"/>
    </row>
    <row r="13" spans="1:2" ht="31.5">
      <c r="A13" s="732" t="s">
        <v>828</v>
      </c>
      <c r="B13" s="733">
        <v>5000</v>
      </c>
    </row>
    <row r="14" spans="1:2" ht="15.75">
      <c r="A14" s="734" t="s">
        <v>829</v>
      </c>
      <c r="B14" s="735"/>
    </row>
    <row r="15" spans="1:2" ht="15.75">
      <c r="A15" s="736" t="s">
        <v>830</v>
      </c>
      <c r="B15" s="735"/>
    </row>
    <row r="16" spans="1:2" ht="26.25">
      <c r="A16" s="736" t="s">
        <v>831</v>
      </c>
      <c r="B16" s="735"/>
    </row>
    <row r="17" spans="1:2" ht="26.25">
      <c r="A17" s="736" t="s">
        <v>832</v>
      </c>
      <c r="B17" s="735"/>
    </row>
    <row r="18" spans="1:2" ht="15.75">
      <c r="A18" s="736" t="s">
        <v>833</v>
      </c>
      <c r="B18" s="735"/>
    </row>
    <row r="19" spans="1:2" ht="16.5" thickBot="1">
      <c r="A19" s="737" t="s">
        <v>834</v>
      </c>
      <c r="B19" s="738">
        <f>SUM(B10:B18)</f>
        <v>6000</v>
      </c>
    </row>
    <row r="20" spans="1:2" ht="12.75">
      <c r="A20" s="720"/>
      <c r="B20" s="720"/>
    </row>
    <row r="21" spans="1:2" ht="12.75">
      <c r="A21" s="1461" t="s">
        <v>835</v>
      </c>
      <c r="B21" s="1461"/>
    </row>
    <row r="22" spans="1:2" ht="12.75">
      <c r="A22" s="1461" t="s">
        <v>836</v>
      </c>
      <c r="B22" s="1461"/>
    </row>
    <row r="23" spans="1:2" ht="12.75">
      <c r="A23" s="1461" t="s">
        <v>837</v>
      </c>
      <c r="B23" s="1461"/>
    </row>
    <row r="24" spans="1:2" ht="12.75">
      <c r="A24" s="739"/>
      <c r="B24" s="739"/>
    </row>
    <row r="25" spans="1:2" ht="12.75">
      <c r="A25" s="720"/>
      <c r="B25" s="720"/>
    </row>
    <row r="26" spans="1:2" ht="12.75">
      <c r="A26" s="720" t="s">
        <v>838</v>
      </c>
      <c r="B26" s="720"/>
    </row>
    <row r="27" spans="1:2" ht="12.75">
      <c r="A27" s="720" t="s">
        <v>839</v>
      </c>
      <c r="B27" s="720"/>
    </row>
    <row r="28" spans="1:2" ht="12.75">
      <c r="A28" s="720"/>
      <c r="B28" s="720"/>
    </row>
    <row r="29" spans="1:2" ht="12.75">
      <c r="A29" s="720"/>
      <c r="B29" s="720"/>
    </row>
    <row r="30" spans="1:2" ht="12.75">
      <c r="A30" s="720"/>
      <c r="B30" s="720"/>
    </row>
    <row r="31" spans="1:2" ht="14.25">
      <c r="A31" s="720"/>
      <c r="B31" s="721" t="s">
        <v>840</v>
      </c>
    </row>
    <row r="32" spans="1:2" ht="14.25">
      <c r="A32" s="720"/>
      <c r="B32" s="740"/>
    </row>
    <row r="33" spans="1:2" ht="15.75">
      <c r="A33" s="1462" t="s">
        <v>811</v>
      </c>
      <c r="B33" s="1462"/>
    </row>
    <row r="34" spans="1:2" ht="15.75">
      <c r="A34" s="1463" t="s">
        <v>841</v>
      </c>
      <c r="B34" s="1463"/>
    </row>
    <row r="35" spans="1:2" ht="12.75">
      <c r="A35" s="1464"/>
      <c r="B35" s="1464"/>
    </row>
    <row r="36" spans="1:2" ht="13.5" thickBot="1">
      <c r="A36" s="720"/>
      <c r="B36" s="723" t="s">
        <v>33</v>
      </c>
    </row>
    <row r="37" spans="1:2" ht="13.5" thickBot="1">
      <c r="A37" s="1488" t="s">
        <v>842</v>
      </c>
      <c r="B37" s="1379" t="s">
        <v>843</v>
      </c>
    </row>
    <row r="38" spans="1:2" ht="12.75">
      <c r="A38" s="1489" t="s">
        <v>844</v>
      </c>
      <c r="B38" s="1490">
        <v>3369707</v>
      </c>
    </row>
    <row r="39" spans="1:2" ht="12.75">
      <c r="A39" s="1489" t="s">
        <v>845</v>
      </c>
      <c r="B39" s="1491">
        <v>4448177</v>
      </c>
    </row>
    <row r="40" spans="1:2" ht="12.75">
      <c r="A40" s="1489" t="s">
        <v>846</v>
      </c>
      <c r="B40" s="1492">
        <v>4448177</v>
      </c>
    </row>
    <row r="41" spans="1:2" ht="13.5" thickBot="1">
      <c r="A41" s="1493" t="s">
        <v>847</v>
      </c>
      <c r="B41" s="1494">
        <f>B38+B39-B40</f>
        <v>3369707</v>
      </c>
    </row>
  </sheetData>
  <sheetProtection/>
  <mergeCells count="10">
    <mergeCell ref="A23:B23"/>
    <mergeCell ref="A33:B33"/>
    <mergeCell ref="A34:B34"/>
    <mergeCell ref="A35:B35"/>
    <mergeCell ref="A3:B3"/>
    <mergeCell ref="A4:B4"/>
    <mergeCell ref="A7:A8"/>
    <mergeCell ref="B7:B8"/>
    <mergeCell ref="A21:B21"/>
    <mergeCell ref="A22:B2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21.574218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1" spans="5:6" ht="15">
      <c r="E1" s="1394" t="s">
        <v>848</v>
      </c>
      <c r="F1" s="1394"/>
    </row>
    <row r="2" ht="15.75">
      <c r="C2" s="46" t="s">
        <v>849</v>
      </c>
    </row>
    <row r="3" spans="1:6" ht="12.75">
      <c r="A3" s="1402" t="s">
        <v>850</v>
      </c>
      <c r="B3" s="1402"/>
      <c r="C3" s="1402"/>
      <c r="D3" s="1402"/>
      <c r="E3" s="1402"/>
      <c r="F3" s="1402"/>
    </row>
    <row r="4" spans="2:4" ht="12.75">
      <c r="B4" s="547"/>
      <c r="C4" s="547" t="s">
        <v>851</v>
      </c>
      <c r="D4" s="547"/>
    </row>
    <row r="5" ht="12.75">
      <c r="F5" s="48" t="s">
        <v>33</v>
      </c>
    </row>
    <row r="6" spans="1:6" ht="12.75">
      <c r="A6" s="1468" t="s">
        <v>852</v>
      </c>
      <c r="B6" s="1469" t="s">
        <v>853</v>
      </c>
      <c r="C6" s="741" t="s">
        <v>854</v>
      </c>
      <c r="D6" s="742" t="s">
        <v>649</v>
      </c>
      <c r="E6" s="741" t="s">
        <v>855</v>
      </c>
      <c r="F6" s="743" t="s">
        <v>856</v>
      </c>
    </row>
    <row r="7" spans="1:6" ht="12.75">
      <c r="A7" s="1468"/>
      <c r="B7" s="1468"/>
      <c r="C7" s="634" t="s">
        <v>857</v>
      </c>
      <c r="D7" s="744" t="s">
        <v>858</v>
      </c>
      <c r="E7" s="634" t="s">
        <v>859</v>
      </c>
      <c r="F7" s="745" t="s">
        <v>860</v>
      </c>
    </row>
    <row r="8" spans="1:6" ht="12.75">
      <c r="A8" s="1468"/>
      <c r="B8" s="1469"/>
      <c r="C8" s="637" t="s">
        <v>861</v>
      </c>
      <c r="D8" s="746" t="s">
        <v>862</v>
      </c>
      <c r="E8" s="637" t="s">
        <v>862</v>
      </c>
      <c r="F8" s="747" t="s">
        <v>863</v>
      </c>
    </row>
    <row r="9" spans="1:6" ht="12.75">
      <c r="A9" s="107" t="s">
        <v>864</v>
      </c>
      <c r="B9" s="220" t="s">
        <v>865</v>
      </c>
      <c r="C9" s="87"/>
      <c r="D9" s="68"/>
      <c r="E9" s="87"/>
      <c r="F9" s="113"/>
    </row>
    <row r="10" spans="1:6" ht="12.75">
      <c r="A10" s="107" t="s">
        <v>864</v>
      </c>
      <c r="B10" s="748" t="s">
        <v>866</v>
      </c>
      <c r="C10" s="56"/>
      <c r="D10" s="57"/>
      <c r="E10" s="56"/>
      <c r="F10" s="75"/>
    </row>
    <row r="11" spans="1:6" ht="12.75">
      <c r="A11" s="107" t="s">
        <v>864</v>
      </c>
      <c r="B11" s="58" t="s">
        <v>867</v>
      </c>
      <c r="C11" s="67"/>
      <c r="D11" s="68"/>
      <c r="E11" s="67"/>
      <c r="F11" s="113"/>
    </row>
    <row r="12" spans="1:6" ht="12.75">
      <c r="A12" s="107" t="s">
        <v>864</v>
      </c>
      <c r="B12" s="748" t="s">
        <v>868</v>
      </c>
      <c r="C12" s="56"/>
      <c r="D12" s="57"/>
      <c r="E12" s="77"/>
      <c r="F12" s="78"/>
    </row>
    <row r="13" spans="1:6" ht="12.75">
      <c r="A13" s="107" t="s">
        <v>864</v>
      </c>
      <c r="B13" s="748"/>
      <c r="C13" s="56"/>
      <c r="D13" s="57"/>
      <c r="E13" s="56"/>
      <c r="F13" s="75"/>
    </row>
    <row r="14" spans="1:6" ht="12.75">
      <c r="A14" s="107" t="s">
        <v>864</v>
      </c>
      <c r="B14" s="223"/>
      <c r="C14" s="223"/>
      <c r="D14" s="397"/>
      <c r="E14" s="223"/>
      <c r="F14" s="405"/>
    </row>
    <row r="15" spans="1:6" ht="12.75">
      <c r="A15" s="107" t="s">
        <v>864</v>
      </c>
      <c r="B15" s="748"/>
      <c r="C15" s="56"/>
      <c r="D15" s="57"/>
      <c r="E15" s="56"/>
      <c r="F15" s="75"/>
    </row>
    <row r="16" spans="1:6" ht="12.75">
      <c r="A16" s="107" t="s">
        <v>864</v>
      </c>
      <c r="B16" s="748"/>
      <c r="C16" s="56"/>
      <c r="D16" s="57"/>
      <c r="E16" s="56"/>
      <c r="F16" s="75"/>
    </row>
    <row r="17" spans="1:6" ht="12.75">
      <c r="A17" s="107" t="s">
        <v>864</v>
      </c>
      <c r="B17" s="748"/>
      <c r="C17" s="56"/>
      <c r="D17" s="57"/>
      <c r="E17" s="56"/>
      <c r="F17" s="75"/>
    </row>
    <row r="18" spans="1:6" ht="12.75">
      <c r="A18" s="107" t="s">
        <v>864</v>
      </c>
      <c r="B18" s="223"/>
      <c r="C18" s="223"/>
      <c r="D18" s="397"/>
      <c r="E18" s="223"/>
      <c r="F18" s="405"/>
    </row>
    <row r="19" spans="1:6" ht="12.75">
      <c r="A19" s="342"/>
      <c r="B19" s="748"/>
      <c r="C19" s="56"/>
      <c r="D19" s="57"/>
      <c r="E19" s="56"/>
      <c r="F19" s="75"/>
    </row>
    <row r="20" spans="1:6" ht="12.75">
      <c r="A20" s="107"/>
      <c r="B20" s="748"/>
      <c r="C20" s="56"/>
      <c r="D20" s="57"/>
      <c r="E20" s="56"/>
      <c r="F20" s="75"/>
    </row>
    <row r="21" spans="1:6" ht="12.75">
      <c r="A21" s="307" t="s">
        <v>181</v>
      </c>
      <c r="B21" s="637" t="s">
        <v>869</v>
      </c>
      <c r="C21" s="242">
        <f>SUM(C9:C20)</f>
        <v>0</v>
      </c>
      <c r="D21" s="749">
        <f>SUM(D9:D20)</f>
        <v>0</v>
      </c>
      <c r="E21" s="242">
        <f>SUM(E9:E20)</f>
        <v>0</v>
      </c>
      <c r="F21" s="750">
        <f>SUM(F9:F20)</f>
        <v>0</v>
      </c>
    </row>
    <row r="22" spans="1:6" ht="12.75">
      <c r="A22" s="54"/>
      <c r="B22" s="744"/>
      <c r="C22" s="90"/>
      <c r="D22" s="90"/>
      <c r="E22" s="90"/>
      <c r="F22" s="90"/>
    </row>
    <row r="23" spans="5:6" ht="15">
      <c r="E23" s="1394" t="s">
        <v>870</v>
      </c>
      <c r="F23" s="1394"/>
    </row>
    <row r="24" spans="1:6" ht="15.75">
      <c r="A24" s="1382" t="s">
        <v>871</v>
      </c>
      <c r="B24" s="1382"/>
      <c r="C24" s="1382"/>
      <c r="D24" s="1382"/>
      <c r="E24" s="1382"/>
      <c r="F24" s="1382"/>
    </row>
    <row r="25" spans="1:6" ht="12.75">
      <c r="A25" s="1402" t="s">
        <v>872</v>
      </c>
      <c r="B25" s="1402"/>
      <c r="C25" s="1402"/>
      <c r="D25" s="1402"/>
      <c r="E25" s="1402"/>
      <c r="F25" s="1402"/>
    </row>
    <row r="26" spans="1:6" ht="12.75">
      <c r="A26" s="1402" t="s">
        <v>873</v>
      </c>
      <c r="B26" s="1402"/>
      <c r="C26" s="1402"/>
      <c r="D26" s="1402"/>
      <c r="E26" s="1402"/>
      <c r="F26" s="1402"/>
    </row>
    <row r="27" spans="2:6" ht="12.75">
      <c r="B27" s="547"/>
      <c r="C27" s="547"/>
      <c r="D27" s="547"/>
      <c r="F27" s="48" t="s">
        <v>33</v>
      </c>
    </row>
    <row r="28" spans="1:6" ht="12.75">
      <c r="A28" s="1467" t="s">
        <v>874</v>
      </c>
      <c r="B28" s="1467"/>
      <c r="C28" s="741" t="s">
        <v>875</v>
      </c>
      <c r="D28" s="742" t="s">
        <v>876</v>
      </c>
      <c r="E28" s="741" t="s">
        <v>877</v>
      </c>
      <c r="F28" s="743" t="s">
        <v>878</v>
      </c>
    </row>
    <row r="29" spans="1:6" ht="12.75">
      <c r="A29" s="1467"/>
      <c r="B29" s="1467"/>
      <c r="C29" s="634" t="s">
        <v>857</v>
      </c>
      <c r="D29" s="744" t="s">
        <v>879</v>
      </c>
      <c r="E29" s="634" t="s">
        <v>880</v>
      </c>
      <c r="F29" s="745" t="s">
        <v>881</v>
      </c>
    </row>
    <row r="30" spans="1:6" ht="12.75">
      <c r="A30" s="1467"/>
      <c r="B30" s="1467"/>
      <c r="C30" s="637" t="s">
        <v>882</v>
      </c>
      <c r="D30" s="746" t="s">
        <v>883</v>
      </c>
      <c r="E30" s="637" t="s">
        <v>862</v>
      </c>
      <c r="F30" s="747" t="s">
        <v>884</v>
      </c>
    </row>
    <row r="31" spans="1:6" ht="12.75">
      <c r="A31" s="407"/>
      <c r="B31" s="751"/>
      <c r="C31" s="220"/>
      <c r="D31" s="221"/>
      <c r="E31" s="220"/>
      <c r="F31" s="751"/>
    </row>
    <row r="32" spans="1:6" ht="12.75">
      <c r="A32" s="106"/>
      <c r="B32" s="635"/>
      <c r="C32" s="58"/>
      <c r="D32" s="633"/>
      <c r="E32" s="58"/>
      <c r="F32" s="635"/>
    </row>
    <row r="33" spans="1:6" ht="12.75">
      <c r="A33" s="106"/>
      <c r="B33" s="635"/>
      <c r="C33" s="58"/>
      <c r="D33" s="633"/>
      <c r="E33" s="58"/>
      <c r="F33" s="635"/>
    </row>
    <row r="34" spans="1:6" ht="12.75">
      <c r="A34" s="106"/>
      <c r="B34" s="635"/>
      <c r="C34" s="58"/>
      <c r="D34" s="633"/>
      <c r="E34" s="58"/>
      <c r="F34" s="635"/>
    </row>
    <row r="35" spans="1:6" ht="12.75">
      <c r="A35" s="245"/>
      <c r="B35" s="452"/>
      <c r="C35" s="83"/>
      <c r="D35" s="54"/>
      <c r="E35" s="83"/>
      <c r="F35" s="452"/>
    </row>
    <row r="36" spans="1:6" ht="12.75">
      <c r="A36" s="109" t="s">
        <v>181</v>
      </c>
      <c r="B36" s="752"/>
      <c r="C36" s="639"/>
      <c r="D36" s="399"/>
      <c r="E36" s="639"/>
      <c r="F36" s="638"/>
    </row>
  </sheetData>
  <sheetProtection/>
  <mergeCells count="9">
    <mergeCell ref="A25:F25"/>
    <mergeCell ref="A26:F26"/>
    <mergeCell ref="A28:B30"/>
    <mergeCell ref="E1:F1"/>
    <mergeCell ref="A3:F3"/>
    <mergeCell ref="A6:A8"/>
    <mergeCell ref="B6:B8"/>
    <mergeCell ref="E23:F23"/>
    <mergeCell ref="A24:F24"/>
  </mergeCells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7">
      <selection activeCell="A72" sqref="A72"/>
    </sheetView>
  </sheetViews>
  <sheetFormatPr defaultColWidth="9.140625" defaultRowHeight="12.75"/>
  <cols>
    <col min="1" max="1" width="13.57421875" style="0" customWidth="1"/>
    <col min="2" max="2" width="18.421875" style="0" customWidth="1"/>
    <col min="3" max="3" width="10.28125" style="0" customWidth="1"/>
  </cols>
  <sheetData>
    <row r="2" spans="1:12" ht="12.75">
      <c r="A2" s="1"/>
      <c r="B2" s="1"/>
      <c r="C2" s="1"/>
      <c r="D2" s="753"/>
      <c r="E2" s="1"/>
      <c r="F2" s="1"/>
      <c r="G2" s="1"/>
      <c r="H2" s="1"/>
      <c r="I2" s="1"/>
      <c r="J2" s="753" t="s">
        <v>885</v>
      </c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470" t="s">
        <v>811</v>
      </c>
      <c r="B4" s="1470"/>
      <c r="C4" s="1470"/>
      <c r="D4" s="1470"/>
      <c r="E4" s="1470"/>
      <c r="F4" s="1470"/>
      <c r="G4" s="1470"/>
      <c r="H4" s="1470"/>
      <c r="I4" s="1470"/>
      <c r="J4" s="1470"/>
      <c r="K4" s="1470"/>
      <c r="L4" s="1470"/>
    </row>
    <row r="5" spans="1:12" ht="18.75">
      <c r="A5" s="1471" t="s">
        <v>886</v>
      </c>
      <c r="B5" s="1471"/>
      <c r="C5" s="1471"/>
      <c r="D5" s="1471"/>
      <c r="E5" s="1471"/>
      <c r="F5" s="1471"/>
      <c r="G5" s="1471"/>
      <c r="H5" s="1471"/>
      <c r="I5" s="1471"/>
      <c r="J5" s="1471"/>
      <c r="K5" s="1471"/>
      <c r="L5" s="1471"/>
    </row>
    <row r="6" spans="1:5" ht="18">
      <c r="A6" s="754"/>
      <c r="B6" s="754"/>
      <c r="C6" s="754"/>
      <c r="D6" s="754"/>
      <c r="E6" s="754"/>
    </row>
    <row r="7" spans="1:5" ht="18">
      <c r="A7" s="754"/>
      <c r="B7" s="754"/>
      <c r="C7" s="754"/>
      <c r="D7" s="754"/>
      <c r="E7" s="754"/>
    </row>
    <row r="8" spans="7:11" ht="12.75">
      <c r="G8" s="1402"/>
      <c r="H8" s="1402"/>
      <c r="I8" s="1402"/>
      <c r="J8" s="1402"/>
      <c r="K8" s="547" t="s">
        <v>468</v>
      </c>
    </row>
    <row r="9" spans="1:13" ht="14.25">
      <c r="A9" s="1472" t="s">
        <v>887</v>
      </c>
      <c r="B9" s="1473" t="s">
        <v>853</v>
      </c>
      <c r="C9" s="1474" t="s">
        <v>888</v>
      </c>
      <c r="D9" s="1475" t="s">
        <v>889</v>
      </c>
      <c r="E9" s="1475"/>
      <c r="F9" s="1475"/>
      <c r="G9" s="1475"/>
      <c r="H9" s="1475"/>
      <c r="I9" s="1475"/>
      <c r="J9" s="1475"/>
      <c r="K9" s="1475"/>
      <c r="L9" s="1475"/>
      <c r="M9" s="1475"/>
    </row>
    <row r="10" spans="1:13" ht="32.25" customHeight="1">
      <c r="A10" s="1472"/>
      <c r="B10" s="1473"/>
      <c r="C10" s="1474"/>
      <c r="D10" s="755">
        <v>2010</v>
      </c>
      <c r="E10" s="755">
        <v>2011</v>
      </c>
      <c r="F10" s="755">
        <v>2012</v>
      </c>
      <c r="G10" s="755">
        <v>2013</v>
      </c>
      <c r="H10" s="755">
        <v>2014</v>
      </c>
      <c r="I10" s="756">
        <v>2015</v>
      </c>
      <c r="J10" s="757">
        <v>2016</v>
      </c>
      <c r="K10" s="758">
        <v>2017</v>
      </c>
      <c r="L10" s="759">
        <v>2018</v>
      </c>
      <c r="M10" s="760">
        <v>2019</v>
      </c>
    </row>
    <row r="11" spans="1:13" ht="31.5" customHeight="1">
      <c r="A11" s="761" t="s">
        <v>890</v>
      </c>
      <c r="B11" s="762" t="s">
        <v>891</v>
      </c>
      <c r="C11" s="763">
        <v>24949</v>
      </c>
      <c r="D11" s="764">
        <v>0</v>
      </c>
      <c r="E11" s="764">
        <v>0</v>
      </c>
      <c r="F11" s="764">
        <v>0</v>
      </c>
      <c r="G11" s="764">
        <v>1074</v>
      </c>
      <c r="H11" s="764">
        <v>1432</v>
      </c>
      <c r="I11" s="765">
        <v>1432</v>
      </c>
      <c r="J11" s="764">
        <v>1432</v>
      </c>
      <c r="K11" s="766">
        <v>1432</v>
      </c>
      <c r="L11" s="311">
        <v>1432</v>
      </c>
      <c r="M11" s="767">
        <v>1432</v>
      </c>
    </row>
    <row r="12" spans="1:13" ht="31.5" customHeight="1">
      <c r="A12" s="761" t="s">
        <v>890</v>
      </c>
      <c r="B12" s="762" t="s">
        <v>892</v>
      </c>
      <c r="C12" s="768">
        <v>38125</v>
      </c>
      <c r="D12" s="764">
        <v>2500</v>
      </c>
      <c r="E12" s="764">
        <v>2500</v>
      </c>
      <c r="F12" s="764">
        <v>2500</v>
      </c>
      <c r="G12" s="764">
        <v>2500</v>
      </c>
      <c r="H12" s="764">
        <v>2500</v>
      </c>
      <c r="I12" s="765">
        <v>2500</v>
      </c>
      <c r="J12" s="764">
        <v>2500</v>
      </c>
      <c r="K12" s="766">
        <v>2500</v>
      </c>
      <c r="L12" s="769">
        <v>2500</v>
      </c>
      <c r="M12" s="767">
        <v>2500</v>
      </c>
    </row>
    <row r="13" spans="1:13" ht="26.25" customHeight="1">
      <c r="A13" s="761" t="s">
        <v>890</v>
      </c>
      <c r="B13" s="762" t="s">
        <v>893</v>
      </c>
      <c r="C13" s="768">
        <v>129997</v>
      </c>
      <c r="D13" s="764">
        <v>8696</v>
      </c>
      <c r="E13" s="764">
        <v>8696</v>
      </c>
      <c r="F13" s="764">
        <v>8696</v>
      </c>
      <c r="G13" s="764">
        <v>8696</v>
      </c>
      <c r="H13" s="764">
        <v>8696</v>
      </c>
      <c r="I13" s="765">
        <v>8696</v>
      </c>
      <c r="J13" s="764">
        <v>8696</v>
      </c>
      <c r="K13" s="766">
        <v>8696</v>
      </c>
      <c r="L13" s="769">
        <v>8696</v>
      </c>
      <c r="M13" s="769">
        <v>8696</v>
      </c>
    </row>
    <row r="14" spans="1:13" ht="24.75" customHeight="1">
      <c r="A14" s="770" t="s">
        <v>894</v>
      </c>
      <c r="B14" s="762" t="s">
        <v>895</v>
      </c>
      <c r="C14" s="768">
        <v>1181</v>
      </c>
      <c r="D14" s="768">
        <v>292</v>
      </c>
      <c r="E14" s="764">
        <v>379</v>
      </c>
      <c r="F14" s="764">
        <v>468</v>
      </c>
      <c r="G14" s="764">
        <v>43</v>
      </c>
      <c r="H14" s="764">
        <v>0</v>
      </c>
      <c r="I14" s="765">
        <v>0</v>
      </c>
      <c r="J14" s="764">
        <v>0</v>
      </c>
      <c r="K14" s="766">
        <v>0</v>
      </c>
      <c r="L14" s="769">
        <v>0</v>
      </c>
      <c r="M14" s="769">
        <v>0</v>
      </c>
    </row>
    <row r="15" spans="1:13" ht="18.75" customHeight="1">
      <c r="A15" s="761" t="s">
        <v>890</v>
      </c>
      <c r="B15" s="762" t="s">
        <v>896</v>
      </c>
      <c r="C15" s="768">
        <v>47060</v>
      </c>
      <c r="D15" s="764">
        <v>2940</v>
      </c>
      <c r="E15" s="764">
        <v>2940</v>
      </c>
      <c r="F15" s="764">
        <v>2940</v>
      </c>
      <c r="G15" s="764">
        <v>2940</v>
      </c>
      <c r="H15" s="764">
        <v>2940</v>
      </c>
      <c r="I15" s="764">
        <v>2940</v>
      </c>
      <c r="J15" s="764">
        <v>2940</v>
      </c>
      <c r="K15" s="764">
        <v>2940</v>
      </c>
      <c r="L15" s="767">
        <v>2940</v>
      </c>
      <c r="M15" s="769">
        <v>2940</v>
      </c>
    </row>
    <row r="16" spans="1:13" ht="19.5" customHeight="1">
      <c r="A16" s="761" t="s">
        <v>897</v>
      </c>
      <c r="B16" s="762" t="s">
        <v>898</v>
      </c>
      <c r="C16" s="768">
        <v>3005480</v>
      </c>
      <c r="D16" s="764"/>
      <c r="E16" s="764"/>
      <c r="F16" s="764"/>
      <c r="G16" s="168">
        <v>69113</v>
      </c>
      <c r="H16" s="379">
        <v>76792</v>
      </c>
      <c r="I16" s="168">
        <v>85796</v>
      </c>
      <c r="J16" s="379">
        <v>85796</v>
      </c>
      <c r="K16" s="379">
        <v>88443</v>
      </c>
      <c r="L16" s="153">
        <v>94798</v>
      </c>
      <c r="M16" s="153">
        <v>96387</v>
      </c>
    </row>
    <row r="17" spans="1:13" ht="24.75" customHeight="1">
      <c r="A17" s="771" t="s">
        <v>403</v>
      </c>
      <c r="B17" s="772" t="s">
        <v>899</v>
      </c>
      <c r="C17" s="773">
        <f>SUM(C11:C16)</f>
        <v>3246792</v>
      </c>
      <c r="D17" s="774">
        <f aca="true" t="shared" si="0" ref="D17:L17">SUM(D11:D16)</f>
        <v>14428</v>
      </c>
      <c r="E17" s="774">
        <f t="shared" si="0"/>
        <v>14515</v>
      </c>
      <c r="F17" s="774">
        <f t="shared" si="0"/>
        <v>14604</v>
      </c>
      <c r="G17" s="774">
        <f t="shared" si="0"/>
        <v>84366</v>
      </c>
      <c r="H17" s="774">
        <f t="shared" si="0"/>
        <v>92360</v>
      </c>
      <c r="I17" s="774">
        <f t="shared" si="0"/>
        <v>101364</v>
      </c>
      <c r="J17" s="774">
        <f t="shared" si="0"/>
        <v>101364</v>
      </c>
      <c r="K17" s="774">
        <f t="shared" si="0"/>
        <v>104011</v>
      </c>
      <c r="L17" s="775">
        <f t="shared" si="0"/>
        <v>110366</v>
      </c>
      <c r="M17" s="776">
        <f>SUM(M11:M16)</f>
        <v>111955</v>
      </c>
    </row>
    <row r="18" spans="1:12" ht="14.25">
      <c r="A18" s="392"/>
      <c r="B18" s="777"/>
      <c r="C18" s="778"/>
      <c r="D18" s="778"/>
      <c r="E18" s="778"/>
      <c r="F18" s="778"/>
      <c r="G18" s="778"/>
      <c r="H18" s="778"/>
      <c r="I18" s="778"/>
      <c r="J18" s="778"/>
      <c r="K18" s="778"/>
      <c r="L18" s="778"/>
    </row>
    <row r="19" spans="1:12" ht="14.25">
      <c r="A19" s="392"/>
      <c r="B19" s="777"/>
      <c r="C19" s="778"/>
      <c r="D19" s="778"/>
      <c r="E19" s="778"/>
      <c r="F19" s="778"/>
      <c r="G19" s="778"/>
      <c r="H19" s="778"/>
      <c r="I19" s="778"/>
      <c r="J19" s="778"/>
      <c r="K19" s="778"/>
      <c r="L19" s="778"/>
    </row>
    <row r="20" spans="1:12" ht="14.25">
      <c r="A20" s="392"/>
      <c r="B20" s="777"/>
      <c r="C20" s="778"/>
      <c r="D20" s="778"/>
      <c r="E20" s="778"/>
      <c r="F20" s="778"/>
      <c r="G20" s="778"/>
      <c r="H20" s="778"/>
      <c r="I20" s="778"/>
      <c r="J20" s="778"/>
      <c r="K20" s="778"/>
      <c r="L20" s="778"/>
    </row>
    <row r="21" spans="1:12" ht="14.25">
      <c r="A21" s="392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</row>
    <row r="22" spans="1:12" ht="14.25">
      <c r="A22" s="392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</row>
    <row r="23" spans="1:12" ht="14.25">
      <c r="A23" s="392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</row>
    <row r="24" spans="1:12" ht="14.25">
      <c r="A24" s="392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</row>
    <row r="25" spans="1:12" ht="14.25">
      <c r="A25" s="392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</row>
    <row r="26" spans="1:12" ht="14.25">
      <c r="A26" s="392"/>
      <c r="B26" s="777"/>
      <c r="C26" s="778"/>
      <c r="D26" s="778"/>
      <c r="E26" s="778"/>
      <c r="F26" s="778"/>
      <c r="G26" s="778"/>
      <c r="H26" s="778"/>
      <c r="I26" s="778"/>
      <c r="J26" s="778"/>
      <c r="K26" s="778"/>
      <c r="L26" s="778"/>
    </row>
    <row r="27" spans="1:12" ht="14.25">
      <c r="A27" s="392"/>
      <c r="B27" s="777"/>
      <c r="C27" s="778"/>
      <c r="D27" s="778"/>
      <c r="E27" s="778"/>
      <c r="F27" s="778"/>
      <c r="G27" s="778"/>
      <c r="H27" s="778"/>
      <c r="I27" s="778"/>
      <c r="J27" s="778"/>
      <c r="K27" s="778"/>
      <c r="L27" s="778"/>
    </row>
    <row r="28" spans="1:12" ht="14.25">
      <c r="A28" s="392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</row>
    <row r="29" spans="1:13" ht="12.75">
      <c r="A29" s="1391">
        <v>2</v>
      </c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</row>
    <row r="30" spans="1:12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12.75">
      <c r="A32" s="1"/>
      <c r="B32" s="1"/>
      <c r="C32" s="1"/>
      <c r="D32" s="753"/>
      <c r="E32" s="1"/>
      <c r="F32" s="1"/>
      <c r="G32" s="1"/>
      <c r="H32" s="1"/>
      <c r="I32" s="1"/>
      <c r="J32" s="753" t="s">
        <v>885</v>
      </c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470" t="s">
        <v>811</v>
      </c>
      <c r="B34" s="1470"/>
      <c r="C34" s="1470"/>
      <c r="D34" s="1470"/>
      <c r="E34" s="1470"/>
      <c r="F34" s="1470"/>
      <c r="G34" s="1470"/>
      <c r="H34" s="1470"/>
      <c r="I34" s="1470"/>
      <c r="J34" s="1470"/>
      <c r="K34" s="1470"/>
      <c r="L34" s="1470"/>
    </row>
    <row r="35" spans="1:12" ht="18.75">
      <c r="A35" s="1471" t="s">
        <v>886</v>
      </c>
      <c r="B35" s="1471"/>
      <c r="C35" s="1471"/>
      <c r="D35" s="1471"/>
      <c r="E35" s="1471"/>
      <c r="F35" s="1471"/>
      <c r="G35" s="1471"/>
      <c r="H35" s="1471"/>
      <c r="I35" s="1471"/>
      <c r="J35" s="1471"/>
      <c r="K35" s="1471"/>
      <c r="L35" s="1471"/>
    </row>
    <row r="36" spans="1:5" ht="18">
      <c r="A36" s="754"/>
      <c r="B36" s="754"/>
      <c r="C36" s="754"/>
      <c r="D36" s="754"/>
      <c r="E36" s="754"/>
    </row>
    <row r="37" spans="7:13" ht="12.75">
      <c r="G37" s="1402"/>
      <c r="H37" s="1402"/>
      <c r="I37" s="1402"/>
      <c r="J37" s="1402"/>
      <c r="K37" s="547" t="s">
        <v>468</v>
      </c>
      <c r="M37" s="54"/>
    </row>
    <row r="38" spans="1:13" ht="14.25">
      <c r="A38" s="1472" t="s">
        <v>887</v>
      </c>
      <c r="B38" s="1476" t="s">
        <v>853</v>
      </c>
      <c r="C38" s="1474" t="s">
        <v>888</v>
      </c>
      <c r="D38" s="1475" t="s">
        <v>889</v>
      </c>
      <c r="E38" s="1475"/>
      <c r="F38" s="1475"/>
      <c r="G38" s="1475"/>
      <c r="H38" s="1475"/>
      <c r="I38" s="1475"/>
      <c r="J38" s="1475"/>
      <c r="K38" s="1475"/>
      <c r="L38" s="1475"/>
      <c r="M38" s="1475"/>
    </row>
    <row r="39" spans="1:13" ht="35.25" customHeight="1">
      <c r="A39" s="1472"/>
      <c r="B39" s="1476"/>
      <c r="C39" s="1476"/>
      <c r="D39" s="779">
        <v>2020</v>
      </c>
      <c r="E39" s="779">
        <v>2021</v>
      </c>
      <c r="F39" s="779">
        <v>2022</v>
      </c>
      <c r="G39" s="779">
        <v>2023</v>
      </c>
      <c r="H39" s="779">
        <v>2024</v>
      </c>
      <c r="I39" s="780">
        <v>2025</v>
      </c>
      <c r="J39" s="781">
        <v>2026</v>
      </c>
      <c r="K39" s="758">
        <v>2027</v>
      </c>
      <c r="L39" s="782">
        <v>2028</v>
      </c>
      <c r="M39" s="779" t="s">
        <v>900</v>
      </c>
    </row>
    <row r="40" spans="1:13" ht="39" customHeight="1">
      <c r="A40" s="761" t="s">
        <v>890</v>
      </c>
      <c r="B40" s="762" t="s">
        <v>891</v>
      </c>
      <c r="C40" s="768">
        <f>C11</f>
        <v>24949</v>
      </c>
      <c r="D40" s="764">
        <v>1432</v>
      </c>
      <c r="E40" s="764">
        <v>1432</v>
      </c>
      <c r="F40" s="764">
        <v>1432</v>
      </c>
      <c r="G40" s="764">
        <v>1432</v>
      </c>
      <c r="H40" s="764">
        <v>1432</v>
      </c>
      <c r="I40" s="764">
        <v>1432</v>
      </c>
      <c r="J40" s="764">
        <v>1432</v>
      </c>
      <c r="K40" s="764">
        <v>1432</v>
      </c>
      <c r="L40" s="767">
        <v>1432</v>
      </c>
      <c r="M40" s="764">
        <v>1432</v>
      </c>
    </row>
    <row r="41" spans="1:13" ht="33" customHeight="1">
      <c r="A41" s="761" t="s">
        <v>890</v>
      </c>
      <c r="B41" s="762" t="s">
        <v>892</v>
      </c>
      <c r="C41" s="768">
        <v>38125</v>
      </c>
      <c r="D41" s="764">
        <v>2500</v>
      </c>
      <c r="E41" s="764">
        <v>2500</v>
      </c>
      <c r="F41" s="764">
        <v>2500</v>
      </c>
      <c r="G41" s="764">
        <v>2500</v>
      </c>
      <c r="H41" s="764">
        <v>2500</v>
      </c>
      <c r="I41" s="765">
        <v>625</v>
      </c>
      <c r="J41" s="764">
        <v>0</v>
      </c>
      <c r="K41" s="764">
        <v>0</v>
      </c>
      <c r="L41" s="767">
        <v>0</v>
      </c>
      <c r="M41" s="768">
        <v>0</v>
      </c>
    </row>
    <row r="42" spans="1:13" ht="23.25" customHeight="1">
      <c r="A42" s="761" t="s">
        <v>890</v>
      </c>
      <c r="B42" s="762" t="s">
        <v>893</v>
      </c>
      <c r="C42" s="768">
        <v>129997</v>
      </c>
      <c r="D42" s="768">
        <v>8696</v>
      </c>
      <c r="E42" s="768">
        <v>8696</v>
      </c>
      <c r="F42" s="768">
        <v>8696</v>
      </c>
      <c r="G42" s="768">
        <v>8696</v>
      </c>
      <c r="H42" s="768">
        <v>8253</v>
      </c>
      <c r="I42" s="783">
        <v>0</v>
      </c>
      <c r="J42" s="768">
        <v>0</v>
      </c>
      <c r="K42" s="768">
        <v>0</v>
      </c>
      <c r="L42" s="769">
        <v>0</v>
      </c>
      <c r="M42" s="768">
        <v>0</v>
      </c>
    </row>
    <row r="43" spans="1:13" ht="30.75" customHeight="1">
      <c r="A43" s="770" t="s">
        <v>894</v>
      </c>
      <c r="B43" s="762" t="s">
        <v>895</v>
      </c>
      <c r="C43" s="768">
        <v>1181</v>
      </c>
      <c r="D43" s="768">
        <v>0</v>
      </c>
      <c r="E43" s="764">
        <v>0</v>
      </c>
      <c r="F43" s="764">
        <v>0</v>
      </c>
      <c r="G43" s="764">
        <v>0</v>
      </c>
      <c r="H43" s="764">
        <v>0</v>
      </c>
      <c r="I43" s="765">
        <v>0</v>
      </c>
      <c r="J43" s="764">
        <v>0</v>
      </c>
      <c r="K43" s="764">
        <v>0</v>
      </c>
      <c r="L43" s="767">
        <v>0</v>
      </c>
      <c r="M43" s="768">
        <v>0</v>
      </c>
    </row>
    <row r="44" spans="1:13" ht="21" customHeight="1">
      <c r="A44" s="761" t="s">
        <v>890</v>
      </c>
      <c r="B44" s="762" t="s">
        <v>896</v>
      </c>
      <c r="C44" s="763">
        <v>47060</v>
      </c>
      <c r="D44" s="768">
        <v>2940</v>
      </c>
      <c r="E44" s="768">
        <v>2940</v>
      </c>
      <c r="F44" s="768">
        <v>2940</v>
      </c>
      <c r="G44" s="768">
        <v>2940</v>
      </c>
      <c r="H44" s="768">
        <v>2940</v>
      </c>
      <c r="I44" s="783">
        <v>2960</v>
      </c>
      <c r="J44" s="768">
        <v>0</v>
      </c>
      <c r="K44" s="768">
        <v>0</v>
      </c>
      <c r="L44" s="769">
        <v>0</v>
      </c>
      <c r="M44" s="768">
        <v>0</v>
      </c>
    </row>
    <row r="45" spans="1:13" ht="21.75" customHeight="1">
      <c r="A45" s="761" t="s">
        <v>897</v>
      </c>
      <c r="B45" s="762" t="s">
        <v>898</v>
      </c>
      <c r="C45" s="768">
        <v>3005480</v>
      </c>
      <c r="D45" s="379">
        <v>97446</v>
      </c>
      <c r="E45" s="168">
        <v>102213</v>
      </c>
      <c r="F45" s="379">
        <v>105390</v>
      </c>
      <c r="G45" s="379">
        <v>108038</v>
      </c>
      <c r="H45" s="168">
        <v>112804</v>
      </c>
      <c r="I45" s="379">
        <v>118630</v>
      </c>
      <c r="J45" s="379">
        <v>126045</v>
      </c>
      <c r="K45" s="379">
        <v>67789</v>
      </c>
      <c r="L45" s="153">
        <v>1570000</v>
      </c>
      <c r="M45" s="768">
        <v>0</v>
      </c>
    </row>
    <row r="46" spans="1:13" ht="23.25" customHeight="1">
      <c r="A46" s="784" t="s">
        <v>403</v>
      </c>
      <c r="B46" s="785" t="s">
        <v>899</v>
      </c>
      <c r="C46" s="786">
        <f>SUM(C40:C45)</f>
        <v>3246792</v>
      </c>
      <c r="D46" s="787">
        <f aca="true" t="shared" si="1" ref="D46:M46">SUM(D40:D45)</f>
        <v>113014</v>
      </c>
      <c r="E46" s="787">
        <f t="shared" si="1"/>
        <v>117781</v>
      </c>
      <c r="F46" s="787">
        <f t="shared" si="1"/>
        <v>120958</v>
      </c>
      <c r="G46" s="787">
        <f t="shared" si="1"/>
        <v>123606</v>
      </c>
      <c r="H46" s="787">
        <f t="shared" si="1"/>
        <v>127929</v>
      </c>
      <c r="I46" s="787">
        <f t="shared" si="1"/>
        <v>123647</v>
      </c>
      <c r="J46" s="787">
        <f t="shared" si="1"/>
        <v>127477</v>
      </c>
      <c r="K46" s="788">
        <f t="shared" si="1"/>
        <v>69221</v>
      </c>
      <c r="L46" s="789">
        <f t="shared" si="1"/>
        <v>1571432</v>
      </c>
      <c r="M46" s="787">
        <f t="shared" si="1"/>
        <v>1432</v>
      </c>
    </row>
    <row r="47" ht="12.75">
      <c r="M47" s="54"/>
    </row>
    <row r="48" ht="12.75">
      <c r="M48" s="54"/>
    </row>
    <row r="49" ht="12.75">
      <c r="M49" s="54"/>
    </row>
    <row r="50" ht="12.75">
      <c r="M50" s="54"/>
    </row>
    <row r="51" ht="12.75">
      <c r="M51" s="54"/>
    </row>
    <row r="52" ht="12.75">
      <c r="M52" s="54"/>
    </row>
    <row r="55" spans="1:13" ht="12.75">
      <c r="A55" s="1391">
        <v>3</v>
      </c>
      <c r="B55" s="1391"/>
      <c r="C55" s="1391"/>
      <c r="D55" s="1391"/>
      <c r="E55" s="1391"/>
      <c r="F55" s="1391"/>
      <c r="G55" s="1391"/>
      <c r="H55" s="1391"/>
      <c r="I55" s="1391"/>
      <c r="J55" s="1391"/>
      <c r="K55" s="1391"/>
      <c r="L55" s="1391"/>
      <c r="M55" s="1391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8" spans="4:10" ht="12.75">
      <c r="D58" s="554"/>
      <c r="J58" s="554" t="s">
        <v>885</v>
      </c>
    </row>
    <row r="60" spans="1:12" ht="18">
      <c r="A60" s="1449" t="s">
        <v>811</v>
      </c>
      <c r="B60" s="1449"/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</row>
    <row r="61" spans="1:12" ht="18">
      <c r="A61" s="1433" t="s">
        <v>886</v>
      </c>
      <c r="B61" s="1433"/>
      <c r="C61" s="1433"/>
      <c r="D61" s="1433"/>
      <c r="E61" s="1433"/>
      <c r="F61" s="1433"/>
      <c r="G61" s="1433"/>
      <c r="H61" s="1433"/>
      <c r="I61" s="1433"/>
      <c r="J61" s="1433"/>
      <c r="K61" s="1433"/>
      <c r="L61" s="1433"/>
    </row>
    <row r="62" spans="1:5" ht="18">
      <c r="A62" s="754"/>
      <c r="B62" s="754"/>
      <c r="C62" s="754"/>
      <c r="D62" s="754"/>
      <c r="E62" s="754"/>
    </row>
    <row r="63" spans="7:13" ht="12.75">
      <c r="G63" s="1402"/>
      <c r="H63" s="1402"/>
      <c r="I63" s="1402"/>
      <c r="J63" s="1402"/>
      <c r="K63" s="547" t="s">
        <v>468</v>
      </c>
      <c r="M63" s="54"/>
    </row>
    <row r="64" spans="1:13" ht="14.25">
      <c r="A64" s="1472" t="s">
        <v>887</v>
      </c>
      <c r="B64" s="1476" t="s">
        <v>853</v>
      </c>
      <c r="C64" s="1474" t="s">
        <v>901</v>
      </c>
      <c r="D64" s="1475" t="s">
        <v>889</v>
      </c>
      <c r="E64" s="1475"/>
      <c r="F64" s="1475"/>
      <c r="G64" s="1475"/>
      <c r="H64" s="1475"/>
      <c r="I64" s="1475"/>
      <c r="J64" s="1475"/>
      <c r="K64" s="1475"/>
      <c r="L64" s="1475"/>
      <c r="M64" s="1475"/>
    </row>
    <row r="65" spans="1:13" ht="39" customHeight="1">
      <c r="A65" s="1472"/>
      <c r="B65" s="1476"/>
      <c r="C65" s="1476"/>
      <c r="D65" s="779" t="s">
        <v>902</v>
      </c>
      <c r="E65" s="779" t="s">
        <v>903</v>
      </c>
      <c r="F65" s="779" t="s">
        <v>904</v>
      </c>
      <c r="G65" s="779" t="s">
        <v>905</v>
      </c>
      <c r="H65" s="779" t="s">
        <v>906</v>
      </c>
      <c r="I65" s="779" t="s">
        <v>907</v>
      </c>
      <c r="J65" s="779" t="s">
        <v>908</v>
      </c>
      <c r="K65" s="779" t="s">
        <v>909</v>
      </c>
      <c r="L65" s="779" t="s">
        <v>910</v>
      </c>
      <c r="M65" s="779" t="s">
        <v>911</v>
      </c>
    </row>
    <row r="66" spans="1:13" ht="38.25" customHeight="1">
      <c r="A66" s="761" t="s">
        <v>890</v>
      </c>
      <c r="B66" s="762" t="s">
        <v>891</v>
      </c>
      <c r="C66" s="768">
        <f>C11</f>
        <v>24949</v>
      </c>
      <c r="D66" s="764">
        <v>963</v>
      </c>
      <c r="E66" s="764"/>
      <c r="F66" s="764">
        <v>0</v>
      </c>
      <c r="G66" s="764">
        <v>0</v>
      </c>
      <c r="H66" s="764">
        <v>0</v>
      </c>
      <c r="I66" s="764">
        <v>0</v>
      </c>
      <c r="J66" s="764">
        <v>0</v>
      </c>
      <c r="K66" s="764">
        <v>0</v>
      </c>
      <c r="L66" s="764">
        <v>0</v>
      </c>
      <c r="M66" s="767">
        <v>0</v>
      </c>
    </row>
    <row r="67" spans="1:13" ht="34.5" customHeight="1">
      <c r="A67" s="761" t="s">
        <v>890</v>
      </c>
      <c r="B67" s="762" t="s">
        <v>892</v>
      </c>
      <c r="C67" s="768">
        <f>C12</f>
        <v>38125</v>
      </c>
      <c r="D67" s="768">
        <v>0</v>
      </c>
      <c r="E67" s="768"/>
      <c r="F67" s="768">
        <v>0</v>
      </c>
      <c r="G67" s="768">
        <v>0</v>
      </c>
      <c r="H67" s="768">
        <v>0</v>
      </c>
      <c r="I67" s="768">
        <v>0</v>
      </c>
      <c r="J67" s="768">
        <v>0</v>
      </c>
      <c r="K67" s="768">
        <v>0</v>
      </c>
      <c r="L67" s="768">
        <v>0</v>
      </c>
      <c r="M67" s="769">
        <v>0</v>
      </c>
    </row>
    <row r="68" spans="1:13" ht="29.25" customHeight="1">
      <c r="A68" s="761" t="s">
        <v>890</v>
      </c>
      <c r="B68" s="762" t="s">
        <v>893</v>
      </c>
      <c r="C68" s="768">
        <f>C13</f>
        <v>129997</v>
      </c>
      <c r="D68" s="768">
        <v>0</v>
      </c>
      <c r="E68" s="768"/>
      <c r="F68" s="768">
        <v>0</v>
      </c>
      <c r="G68" s="768">
        <v>0</v>
      </c>
      <c r="H68" s="768">
        <v>0</v>
      </c>
      <c r="I68" s="768">
        <v>0</v>
      </c>
      <c r="J68" s="768">
        <v>0</v>
      </c>
      <c r="K68" s="768">
        <v>0</v>
      </c>
      <c r="L68" s="768">
        <v>0</v>
      </c>
      <c r="M68" s="769">
        <v>0</v>
      </c>
    </row>
    <row r="69" spans="1:13" ht="29.25" customHeight="1">
      <c r="A69" s="770" t="s">
        <v>894</v>
      </c>
      <c r="B69" s="762" t="s">
        <v>895</v>
      </c>
      <c r="C69" s="768">
        <f>C14</f>
        <v>1181</v>
      </c>
      <c r="D69" s="768">
        <v>0</v>
      </c>
      <c r="E69" s="768"/>
      <c r="F69" s="764">
        <v>0</v>
      </c>
      <c r="G69" s="764">
        <v>0</v>
      </c>
      <c r="H69" s="764">
        <v>0</v>
      </c>
      <c r="I69" s="764">
        <v>0</v>
      </c>
      <c r="J69" s="765">
        <v>0</v>
      </c>
      <c r="K69" s="764">
        <v>0</v>
      </c>
      <c r="L69" s="764">
        <v>0</v>
      </c>
      <c r="M69" s="767">
        <v>0</v>
      </c>
    </row>
    <row r="70" spans="1:13" ht="21.75" customHeight="1">
      <c r="A70" s="761" t="s">
        <v>890</v>
      </c>
      <c r="B70" s="762" t="s">
        <v>896</v>
      </c>
      <c r="C70" s="763">
        <f>C15</f>
        <v>47060</v>
      </c>
      <c r="D70" s="768">
        <v>0</v>
      </c>
      <c r="E70" s="768"/>
      <c r="F70" s="768">
        <v>0</v>
      </c>
      <c r="G70" s="768">
        <v>0</v>
      </c>
      <c r="H70" s="768">
        <v>0</v>
      </c>
      <c r="I70" s="768">
        <v>0</v>
      </c>
      <c r="J70" s="768">
        <v>0</v>
      </c>
      <c r="K70" s="768">
        <v>0</v>
      </c>
      <c r="L70" s="768">
        <v>0</v>
      </c>
      <c r="M70" s="769">
        <v>0</v>
      </c>
    </row>
    <row r="71" spans="1:13" ht="24" customHeight="1">
      <c r="A71" s="761" t="s">
        <v>897</v>
      </c>
      <c r="B71" s="762" t="s">
        <v>898</v>
      </c>
      <c r="C71" s="768">
        <v>3005480</v>
      </c>
      <c r="D71" s="768">
        <v>0</v>
      </c>
      <c r="E71" s="768"/>
      <c r="F71" s="768">
        <v>0</v>
      </c>
      <c r="G71" s="768">
        <v>0</v>
      </c>
      <c r="H71" s="768">
        <v>0</v>
      </c>
      <c r="I71" s="768">
        <v>0</v>
      </c>
      <c r="J71" s="768">
        <v>0</v>
      </c>
      <c r="K71" s="768">
        <v>0</v>
      </c>
      <c r="L71" s="768">
        <v>0</v>
      </c>
      <c r="M71" s="769">
        <v>0</v>
      </c>
    </row>
    <row r="72" spans="1:13" ht="24" customHeight="1">
      <c r="A72" s="784" t="s">
        <v>403</v>
      </c>
      <c r="B72" s="785" t="s">
        <v>899</v>
      </c>
      <c r="C72" s="786">
        <f>SUM(C66:C71)</f>
        <v>3246792</v>
      </c>
      <c r="D72" s="787">
        <f>SUM(D66:D71)</f>
        <v>963</v>
      </c>
      <c r="E72" s="787">
        <f aca="true" t="shared" si="2" ref="E72:M72">SUM(E66:E71)</f>
        <v>0</v>
      </c>
      <c r="F72" s="787">
        <f t="shared" si="2"/>
        <v>0</v>
      </c>
      <c r="G72" s="787">
        <f t="shared" si="2"/>
        <v>0</v>
      </c>
      <c r="H72" s="787">
        <f t="shared" si="2"/>
        <v>0</v>
      </c>
      <c r="I72" s="787">
        <f t="shared" si="2"/>
        <v>0</v>
      </c>
      <c r="J72" s="787">
        <f t="shared" si="2"/>
        <v>0</v>
      </c>
      <c r="K72" s="787">
        <f t="shared" si="2"/>
        <v>0</v>
      </c>
      <c r="L72" s="788">
        <f t="shared" si="2"/>
        <v>0</v>
      </c>
      <c r="M72" s="789">
        <f t="shared" si="2"/>
        <v>0</v>
      </c>
    </row>
  </sheetData>
  <sheetProtection/>
  <mergeCells count="23">
    <mergeCell ref="A55:M55"/>
    <mergeCell ref="A60:L60"/>
    <mergeCell ref="A61:L61"/>
    <mergeCell ref="G63:J63"/>
    <mergeCell ref="A64:A65"/>
    <mergeCell ref="B64:B65"/>
    <mergeCell ref="C64:C65"/>
    <mergeCell ref="D64:M64"/>
    <mergeCell ref="A29:M29"/>
    <mergeCell ref="A34:L34"/>
    <mergeCell ref="A35:L35"/>
    <mergeCell ref="G37:J37"/>
    <mergeCell ref="A38:A39"/>
    <mergeCell ref="B38:B39"/>
    <mergeCell ref="C38:C39"/>
    <mergeCell ref="D38:M38"/>
    <mergeCell ref="A4:L4"/>
    <mergeCell ref="A5:L5"/>
    <mergeCell ref="G8:J8"/>
    <mergeCell ref="A9:A10"/>
    <mergeCell ref="B9:B10"/>
    <mergeCell ref="C9:C10"/>
    <mergeCell ref="D9:M9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4">
      <selection activeCell="C21" sqref="C21"/>
    </sheetView>
  </sheetViews>
  <sheetFormatPr defaultColWidth="9.140625" defaultRowHeight="12.75"/>
  <cols>
    <col min="1" max="1" width="33.00390625" style="0" customWidth="1"/>
    <col min="2" max="2" width="14.28125" style="0" customWidth="1"/>
    <col min="3" max="3" width="15.140625" style="0" customWidth="1"/>
    <col min="4" max="4" width="15.7109375" style="0" customWidth="1"/>
  </cols>
  <sheetData>
    <row r="1" spans="1:4" ht="14.25">
      <c r="A1" s="43"/>
      <c r="B1" s="43"/>
      <c r="C1" s="1383" t="s">
        <v>76</v>
      </c>
      <c r="D1" s="1383"/>
    </row>
    <row r="2" spans="1:4" ht="15.75">
      <c r="A2" s="1382" t="s">
        <v>77</v>
      </c>
      <c r="B2" s="1382"/>
      <c r="C2" s="1382"/>
      <c r="D2" s="1382"/>
    </row>
    <row r="3" spans="1:4" ht="15.75">
      <c r="A3" s="1382" t="s">
        <v>78</v>
      </c>
      <c r="B3" s="1382"/>
      <c r="C3" s="1382"/>
      <c r="D3" s="1382"/>
    </row>
    <row r="4" ht="6.75" customHeight="1"/>
    <row r="5" ht="12.75">
      <c r="D5" s="48" t="s">
        <v>79</v>
      </c>
    </row>
    <row r="6" spans="1:4" ht="29.25" customHeight="1">
      <c r="A6" s="103" t="s">
        <v>80</v>
      </c>
      <c r="B6" s="104" t="s">
        <v>81</v>
      </c>
      <c r="C6" s="104" t="s">
        <v>82</v>
      </c>
      <c r="D6" s="105" t="s">
        <v>83</v>
      </c>
    </row>
    <row r="7" spans="1:4" ht="12.75">
      <c r="A7" s="86" t="s">
        <v>42</v>
      </c>
      <c r="B7" s="87"/>
      <c r="C7" s="71"/>
      <c r="D7" s="71"/>
    </row>
    <row r="8" spans="1:4" ht="12.75">
      <c r="A8" s="88" t="s">
        <v>43</v>
      </c>
      <c r="B8" s="56">
        <f>140833+11088+882+205+5792+454</f>
        <v>159254</v>
      </c>
      <c r="C8" s="56">
        <f>195413+9810+6000+7745+30</f>
        <v>218998</v>
      </c>
      <c r="D8" s="56">
        <f>SUM(B8:C8)</f>
        <v>378252</v>
      </c>
    </row>
    <row r="9" spans="1:4" ht="12.75">
      <c r="A9" s="106" t="s">
        <v>44</v>
      </c>
      <c r="B9" s="56">
        <f>36859+2338+238+66+1685+122</f>
        <v>41308</v>
      </c>
      <c r="C9" s="67">
        <f>51405+2658+1500+2094</f>
        <v>57657</v>
      </c>
      <c r="D9" s="56">
        <f aca="true" t="shared" si="0" ref="D9:D15">SUM(B9:C9)</f>
        <v>98965</v>
      </c>
    </row>
    <row r="10" spans="1:4" ht="12.75">
      <c r="A10" s="106" t="s">
        <v>45</v>
      </c>
      <c r="B10" s="56">
        <f>128055+11316+229+50-2750-549+11150+1920</f>
        <v>149421</v>
      </c>
      <c r="C10" s="67">
        <f>20552+10559+10367+4451+8270+2016</f>
        <v>56215</v>
      </c>
      <c r="D10" s="56">
        <f t="shared" si="0"/>
        <v>205636</v>
      </c>
    </row>
    <row r="11" spans="1:4" ht="12.75">
      <c r="A11" s="106" t="s">
        <v>84</v>
      </c>
      <c r="B11" s="67"/>
      <c r="C11" s="67"/>
      <c r="D11" s="56">
        <f t="shared" si="0"/>
        <v>0</v>
      </c>
    </row>
    <row r="12" spans="1:4" ht="12.75">
      <c r="A12" s="106" t="s">
        <v>47</v>
      </c>
      <c r="B12" s="56">
        <v>0</v>
      </c>
      <c r="C12" s="67"/>
      <c r="D12" s="56">
        <f t="shared" si="0"/>
        <v>0</v>
      </c>
    </row>
    <row r="13" spans="1:4" ht="12.75">
      <c r="A13" s="107" t="s">
        <v>85</v>
      </c>
      <c r="B13" s="56">
        <v>0</v>
      </c>
      <c r="C13" s="67">
        <v>0</v>
      </c>
      <c r="D13" s="56">
        <f t="shared" si="0"/>
        <v>0</v>
      </c>
    </row>
    <row r="14" spans="1:4" ht="12.75">
      <c r="A14" s="107" t="s">
        <v>86</v>
      </c>
      <c r="B14" s="56"/>
      <c r="C14" s="67"/>
      <c r="D14" s="56">
        <f t="shared" si="0"/>
        <v>0</v>
      </c>
    </row>
    <row r="15" spans="1:4" ht="12.75">
      <c r="A15" s="108" t="s">
        <v>87</v>
      </c>
      <c r="B15" s="56">
        <v>0</v>
      </c>
      <c r="C15" s="56">
        <v>0</v>
      </c>
      <c r="D15" s="56">
        <f t="shared" si="0"/>
        <v>0</v>
      </c>
    </row>
    <row r="16" spans="1:4" s="110" customFormat="1" ht="12.75">
      <c r="A16" s="109" t="s">
        <v>88</v>
      </c>
      <c r="B16" s="62">
        <f>SUM(B8:B13)</f>
        <v>349983</v>
      </c>
      <c r="C16" s="62">
        <f>SUM(C8:C13)</f>
        <v>332870</v>
      </c>
      <c r="D16" s="62">
        <f>SUM(D8:D13)</f>
        <v>682853</v>
      </c>
    </row>
    <row r="17" spans="1:4" ht="12.75">
      <c r="A17" s="84"/>
      <c r="B17" s="71"/>
      <c r="C17" s="111"/>
      <c r="D17" s="82"/>
    </row>
    <row r="18" spans="1:4" ht="12.75">
      <c r="A18" s="112" t="s">
        <v>51</v>
      </c>
      <c r="B18" s="67"/>
      <c r="C18" s="113"/>
      <c r="D18" s="67"/>
    </row>
    <row r="19" spans="1:4" ht="12.75">
      <c r="A19" s="106" t="s">
        <v>52</v>
      </c>
      <c r="B19" s="56">
        <f>'4_sz_ melléklet'!B11</f>
        <v>4024</v>
      </c>
      <c r="C19" s="113">
        <f>'4_sz_ melléklet'!B20</f>
        <v>7744</v>
      </c>
      <c r="D19" s="67">
        <f>SUM(B19:C19)</f>
        <v>11768</v>
      </c>
    </row>
    <row r="20" spans="1:4" ht="12.75">
      <c r="A20" s="106" t="s">
        <v>89</v>
      </c>
      <c r="B20" s="56">
        <f>'3_sz_ melléklet'!B12+'3_sz_ melléklet'!B13+'3_sz_ melléklet'!B14</f>
        <v>3861</v>
      </c>
      <c r="C20" s="113">
        <f>'3_sz_ melléklet'!B17</f>
        <v>4155</v>
      </c>
      <c r="D20" s="67">
        <f>SUM(B20:C20)</f>
        <v>8016</v>
      </c>
    </row>
    <row r="21" spans="1:4" ht="12.75">
      <c r="A21" s="106" t="s">
        <v>54</v>
      </c>
      <c r="B21" s="56">
        <v>0</v>
      </c>
      <c r="C21" s="113">
        <v>0</v>
      </c>
      <c r="D21" s="67">
        <f>SUM(B21:C21)</f>
        <v>0</v>
      </c>
    </row>
    <row r="22" spans="1:4" ht="12.75">
      <c r="A22" s="114" t="s">
        <v>55</v>
      </c>
      <c r="B22" s="67">
        <f>-B11</f>
        <v>0</v>
      </c>
      <c r="C22" s="67">
        <f>-C11</f>
        <v>0</v>
      </c>
      <c r="D22" s="67">
        <f>SUM(B22:C22)</f>
        <v>0</v>
      </c>
    </row>
    <row r="23" spans="1:4" ht="12.75">
      <c r="A23" s="1152" t="s">
        <v>1239</v>
      </c>
      <c r="B23" s="82"/>
      <c r="C23" s="82"/>
      <c r="D23" s="82"/>
    </row>
    <row r="24" spans="1:4" s="110" customFormat="1" ht="12.75">
      <c r="A24" s="109" t="s">
        <v>90</v>
      </c>
      <c r="B24" s="62">
        <f>SUM(B19:B23)</f>
        <v>7885</v>
      </c>
      <c r="C24" s="62">
        <f>SUM(C19:C23)</f>
        <v>11899</v>
      </c>
      <c r="D24" s="62">
        <f>SUM(D19:D23)</f>
        <v>19784</v>
      </c>
    </row>
    <row r="25" spans="1:4" ht="12.75">
      <c r="A25" s="115"/>
      <c r="B25" s="71"/>
      <c r="C25" s="90"/>
      <c r="D25" s="71"/>
    </row>
    <row r="26" spans="1:4" ht="12.75">
      <c r="A26" s="115" t="s">
        <v>91</v>
      </c>
      <c r="B26" s="82"/>
      <c r="C26" s="90"/>
      <c r="D26" s="82"/>
    </row>
    <row r="27" spans="1:4" ht="12.75">
      <c r="A27" s="116" t="s">
        <v>58</v>
      </c>
      <c r="B27" s="56"/>
      <c r="C27" s="57">
        <v>0</v>
      </c>
      <c r="D27" s="56">
        <f>SUM(B27:C27)</f>
        <v>0</v>
      </c>
    </row>
    <row r="28" spans="1:4" ht="12.75">
      <c r="A28" s="117" t="s">
        <v>59</v>
      </c>
      <c r="B28" s="96">
        <v>0</v>
      </c>
      <c r="C28" s="90">
        <v>0</v>
      </c>
      <c r="D28" s="56">
        <f>SUM(B28:C28)</f>
        <v>0</v>
      </c>
    </row>
    <row r="29" spans="1:4" s="110" customFormat="1" ht="12.75">
      <c r="A29" s="109" t="s">
        <v>92</v>
      </c>
      <c r="B29" s="62">
        <f>SUM(B27:B28)</f>
        <v>0</v>
      </c>
      <c r="C29" s="80">
        <f>SUM(C27:C28)</f>
        <v>0</v>
      </c>
      <c r="D29" s="80">
        <f>SUM(D27:D28)</f>
        <v>0</v>
      </c>
    </row>
    <row r="30" spans="1:4" ht="12.75">
      <c r="A30" s="115"/>
      <c r="B30" s="82"/>
      <c r="C30" s="82"/>
      <c r="D30" s="82"/>
    </row>
    <row r="31" spans="1:4" ht="12.75">
      <c r="A31" s="118" t="s">
        <v>93</v>
      </c>
      <c r="B31" s="82"/>
      <c r="C31" s="82"/>
      <c r="D31" s="82"/>
    </row>
    <row r="32" spans="1:4" ht="12.75">
      <c r="A32" s="116" t="s">
        <v>58</v>
      </c>
      <c r="B32" s="56">
        <v>0</v>
      </c>
      <c r="C32" s="56">
        <v>0</v>
      </c>
      <c r="D32" s="56">
        <f>SUM(B32:C32)</f>
        <v>0</v>
      </c>
    </row>
    <row r="33" spans="1:4" ht="12.75">
      <c r="A33" s="119" t="s">
        <v>59</v>
      </c>
      <c r="B33" s="77">
        <v>0</v>
      </c>
      <c r="C33" s="77">
        <v>0</v>
      </c>
      <c r="D33" s="56">
        <f>SUM(B33:C33)</f>
        <v>0</v>
      </c>
    </row>
    <row r="34" spans="1:4" ht="12.75">
      <c r="A34" s="109" t="s">
        <v>94</v>
      </c>
      <c r="B34" s="62">
        <f>B32+B33</f>
        <v>0</v>
      </c>
      <c r="C34" s="80">
        <f>C32+C33</f>
        <v>0</v>
      </c>
      <c r="D34" s="80">
        <f>D32+D33</f>
        <v>0</v>
      </c>
    </row>
    <row r="35" spans="1:4" ht="12.75">
      <c r="A35" s="115"/>
      <c r="B35" s="82"/>
      <c r="C35" s="82"/>
      <c r="D35" s="82"/>
    </row>
    <row r="36" spans="1:4" ht="12.75">
      <c r="A36" s="120" t="s">
        <v>63</v>
      </c>
      <c r="B36" s="96"/>
      <c r="C36" s="96"/>
      <c r="D36" s="96"/>
    </row>
    <row r="37" spans="1:4" ht="12.75">
      <c r="A37" s="88" t="s">
        <v>95</v>
      </c>
      <c r="B37" s="67">
        <v>0</v>
      </c>
      <c r="C37" s="67">
        <v>0</v>
      </c>
      <c r="D37" s="67">
        <f>SUM(B37:C37)</f>
        <v>0</v>
      </c>
    </row>
    <row r="38" spans="1:4" ht="12.75">
      <c r="A38" s="121" t="s">
        <v>96</v>
      </c>
      <c r="B38" s="96">
        <v>0</v>
      </c>
      <c r="C38" s="96">
        <v>0</v>
      </c>
      <c r="D38" s="56">
        <f>SUM(B38:C38)</f>
        <v>0</v>
      </c>
    </row>
    <row r="39" spans="1:4" ht="12.75">
      <c r="A39" s="84" t="s">
        <v>97</v>
      </c>
      <c r="B39" s="62">
        <f>B37+B38</f>
        <v>0</v>
      </c>
      <c r="C39" s="80">
        <f>C37+C38</f>
        <v>0</v>
      </c>
      <c r="D39" s="80">
        <f>D37+D38</f>
        <v>0</v>
      </c>
    </row>
    <row r="40" spans="1:4" ht="12.75">
      <c r="A40" s="84"/>
      <c r="B40" s="71"/>
      <c r="C40" s="71"/>
      <c r="D40" s="71"/>
    </row>
    <row r="41" spans="1:4" ht="12.75">
      <c r="A41" s="122" t="s">
        <v>67</v>
      </c>
      <c r="B41" s="56"/>
      <c r="C41" s="56"/>
      <c r="D41" s="56"/>
    </row>
    <row r="42" spans="1:4" ht="12.75">
      <c r="A42" s="88" t="s">
        <v>68</v>
      </c>
      <c r="B42" s="67">
        <v>0</v>
      </c>
      <c r="C42" s="56">
        <v>0</v>
      </c>
      <c r="D42" s="56">
        <f>SUM(B42:C42)</f>
        <v>0</v>
      </c>
    </row>
    <row r="43" spans="1:4" ht="12.75">
      <c r="A43" s="89" t="s">
        <v>69</v>
      </c>
      <c r="B43" s="67">
        <v>0</v>
      </c>
      <c r="C43" s="82">
        <v>0</v>
      </c>
      <c r="D43" s="56">
        <f>SUM(B43:C43)</f>
        <v>0</v>
      </c>
    </row>
    <row r="44" spans="1:4" ht="12.75">
      <c r="A44" s="109" t="s">
        <v>70</v>
      </c>
      <c r="B44" s="79">
        <f>B42+B43</f>
        <v>0</v>
      </c>
      <c r="C44" s="79">
        <f>C42+C43</f>
        <v>0</v>
      </c>
      <c r="D44" s="62">
        <f>D42+D43</f>
        <v>0</v>
      </c>
    </row>
    <row r="45" spans="1:4" ht="11.25" customHeight="1">
      <c r="A45" s="109"/>
      <c r="B45" s="123"/>
      <c r="C45" s="71"/>
      <c r="D45" s="71"/>
    </row>
    <row r="46" spans="1:4" s="110" customFormat="1" ht="12.75">
      <c r="A46" s="124" t="s">
        <v>98</v>
      </c>
      <c r="B46" s="125">
        <f>B44+B39+B34+B29+B24+B16</f>
        <v>357868</v>
      </c>
      <c r="C46" s="62">
        <f>SUM(C44+C39+C34+C29+C24+C16)</f>
        <v>344769</v>
      </c>
      <c r="D46" s="62">
        <f>SUM(D44+D39+D34+D29+D24+D16)</f>
        <v>702637</v>
      </c>
    </row>
    <row r="47" spans="1:4" ht="12.75" customHeight="1">
      <c r="A47" s="126"/>
      <c r="B47" s="127"/>
      <c r="C47" s="85"/>
      <c r="D47" s="85"/>
    </row>
    <row r="48" spans="1:4" ht="12.75">
      <c r="A48" s="86" t="s">
        <v>99</v>
      </c>
      <c r="B48" s="128"/>
      <c r="C48" s="87"/>
      <c r="D48" s="129"/>
    </row>
    <row r="49" spans="1:4" s="99" customFormat="1" ht="12.75">
      <c r="A49" s="88" t="s">
        <v>73</v>
      </c>
      <c r="B49" s="130">
        <v>0</v>
      </c>
      <c r="C49" s="131">
        <v>0</v>
      </c>
      <c r="D49" s="132">
        <v>0</v>
      </c>
    </row>
    <row r="50" spans="1:4" s="99" customFormat="1" ht="12.75">
      <c r="A50" s="133" t="s">
        <v>100</v>
      </c>
      <c r="B50" s="134">
        <v>0</v>
      </c>
      <c r="C50" s="135">
        <v>0</v>
      </c>
      <c r="D50" s="136">
        <v>0</v>
      </c>
    </row>
    <row r="51" spans="1:4" ht="12.75">
      <c r="A51" s="109" t="s">
        <v>74</v>
      </c>
      <c r="B51" s="79">
        <f>B49+B50</f>
        <v>0</v>
      </c>
      <c r="C51" s="62">
        <f>C49+C50</f>
        <v>0</v>
      </c>
      <c r="D51" s="62">
        <f>D49+D50</f>
        <v>0</v>
      </c>
    </row>
    <row r="52" spans="1:4" ht="12.75">
      <c r="A52" s="115"/>
      <c r="B52" s="70"/>
      <c r="C52" s="82"/>
      <c r="D52" s="82"/>
    </row>
    <row r="53" spans="1:4" ht="12.75">
      <c r="A53" s="137" t="s">
        <v>101</v>
      </c>
      <c r="B53" s="62">
        <f>SUM(B51+B46)</f>
        <v>357868</v>
      </c>
      <c r="C53" s="62">
        <f>SUM(C51+C46)</f>
        <v>344769</v>
      </c>
      <c r="D53" s="80">
        <f>SUM(D51+D46)</f>
        <v>702637</v>
      </c>
    </row>
    <row r="58" ht="6" customHeight="1"/>
    <row r="60" ht="15.75" customHeight="1"/>
    <row r="61" ht="24.75" customHeight="1"/>
    <row r="71" s="110" customFormat="1" ht="12.75"/>
    <row r="78" s="110" customFormat="1" ht="12.75"/>
    <row r="83" s="110" customFormat="1" ht="12.75"/>
    <row r="88" s="110" customFormat="1" ht="12.75"/>
    <row r="93" s="110" customFormat="1" ht="12.75"/>
    <row r="98" s="110" customFormat="1" ht="12.75"/>
    <row r="99" ht="12" customHeight="1"/>
    <row r="100" s="110" customFormat="1" ht="12.75"/>
    <row r="101" ht="11.25" customHeight="1"/>
    <row r="105" s="110" customFormat="1" ht="12.75"/>
    <row r="106" ht="9.75" customHeight="1"/>
    <row r="107" s="110" customFormat="1" ht="15" customHeight="1"/>
  </sheetData>
  <sheetProtection/>
  <mergeCells count="3">
    <mergeCell ref="C1:D1"/>
    <mergeCell ref="A2:D2"/>
    <mergeCell ref="A3:D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A26" sqref="A26:IV27"/>
    </sheetView>
  </sheetViews>
  <sheetFormatPr defaultColWidth="9.140625" defaultRowHeight="12.75"/>
  <cols>
    <col min="1" max="1" width="45.57421875" style="0" customWidth="1"/>
    <col min="2" max="2" width="17.140625" style="0" customWidth="1"/>
    <col min="3" max="3" width="18.140625" style="0" customWidth="1"/>
  </cols>
  <sheetData>
    <row r="1" ht="15">
      <c r="C1" s="670" t="s">
        <v>912</v>
      </c>
    </row>
    <row r="2" ht="14.25">
      <c r="C2" s="367"/>
    </row>
    <row r="3" spans="1:3" ht="15.75">
      <c r="A3" s="1437" t="s">
        <v>811</v>
      </c>
      <c r="B3" s="1437"/>
      <c r="C3" s="1437"/>
    </row>
    <row r="4" spans="1:3" ht="15.75">
      <c r="A4" s="1382" t="s">
        <v>913</v>
      </c>
      <c r="B4" s="1382"/>
      <c r="C4" s="1382"/>
    </row>
    <row r="5" spans="1:3" ht="15.75">
      <c r="A5" s="1382" t="s">
        <v>2</v>
      </c>
      <c r="B5" s="1382"/>
      <c r="C5" s="1382"/>
    </row>
    <row r="6" spans="1:3" ht="15.75">
      <c r="A6" s="1378"/>
      <c r="B6" s="1378"/>
      <c r="C6" s="1378"/>
    </row>
    <row r="7" ht="13.5" thickBot="1">
      <c r="C7" s="790" t="s">
        <v>79</v>
      </c>
    </row>
    <row r="8" spans="1:3" ht="16.5" thickBot="1">
      <c r="A8" s="1495" t="s">
        <v>822</v>
      </c>
      <c r="B8" s="1496" t="s">
        <v>914</v>
      </c>
      <c r="C8" s="1511"/>
    </row>
    <row r="9" spans="1:3" ht="16.5" thickBot="1">
      <c r="A9" s="1497"/>
      <c r="B9" s="1508" t="s">
        <v>1364</v>
      </c>
      <c r="C9" s="1510" t="s">
        <v>915</v>
      </c>
    </row>
    <row r="10" spans="1:3" ht="15.75">
      <c r="A10" s="1498" t="s">
        <v>1319</v>
      </c>
      <c r="B10" s="1514"/>
      <c r="C10" s="1506"/>
    </row>
    <row r="11" spans="1:3" ht="15.75">
      <c r="A11" s="1498" t="s">
        <v>1311</v>
      </c>
      <c r="B11" s="1515">
        <v>94</v>
      </c>
      <c r="C11" s="1506"/>
    </row>
    <row r="12" spans="1:3" ht="15.75">
      <c r="A12" s="1498" t="s">
        <v>1312</v>
      </c>
      <c r="B12" s="1515">
        <v>20</v>
      </c>
      <c r="C12" s="1506"/>
    </row>
    <row r="13" spans="1:3" ht="15.75">
      <c r="A13" s="1498" t="s">
        <v>1313</v>
      </c>
      <c r="B13" s="1515">
        <v>123</v>
      </c>
      <c r="C13" s="1506"/>
    </row>
    <row r="14" spans="1:3" ht="15.75">
      <c r="A14" s="1499" t="s">
        <v>825</v>
      </c>
      <c r="B14" s="1515"/>
      <c r="C14" s="1506"/>
    </row>
    <row r="15" spans="1:3" ht="15">
      <c r="A15" s="1500" t="s">
        <v>826</v>
      </c>
      <c r="B15" s="1515">
        <v>1000</v>
      </c>
      <c r="C15" s="1506"/>
    </row>
    <row r="16" spans="1:3" ht="15.75">
      <c r="A16" s="1501" t="s">
        <v>827</v>
      </c>
      <c r="B16" s="1515"/>
      <c r="C16" s="1506"/>
    </row>
    <row r="17" spans="1:3" ht="31.5">
      <c r="A17" s="1502" t="s">
        <v>828</v>
      </c>
      <c r="B17" s="1515">
        <v>5000</v>
      </c>
      <c r="C17" s="1506"/>
    </row>
    <row r="18" spans="1:3" ht="15.75">
      <c r="A18" s="1503" t="s">
        <v>829</v>
      </c>
      <c r="B18" s="1515">
        <v>5601</v>
      </c>
      <c r="C18" s="1506"/>
    </row>
    <row r="19" spans="1:3" ht="25.5">
      <c r="A19" s="1504" t="s">
        <v>830</v>
      </c>
      <c r="B19" s="1515">
        <v>3197</v>
      </c>
      <c r="C19" s="1506"/>
    </row>
    <row r="20" spans="1:3" ht="25.5">
      <c r="A20" s="1504" t="s">
        <v>831</v>
      </c>
      <c r="B20" s="1515">
        <v>161</v>
      </c>
      <c r="C20" s="1506"/>
    </row>
    <row r="21" spans="1:3" ht="25.5">
      <c r="A21" s="1504" t="s">
        <v>832</v>
      </c>
      <c r="B21" s="1515"/>
      <c r="C21" s="1506"/>
    </row>
    <row r="22" spans="1:3" ht="26.25" thickBot="1">
      <c r="A22" s="1505" t="s">
        <v>833</v>
      </c>
      <c r="B22" s="1516"/>
      <c r="C22" s="1507"/>
    </row>
    <row r="23" spans="1:3" ht="16.5" thickBot="1">
      <c r="A23" s="1512" t="s">
        <v>834</v>
      </c>
      <c r="B23" s="1520">
        <f>SUM(B11:B22)</f>
        <v>15196</v>
      </c>
      <c r="C23" s="1513"/>
    </row>
    <row r="24" spans="1:3" ht="15.75">
      <c r="A24" s="552"/>
      <c r="B24" s="466"/>
      <c r="C24" s="466"/>
    </row>
    <row r="25" spans="1:3" ht="15.75">
      <c r="A25" s="552"/>
      <c r="B25" s="466"/>
      <c r="C25" s="466"/>
    </row>
    <row r="26" spans="1:3" ht="15.75">
      <c r="A26" s="552"/>
      <c r="B26" s="466"/>
      <c r="C26" s="466"/>
    </row>
    <row r="27" ht="15">
      <c r="C27" s="670" t="s">
        <v>916</v>
      </c>
    </row>
    <row r="29" spans="1:3" ht="15.75">
      <c r="A29" s="1437" t="s">
        <v>811</v>
      </c>
      <c r="B29" s="1437"/>
      <c r="C29" s="1437"/>
    </row>
    <row r="30" spans="1:3" ht="15.75">
      <c r="A30" s="1382" t="s">
        <v>917</v>
      </c>
      <c r="B30" s="1382"/>
      <c r="C30" s="1382"/>
    </row>
    <row r="31" spans="1:3" ht="15.75">
      <c r="A31" s="1382" t="s">
        <v>2</v>
      </c>
      <c r="B31" s="1382"/>
      <c r="C31" s="1382"/>
    </row>
    <row r="33" ht="13.5" thickBot="1">
      <c r="C33" s="790" t="s">
        <v>918</v>
      </c>
    </row>
    <row r="34" spans="1:3" ht="16.5" thickBot="1">
      <c r="A34" s="1477" t="s">
        <v>5</v>
      </c>
      <c r="B34" s="103" t="s">
        <v>914</v>
      </c>
      <c r="C34" s="1509"/>
    </row>
    <row r="35" spans="1:3" ht="16.5" thickBot="1">
      <c r="A35" s="1477"/>
      <c r="B35" s="1508" t="s">
        <v>1364</v>
      </c>
      <c r="C35" s="1510" t="s">
        <v>919</v>
      </c>
    </row>
    <row r="36" spans="1:3" ht="15">
      <c r="A36" s="791" t="s">
        <v>920</v>
      </c>
      <c r="B36" s="1517">
        <v>3369706</v>
      </c>
      <c r="C36" s="673"/>
    </row>
    <row r="37" spans="1:3" ht="15">
      <c r="A37" s="673" t="s">
        <v>921</v>
      </c>
      <c r="B37" s="1518">
        <f>'1_sz_ melléklet'!B32</f>
        <v>8662174</v>
      </c>
      <c r="C37" s="673"/>
    </row>
    <row r="38" spans="1:3" ht="15">
      <c r="A38" s="673" t="s">
        <v>922</v>
      </c>
      <c r="B38" s="1518">
        <f>'1_sz_ melléklet'!D32</f>
        <v>8662174</v>
      </c>
      <c r="C38" s="673"/>
    </row>
    <row r="39" spans="1:3" ht="15">
      <c r="A39" s="792" t="s">
        <v>923</v>
      </c>
      <c r="B39" s="1519">
        <f>B36+B37-B38</f>
        <v>3369706</v>
      </c>
      <c r="C39" s="792"/>
    </row>
  </sheetData>
  <sheetProtection/>
  <mergeCells count="8">
    <mergeCell ref="A31:C31"/>
    <mergeCell ref="A34:A35"/>
    <mergeCell ref="A3:C3"/>
    <mergeCell ref="A4:C4"/>
    <mergeCell ref="A5:C5"/>
    <mergeCell ref="A8:A9"/>
    <mergeCell ref="A29:C29"/>
    <mergeCell ref="A30:C3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1" sqref="A21:M21"/>
    </sheetView>
  </sheetViews>
  <sheetFormatPr defaultColWidth="9.140625" defaultRowHeight="12.75"/>
  <cols>
    <col min="1" max="1" width="22.8515625" style="0" customWidth="1"/>
    <col min="2" max="2" width="8.28125" style="0" customWidth="1"/>
    <col min="3" max="3" width="8.57421875" style="0" customWidth="1"/>
    <col min="4" max="4" width="9.28125" style="0" customWidth="1"/>
    <col min="5" max="5" width="8.57421875" style="0" customWidth="1"/>
    <col min="6" max="6" width="8.140625" style="0" customWidth="1"/>
    <col min="7" max="7" width="8.7109375" style="0" customWidth="1"/>
    <col min="8" max="8" width="9.57421875" style="0" customWidth="1"/>
    <col min="10" max="10" width="8.28125" style="0" customWidth="1"/>
    <col min="14" max="14" width="8.140625" style="0" customWidth="1"/>
    <col min="15" max="19" width="7.00390625" style="0" customWidth="1"/>
    <col min="20" max="20" width="13.00390625" style="0" customWidth="1"/>
  </cols>
  <sheetData>
    <row r="1" spans="1:24" ht="12.75">
      <c r="A1" s="1478" t="s">
        <v>924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  <c r="X1" s="793"/>
    </row>
    <row r="2" spans="1:13" ht="15.75">
      <c r="A2" s="1434" t="s">
        <v>925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1434"/>
    </row>
    <row r="4" spans="1:13" ht="15.75">
      <c r="A4" s="1"/>
      <c r="B4" s="1479" t="s">
        <v>468</v>
      </c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</row>
    <row r="5" spans="1:13" ht="15.75">
      <c r="A5" s="794" t="s">
        <v>5</v>
      </c>
      <c r="B5" s="795" t="s">
        <v>926</v>
      </c>
      <c r="C5" s="795" t="s">
        <v>927</v>
      </c>
      <c r="D5" s="795" t="s">
        <v>928</v>
      </c>
      <c r="E5" s="795" t="s">
        <v>929</v>
      </c>
      <c r="F5" s="795" t="s">
        <v>930</v>
      </c>
      <c r="G5" s="795" t="s">
        <v>931</v>
      </c>
      <c r="H5" s="795" t="s">
        <v>932</v>
      </c>
      <c r="I5" s="795" t="s">
        <v>933</v>
      </c>
      <c r="J5" s="795" t="s">
        <v>934</v>
      </c>
      <c r="K5" s="795" t="s">
        <v>935</v>
      </c>
      <c r="L5" s="795" t="s">
        <v>936</v>
      </c>
      <c r="M5" s="796" t="s">
        <v>937</v>
      </c>
    </row>
    <row r="6" spans="1:13" ht="26.25" customHeight="1">
      <c r="A6" s="797" t="s">
        <v>938</v>
      </c>
      <c r="B6" s="798">
        <v>2000</v>
      </c>
      <c r="C6" s="798">
        <v>2000</v>
      </c>
      <c r="D6" s="798">
        <v>2000</v>
      </c>
      <c r="E6" s="798">
        <v>2000</v>
      </c>
      <c r="F6" s="798">
        <v>2000</v>
      </c>
      <c r="G6" s="798">
        <v>490000</v>
      </c>
      <c r="H6" s="798"/>
      <c r="I6" s="798"/>
      <c r="J6" s="798"/>
      <c r="K6" s="798"/>
      <c r="L6" s="798"/>
      <c r="M6" s="799"/>
    </row>
    <row r="7" spans="1:13" ht="27.75" customHeight="1">
      <c r="A7" s="797" t="s">
        <v>939</v>
      </c>
      <c r="B7" s="798"/>
      <c r="C7" s="798">
        <v>8625</v>
      </c>
      <c r="D7" s="798">
        <v>11500</v>
      </c>
      <c r="E7" s="798">
        <v>11500</v>
      </c>
      <c r="F7" s="798">
        <v>11500</v>
      </c>
      <c r="G7" s="798">
        <v>11500</v>
      </c>
      <c r="H7" s="798">
        <v>11500</v>
      </c>
      <c r="I7" s="798">
        <v>11500</v>
      </c>
      <c r="J7" s="798">
        <v>11500</v>
      </c>
      <c r="K7" s="798">
        <v>11500</v>
      </c>
      <c r="L7" s="798">
        <v>11500</v>
      </c>
      <c r="M7" s="800">
        <v>11500</v>
      </c>
    </row>
    <row r="8" spans="1:13" ht="37.5" customHeight="1">
      <c r="A8" s="801" t="s">
        <v>940</v>
      </c>
      <c r="B8" s="802">
        <v>1438</v>
      </c>
      <c r="C8" s="802">
        <v>1438</v>
      </c>
      <c r="D8" s="802">
        <v>1438</v>
      </c>
      <c r="E8" s="802">
        <v>1437</v>
      </c>
      <c r="F8" s="802">
        <v>1437</v>
      </c>
      <c r="G8" s="802">
        <v>1437</v>
      </c>
      <c r="H8" s="802">
        <v>1437</v>
      </c>
      <c r="I8" s="802"/>
      <c r="J8" s="802"/>
      <c r="K8" s="802"/>
      <c r="L8" s="802"/>
      <c r="M8" s="803"/>
    </row>
    <row r="9" spans="1:13" ht="24.75" customHeight="1">
      <c r="A9" s="801" t="s">
        <v>941</v>
      </c>
      <c r="B9" s="802">
        <v>31656</v>
      </c>
      <c r="C9" s="802">
        <v>31656</v>
      </c>
      <c r="D9" s="802">
        <v>31656</v>
      </c>
      <c r="E9" s="802">
        <v>2638</v>
      </c>
      <c r="F9" s="802"/>
      <c r="G9" s="802"/>
      <c r="H9" s="802"/>
      <c r="I9" s="802"/>
      <c r="J9" s="802"/>
      <c r="K9" s="802"/>
      <c r="L9" s="802"/>
      <c r="M9" s="803"/>
    </row>
    <row r="10" spans="1:13" ht="30.75" customHeight="1">
      <c r="A10" s="801" t="s">
        <v>942</v>
      </c>
      <c r="B10" s="802">
        <v>9338</v>
      </c>
      <c r="C10" s="802">
        <v>9338</v>
      </c>
      <c r="D10" s="802">
        <v>9338</v>
      </c>
      <c r="E10" s="802">
        <v>9338</v>
      </c>
      <c r="F10" s="802">
        <v>9338</v>
      </c>
      <c r="G10" s="802">
        <v>9338</v>
      </c>
      <c r="H10" s="802">
        <v>9338</v>
      </c>
      <c r="I10" s="802">
        <v>9338</v>
      </c>
      <c r="J10" s="802"/>
      <c r="K10" s="802"/>
      <c r="L10" s="802"/>
      <c r="M10" s="804"/>
    </row>
    <row r="11" spans="1:13" ht="15.75">
      <c r="A11" s="805" t="s">
        <v>943</v>
      </c>
      <c r="B11" s="806">
        <f aca="true" t="shared" si="0" ref="B11:M11">SUM(B6:B10)</f>
        <v>44432</v>
      </c>
      <c r="C11" s="806">
        <f t="shared" si="0"/>
        <v>53057</v>
      </c>
      <c r="D11" s="806">
        <f t="shared" si="0"/>
        <v>55932</v>
      </c>
      <c r="E11" s="806">
        <f t="shared" si="0"/>
        <v>26913</v>
      </c>
      <c r="F11" s="806">
        <f t="shared" si="0"/>
        <v>24275</v>
      </c>
      <c r="G11" s="806">
        <f t="shared" si="0"/>
        <v>512275</v>
      </c>
      <c r="H11" s="806">
        <f t="shared" si="0"/>
        <v>22275</v>
      </c>
      <c r="I11" s="806">
        <f t="shared" si="0"/>
        <v>20838</v>
      </c>
      <c r="J11" s="806">
        <f t="shared" si="0"/>
        <v>11500</v>
      </c>
      <c r="K11" s="806">
        <f t="shared" si="0"/>
        <v>11500</v>
      </c>
      <c r="L11" s="806">
        <f t="shared" si="0"/>
        <v>11500</v>
      </c>
      <c r="M11" s="806">
        <f t="shared" si="0"/>
        <v>11500</v>
      </c>
    </row>
    <row r="12" spans="1:20" ht="12.75">
      <c r="A12" s="807"/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1"/>
      <c r="P12" s="1"/>
      <c r="Q12" s="1"/>
      <c r="R12" s="1"/>
      <c r="T12" s="1"/>
    </row>
    <row r="13" spans="1:20" ht="15.75">
      <c r="A13" s="794" t="s">
        <v>5</v>
      </c>
      <c r="B13" s="795" t="s">
        <v>944</v>
      </c>
      <c r="C13" s="795" t="s">
        <v>945</v>
      </c>
      <c r="D13" s="795" t="s">
        <v>946</v>
      </c>
      <c r="E13" s="795" t="s">
        <v>947</v>
      </c>
      <c r="F13" s="795" t="s">
        <v>948</v>
      </c>
      <c r="G13" s="795" t="s">
        <v>949</v>
      </c>
      <c r="H13" s="795" t="s">
        <v>950</v>
      </c>
      <c r="I13" s="795" t="s">
        <v>900</v>
      </c>
      <c r="J13" s="795" t="s">
        <v>902</v>
      </c>
      <c r="K13" s="795" t="s">
        <v>903</v>
      </c>
      <c r="L13" s="795" t="s">
        <v>904</v>
      </c>
      <c r="M13" s="796" t="s">
        <v>181</v>
      </c>
      <c r="O13" s="808"/>
      <c r="P13" s="808"/>
      <c r="Q13" s="808"/>
      <c r="R13" s="808"/>
      <c r="T13" s="1"/>
    </row>
    <row r="14" spans="1:20" ht="28.5" customHeight="1">
      <c r="A14" s="797" t="s">
        <v>938</v>
      </c>
      <c r="B14" s="798"/>
      <c r="C14" s="798"/>
      <c r="D14" s="798"/>
      <c r="E14" s="798"/>
      <c r="F14" s="798"/>
      <c r="G14" s="798"/>
      <c r="H14" s="798"/>
      <c r="I14" s="798"/>
      <c r="J14" s="798"/>
      <c r="K14" s="798"/>
      <c r="L14" s="798"/>
      <c r="M14" s="809">
        <f aca="true" t="shared" si="1" ref="M14:M19">SUM(B6:M6)+SUM(B14:L14)</f>
        <v>500000</v>
      </c>
      <c r="N14" s="810"/>
      <c r="T14" s="1"/>
    </row>
    <row r="15" spans="1:20" ht="26.25" customHeight="1">
      <c r="A15" s="797" t="s">
        <v>939</v>
      </c>
      <c r="B15" s="798">
        <v>11500</v>
      </c>
      <c r="C15" s="798">
        <v>11500</v>
      </c>
      <c r="D15" s="798">
        <v>3375</v>
      </c>
      <c r="E15" s="798"/>
      <c r="F15" s="798"/>
      <c r="G15" s="798"/>
      <c r="H15" s="798"/>
      <c r="I15" s="798"/>
      <c r="J15" s="798"/>
      <c r="K15" s="798"/>
      <c r="L15" s="798"/>
      <c r="M15" s="809">
        <f t="shared" si="1"/>
        <v>150000</v>
      </c>
      <c r="O15" s="810"/>
      <c r="P15" s="810"/>
      <c r="Q15" s="810"/>
      <c r="R15" s="810"/>
      <c r="T15" s="1"/>
    </row>
    <row r="16" spans="1:20" ht="39.75" customHeight="1">
      <c r="A16" s="801" t="s">
        <v>940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9">
        <f t="shared" si="1"/>
        <v>10062</v>
      </c>
      <c r="T16" s="1"/>
    </row>
    <row r="17" spans="1:20" ht="26.25" customHeight="1">
      <c r="A17" s="801" t="s">
        <v>941</v>
      </c>
      <c r="B17" s="802"/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9">
        <f t="shared" si="1"/>
        <v>97606</v>
      </c>
      <c r="T17" s="1"/>
    </row>
    <row r="18" spans="1:20" ht="26.25" customHeight="1">
      <c r="A18" s="801" t="s">
        <v>951</v>
      </c>
      <c r="B18" s="802"/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9">
        <f t="shared" si="1"/>
        <v>74704</v>
      </c>
      <c r="T18" s="1"/>
    </row>
    <row r="19" spans="1:20" ht="20.25" customHeight="1">
      <c r="A19" s="805" t="s">
        <v>943</v>
      </c>
      <c r="B19" s="806">
        <f aca="true" t="shared" si="2" ref="B19:L19">SUM(B14:B18)</f>
        <v>11500</v>
      </c>
      <c r="C19" s="806">
        <f t="shared" si="2"/>
        <v>11500</v>
      </c>
      <c r="D19" s="806">
        <f t="shared" si="2"/>
        <v>3375</v>
      </c>
      <c r="E19" s="806">
        <f t="shared" si="2"/>
        <v>0</v>
      </c>
      <c r="F19" s="806">
        <f t="shared" si="2"/>
        <v>0</v>
      </c>
      <c r="G19" s="806">
        <f t="shared" si="2"/>
        <v>0</v>
      </c>
      <c r="H19" s="806">
        <f t="shared" si="2"/>
        <v>0</v>
      </c>
      <c r="I19" s="806">
        <f t="shared" si="2"/>
        <v>0</v>
      </c>
      <c r="J19" s="806">
        <f t="shared" si="2"/>
        <v>0</v>
      </c>
      <c r="K19" s="806">
        <f t="shared" si="2"/>
        <v>0</v>
      </c>
      <c r="L19" s="806">
        <f t="shared" si="2"/>
        <v>0</v>
      </c>
      <c r="M19" s="811">
        <f t="shared" si="1"/>
        <v>832372</v>
      </c>
      <c r="T19" s="1"/>
    </row>
    <row r="20" spans="1:20" ht="21" customHeight="1">
      <c r="A20" s="812"/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T20" s="1"/>
    </row>
    <row r="21" spans="1:20" ht="32.25" customHeight="1">
      <c r="A21" s="1480" t="s">
        <v>952</v>
      </c>
      <c r="B21" s="1480"/>
      <c r="C21" s="1480"/>
      <c r="D21" s="1480"/>
      <c r="E21" s="1480"/>
      <c r="F21" s="1480"/>
      <c r="G21" s="1480"/>
      <c r="H21" s="1480"/>
      <c r="I21" s="1480"/>
      <c r="J21" s="1480"/>
      <c r="K21" s="1480"/>
      <c r="L21" s="1480"/>
      <c r="M21" s="1480"/>
      <c r="N21" s="814"/>
      <c r="T21" s="1"/>
    </row>
    <row r="22" ht="12.75">
      <c r="T22" s="1"/>
    </row>
    <row r="23" ht="12.75">
      <c r="T23" s="1"/>
    </row>
    <row r="24" ht="12.75">
      <c r="T24" s="1"/>
    </row>
    <row r="25" ht="12.75">
      <c r="T25" s="815"/>
    </row>
    <row r="27" ht="32.25" customHeight="1">
      <c r="T27" s="810"/>
    </row>
    <row r="29" spans="1:14" ht="12.75">
      <c r="A29" s="1481"/>
      <c r="B29" s="1481"/>
      <c r="C29" s="1481"/>
      <c r="D29" s="1481"/>
      <c r="E29" s="1481"/>
      <c r="F29" s="1481"/>
      <c r="G29" s="1481"/>
      <c r="H29" s="1481"/>
      <c r="I29" s="1481"/>
      <c r="J29" s="1481"/>
      <c r="K29" s="1481"/>
      <c r="L29" s="1481"/>
      <c r="M29" s="1481"/>
      <c r="N29" s="1481"/>
    </row>
    <row r="32" ht="39.75" customHeight="1"/>
    <row r="34" ht="25.5" customHeight="1"/>
  </sheetData>
  <sheetProtection/>
  <mergeCells count="5">
    <mergeCell ref="A1:L1"/>
    <mergeCell ref="A2:M2"/>
    <mergeCell ref="B4:M4"/>
    <mergeCell ref="A21:M21"/>
    <mergeCell ref="A29:N29"/>
  </mergeCells>
  <printOptions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D148" sqref="D148"/>
    </sheetView>
  </sheetViews>
  <sheetFormatPr defaultColWidth="9.140625" defaultRowHeight="12.75"/>
  <cols>
    <col min="1" max="1" width="55.8515625" style="0" customWidth="1"/>
    <col min="2" max="2" width="10.00390625" style="0" customWidth="1"/>
    <col min="3" max="3" width="10.57421875" style="0" customWidth="1"/>
    <col min="4" max="4" width="9.421875" style="0" customWidth="1"/>
  </cols>
  <sheetData>
    <row r="1" ht="12.75">
      <c r="C1" t="s">
        <v>953</v>
      </c>
    </row>
    <row r="2" spans="1:4" ht="15.75">
      <c r="A2" s="1385" t="s">
        <v>954</v>
      </c>
      <c r="B2" s="1385"/>
      <c r="C2" s="1385"/>
      <c r="D2" s="1385"/>
    </row>
    <row r="3" spans="1:4" ht="15.75">
      <c r="A3" s="1385" t="s">
        <v>955</v>
      </c>
      <c r="B3" s="1385"/>
      <c r="C3" s="1385"/>
      <c r="D3" s="1385"/>
    </row>
    <row r="4" spans="1:4" ht="15">
      <c r="A4" s="816"/>
      <c r="B4" s="816"/>
      <c r="C4" s="816"/>
      <c r="D4" s="816" t="s">
        <v>956</v>
      </c>
    </row>
    <row r="5" spans="1:4" ht="15.75">
      <c r="A5" s="817" t="s">
        <v>957</v>
      </c>
      <c r="B5" s="818" t="s">
        <v>958</v>
      </c>
      <c r="C5" s="818" t="s">
        <v>959</v>
      </c>
      <c r="D5" s="818" t="s">
        <v>960</v>
      </c>
    </row>
    <row r="6" spans="1:4" ht="15">
      <c r="A6" s="378" t="s">
        <v>961</v>
      </c>
      <c r="B6" s="379"/>
      <c r="C6" s="378"/>
      <c r="D6" s="378"/>
    </row>
    <row r="7" spans="1:4" ht="15">
      <c r="A7" s="384" t="s">
        <v>962</v>
      </c>
      <c r="B7" s="379">
        <f>17520*1.43</f>
        <v>25053.6</v>
      </c>
      <c r="C7" s="379">
        <f>17389*1.057</f>
        <v>18380.173</v>
      </c>
      <c r="D7" s="379">
        <f>17272*1.947</f>
        <v>33628.584</v>
      </c>
    </row>
    <row r="8" spans="1:4" ht="12.75">
      <c r="A8" s="384" t="s">
        <v>963</v>
      </c>
      <c r="B8" s="379"/>
      <c r="C8" s="379">
        <f>17.389*500</f>
        <v>8694.5</v>
      </c>
      <c r="D8" s="379">
        <v>0</v>
      </c>
    </row>
    <row r="9" spans="1:4" ht="12.75">
      <c r="A9" s="380" t="s">
        <v>964</v>
      </c>
      <c r="B9" s="379">
        <f>12*370</f>
        <v>4440</v>
      </c>
      <c r="C9" s="379">
        <f>12*300</f>
        <v>3600</v>
      </c>
      <c r="D9" s="379">
        <f>12*253.53</f>
        <v>3042.36</v>
      </c>
    </row>
    <row r="10" spans="1:4" ht="15">
      <c r="A10" s="378" t="s">
        <v>965</v>
      </c>
      <c r="B10" s="379"/>
      <c r="C10" s="379"/>
      <c r="D10" s="379"/>
    </row>
    <row r="11" spans="1:4" ht="15">
      <c r="A11" s="378" t="s">
        <v>966</v>
      </c>
      <c r="B11" s="379">
        <f>14000*2</f>
        <v>28000</v>
      </c>
      <c r="C11" s="379">
        <f>16000*2</f>
        <v>32000</v>
      </c>
      <c r="D11" s="379">
        <f>18000*1</f>
        <v>18000</v>
      </c>
    </row>
    <row r="12" spans="1:4" ht="15">
      <c r="A12" s="378" t="s">
        <v>967</v>
      </c>
      <c r="B12" s="379"/>
      <c r="C12" s="379"/>
      <c r="D12" s="379"/>
    </row>
    <row r="13" spans="1:4" ht="15">
      <c r="A13" s="378" t="s">
        <v>968</v>
      </c>
      <c r="B13" s="379">
        <f>56*547</f>
        <v>30632</v>
      </c>
      <c r="C13" s="379">
        <f>56*540.15</f>
        <v>30248.399999999998</v>
      </c>
      <c r="D13" s="379">
        <f>58*494.1</f>
        <v>28657.800000000003</v>
      </c>
    </row>
    <row r="14" spans="1:4" ht="15">
      <c r="A14" s="378" t="s">
        <v>969</v>
      </c>
      <c r="B14" s="379">
        <f>10*50</f>
        <v>500</v>
      </c>
      <c r="C14" s="379">
        <f>19*65</f>
        <v>1235</v>
      </c>
      <c r="D14" s="379">
        <f>3*65</f>
        <v>195</v>
      </c>
    </row>
    <row r="15" spans="1:4" ht="15">
      <c r="A15" s="378" t="s">
        <v>970</v>
      </c>
      <c r="B15" s="379"/>
      <c r="C15" s="379"/>
      <c r="D15" s="379"/>
    </row>
    <row r="16" spans="1:4" ht="15">
      <c r="A16" s="378" t="s">
        <v>971</v>
      </c>
      <c r="B16" s="379"/>
      <c r="C16" s="379"/>
      <c r="D16" s="379"/>
    </row>
    <row r="17" spans="1:4" ht="24">
      <c r="A17" s="383" t="s">
        <v>972</v>
      </c>
      <c r="B17" s="388">
        <f>9*2550000*8/12/1000</f>
        <v>15300</v>
      </c>
      <c r="C17" s="388"/>
      <c r="D17" s="388"/>
    </row>
    <row r="18" spans="1:4" ht="24">
      <c r="A18" s="383" t="s">
        <v>973</v>
      </c>
      <c r="B18" s="388">
        <f>34.1*2550000*8/12/1000</f>
        <v>57970</v>
      </c>
      <c r="C18" s="388"/>
      <c r="D18" s="388"/>
    </row>
    <row r="19" spans="1:4" ht="23.25" customHeight="1">
      <c r="A19" s="383" t="s">
        <v>974</v>
      </c>
      <c r="B19" s="388">
        <v>7225</v>
      </c>
      <c r="C19" s="388">
        <v>30770</v>
      </c>
      <c r="D19" s="388"/>
    </row>
    <row r="20" spans="1:4" ht="22.5" customHeight="1">
      <c r="A20" s="383" t="s">
        <v>975</v>
      </c>
      <c r="B20" s="388">
        <v>28390</v>
      </c>
      <c r="C20" s="388">
        <v>37230</v>
      </c>
      <c r="D20" s="388"/>
    </row>
    <row r="21" spans="1:4" ht="12.75">
      <c r="A21" s="381" t="s">
        <v>309</v>
      </c>
      <c r="B21" s="388"/>
      <c r="C21" s="388">
        <v>30903</v>
      </c>
      <c r="D21" s="388">
        <f>37*2350/12*8</f>
        <v>57966.666666666664</v>
      </c>
    </row>
    <row r="22" spans="1:4" ht="14.25" customHeight="1">
      <c r="A22" s="381" t="s">
        <v>310</v>
      </c>
      <c r="B22" s="388"/>
      <c r="C22" s="388"/>
      <c r="D22" s="388">
        <f>37.8*2350/12*4</f>
        <v>29610</v>
      </c>
    </row>
    <row r="23" spans="1:4" ht="12.75">
      <c r="A23" s="380" t="s">
        <v>976</v>
      </c>
      <c r="B23" s="379">
        <f>7.5*2550000*8/12/1000</f>
        <v>12750</v>
      </c>
      <c r="C23" s="379"/>
      <c r="D23" s="379"/>
    </row>
    <row r="24" spans="1:4" ht="12.75">
      <c r="A24" s="380" t="s">
        <v>977</v>
      </c>
      <c r="B24" s="379">
        <f>18.7*2550000*8/12/1000</f>
        <v>31790</v>
      </c>
      <c r="C24" s="379"/>
      <c r="D24" s="379"/>
    </row>
    <row r="25" spans="1:4" ht="12.75">
      <c r="A25" s="380" t="s">
        <v>978</v>
      </c>
      <c r="B25" s="379">
        <f>15*2550000*8/12/1000</f>
        <v>25500</v>
      </c>
      <c r="C25" s="379"/>
      <c r="D25" s="379"/>
    </row>
    <row r="26" spans="1:4" ht="12.75">
      <c r="A26" s="380" t="s">
        <v>311</v>
      </c>
      <c r="B26" s="379">
        <f>15.4*2550000*4/12/1000</f>
        <v>13090</v>
      </c>
      <c r="C26" s="379">
        <f>22610</f>
        <v>22610</v>
      </c>
      <c r="D26" s="379">
        <f>11.6*2350/12*8</f>
        <v>18173.333333333332</v>
      </c>
    </row>
    <row r="27" spans="1:4" ht="12.75">
      <c r="A27" s="380" t="s">
        <v>312</v>
      </c>
      <c r="B27" s="379">
        <f>8.5*2550000*4/12/1000</f>
        <v>7225</v>
      </c>
      <c r="C27" s="379">
        <v>14450</v>
      </c>
      <c r="D27" s="379">
        <f>7.7*2350/12*8</f>
        <v>12063.333333333334</v>
      </c>
    </row>
    <row r="28" spans="1:4" ht="12.75">
      <c r="A28" s="380" t="s">
        <v>313</v>
      </c>
      <c r="B28" s="379">
        <f>12.1*2550000*4/12/1000</f>
        <v>10285</v>
      </c>
      <c r="C28" s="379">
        <v>21760</v>
      </c>
      <c r="D28" s="379">
        <f>12.8*2350/12*8</f>
        <v>20053.333333333332</v>
      </c>
    </row>
    <row r="29" spans="1:4" ht="12.75">
      <c r="A29" s="380" t="s">
        <v>314</v>
      </c>
      <c r="B29" s="379"/>
      <c r="C29" s="379">
        <v>11007</v>
      </c>
      <c r="D29" s="379">
        <f>11.3*2350/12*4</f>
        <v>8851.666666666666</v>
      </c>
    </row>
    <row r="30" spans="1:4" ht="12.75">
      <c r="A30" s="380" t="s">
        <v>315</v>
      </c>
      <c r="B30" s="379"/>
      <c r="C30" s="379">
        <v>6350</v>
      </c>
      <c r="D30" s="379">
        <f>5.8*2350/12*4</f>
        <v>4543.333333333333</v>
      </c>
    </row>
    <row r="31" spans="1:4" ht="12.75">
      <c r="A31" s="380" t="s">
        <v>316</v>
      </c>
      <c r="B31" s="379"/>
      <c r="C31" s="379">
        <v>9906</v>
      </c>
      <c r="D31" s="379">
        <f>11.1*2350/12*4</f>
        <v>8695</v>
      </c>
    </row>
    <row r="32" spans="1:4" ht="15">
      <c r="A32" s="378" t="s">
        <v>979</v>
      </c>
      <c r="B32" s="379">
        <f>11.3*2550000*8/12/1000</f>
        <v>19210</v>
      </c>
      <c r="C32" s="391"/>
      <c r="D32" s="379"/>
    </row>
    <row r="33" spans="1:4" ht="15">
      <c r="A33" s="378" t="s">
        <v>980</v>
      </c>
      <c r="B33" s="379">
        <f>13.3*2550000*8/12/1000</f>
        <v>22610</v>
      </c>
      <c r="C33" s="391"/>
      <c r="D33" s="379"/>
    </row>
    <row r="34" spans="1:4" ht="15">
      <c r="A34" s="378" t="s">
        <v>981</v>
      </c>
      <c r="B34" s="379">
        <f>28.9*2550000*8/12/1000</f>
        <v>49130</v>
      </c>
      <c r="C34" s="391"/>
      <c r="D34" s="379"/>
    </row>
    <row r="35" spans="1:4" ht="15">
      <c r="A35" s="378" t="s">
        <v>982</v>
      </c>
      <c r="B35" s="379">
        <f>21.3*2550000*4/12/1000</f>
        <v>18105</v>
      </c>
      <c r="C35" s="379">
        <v>34850</v>
      </c>
      <c r="D35" s="379">
        <f>18.1*2350/12*8</f>
        <v>28356.666666666668</v>
      </c>
    </row>
    <row r="36" spans="1:4" ht="15">
      <c r="A36" s="378" t="s">
        <v>983</v>
      </c>
      <c r="B36" s="379">
        <f>29*2550000*4/12/1000</f>
        <v>24650</v>
      </c>
      <c r="C36" s="379">
        <v>48620</v>
      </c>
      <c r="D36" s="379"/>
    </row>
    <row r="37" spans="1:4" ht="15">
      <c r="A37" s="378" t="s">
        <v>318</v>
      </c>
      <c r="B37" s="379"/>
      <c r="C37" s="379">
        <v>16172</v>
      </c>
      <c r="D37" s="379">
        <f>16.6*2350/12*4</f>
        <v>13003.333333333334</v>
      </c>
    </row>
    <row r="38" spans="1:4" ht="15">
      <c r="A38" s="378" t="s">
        <v>319</v>
      </c>
      <c r="B38" s="379"/>
      <c r="C38" s="379">
        <v>9821</v>
      </c>
      <c r="D38" s="379">
        <f>11.1*2350/12*8</f>
        <v>17390</v>
      </c>
    </row>
    <row r="39" spans="1:4" ht="15">
      <c r="A39" s="378" t="s">
        <v>320</v>
      </c>
      <c r="B39" s="379"/>
      <c r="C39" s="391"/>
      <c r="D39" s="379">
        <f>10.9*2350/12*4</f>
        <v>8538.333333333334</v>
      </c>
    </row>
    <row r="40" spans="1:4" ht="15">
      <c r="A40" s="378" t="s">
        <v>321</v>
      </c>
      <c r="B40" s="379"/>
      <c r="C40" s="379">
        <v>13123</v>
      </c>
      <c r="D40" s="379">
        <f>16*2350/12*8</f>
        <v>25066.666666666668</v>
      </c>
    </row>
    <row r="41" spans="1:4" ht="15">
      <c r="A41" s="378" t="s">
        <v>322</v>
      </c>
      <c r="B41" s="379"/>
      <c r="C41" s="391"/>
      <c r="D41" s="379">
        <f>11.9*2350/12*4</f>
        <v>9321.666666666666</v>
      </c>
    </row>
    <row r="42" spans="1:4" ht="12.75">
      <c r="A42" s="819" t="s">
        <v>323</v>
      </c>
      <c r="B42" s="379">
        <f>2*240000*4/12/1000</f>
        <v>160</v>
      </c>
      <c r="C42" s="379">
        <v>320</v>
      </c>
      <c r="D42" s="379">
        <f>1*224/12*8</f>
        <v>149.33333333333334</v>
      </c>
    </row>
    <row r="43" spans="1:4" ht="12.75">
      <c r="A43" s="381" t="s">
        <v>984</v>
      </c>
      <c r="B43" s="379"/>
      <c r="C43" s="379">
        <v>159</v>
      </c>
      <c r="D43" s="379"/>
    </row>
    <row r="44" spans="1:4" ht="21.75" customHeight="1">
      <c r="A44" s="383" t="s">
        <v>324</v>
      </c>
      <c r="B44" s="379">
        <f>5*384000*8/12/1000</f>
        <v>1280</v>
      </c>
      <c r="C44" s="379">
        <v>1024</v>
      </c>
      <c r="D44" s="379">
        <f>4*358.4/12*4</f>
        <v>477.8666666666666</v>
      </c>
    </row>
    <row r="45" spans="1:4" ht="24">
      <c r="A45" s="383" t="s">
        <v>325</v>
      </c>
      <c r="B45" s="379">
        <f>4*384000*4/12/1000</f>
        <v>512</v>
      </c>
      <c r="C45" s="379">
        <v>382</v>
      </c>
      <c r="D45" s="379">
        <f>5*358.4/12*8</f>
        <v>1194.6666666666667</v>
      </c>
    </row>
    <row r="46" spans="1:4" ht="36">
      <c r="A46" s="383" t="s">
        <v>326</v>
      </c>
      <c r="B46" s="379">
        <f>40*8/12*192000/1000</f>
        <v>5120</v>
      </c>
      <c r="C46" s="379">
        <v>3584</v>
      </c>
      <c r="D46" s="379">
        <f>30*179.2/12*4</f>
        <v>1792</v>
      </c>
    </row>
    <row r="47" spans="1:4" ht="12.75">
      <c r="A47" s="820"/>
      <c r="B47" s="168"/>
      <c r="C47" s="168"/>
      <c r="D47" s="821"/>
    </row>
    <row r="48" spans="1:4" ht="12.75">
      <c r="A48" s="1482">
        <v>2</v>
      </c>
      <c r="B48" s="1482"/>
      <c r="C48" s="1482"/>
      <c r="D48" s="1482"/>
    </row>
    <row r="49" spans="1:4" ht="15.75">
      <c r="A49" s="817" t="s">
        <v>957</v>
      </c>
      <c r="B49" s="818" t="s">
        <v>958</v>
      </c>
      <c r="C49" s="818" t="s">
        <v>959</v>
      </c>
      <c r="D49" s="818" t="s">
        <v>960</v>
      </c>
    </row>
    <row r="50" spans="1:4" ht="36">
      <c r="A50" s="383" t="s">
        <v>327</v>
      </c>
      <c r="B50" s="379">
        <f>35*192000*4/12/1000</f>
        <v>2240</v>
      </c>
      <c r="C50" s="379">
        <v>1593</v>
      </c>
      <c r="D50" s="379">
        <f>35*179.2/12*8</f>
        <v>4181.333333333333</v>
      </c>
    </row>
    <row r="51" spans="1:4" ht="25.5">
      <c r="A51" s="381" t="s">
        <v>328</v>
      </c>
      <c r="B51" s="379"/>
      <c r="C51" s="379">
        <v>1147</v>
      </c>
      <c r="D51" s="379">
        <f>20*134.4/12*4</f>
        <v>896</v>
      </c>
    </row>
    <row r="52" spans="1:4" ht="38.25">
      <c r="A52" s="381" t="s">
        <v>329</v>
      </c>
      <c r="B52" s="379">
        <f>30*144000*4/12/1000</f>
        <v>1440</v>
      </c>
      <c r="C52" s="379">
        <v>2592</v>
      </c>
      <c r="D52" s="379">
        <f>26*134.4/12*8</f>
        <v>2329.6</v>
      </c>
    </row>
    <row r="53" spans="1:4" ht="12.75">
      <c r="A53" s="384" t="s">
        <v>985</v>
      </c>
      <c r="B53" s="379">
        <f>28.4*2550000*8/12/1000</f>
        <v>48280</v>
      </c>
      <c r="C53" s="379"/>
      <c r="D53" s="379"/>
    </row>
    <row r="54" spans="1:4" ht="12.75">
      <c r="A54" s="384" t="s">
        <v>986</v>
      </c>
      <c r="B54" s="379">
        <f>32.4*2550000*8/12/1000</f>
        <v>55080</v>
      </c>
      <c r="C54" s="379"/>
      <c r="D54" s="379"/>
    </row>
    <row r="55" spans="1:4" ht="12.75">
      <c r="A55" s="384" t="s">
        <v>987</v>
      </c>
      <c r="B55" s="379">
        <f>53.9*2550000*8/12/1000</f>
        <v>91630</v>
      </c>
      <c r="C55" s="379"/>
      <c r="D55" s="379"/>
    </row>
    <row r="56" spans="1:4" ht="12.75">
      <c r="A56" s="384" t="s">
        <v>330</v>
      </c>
      <c r="B56" s="379">
        <f>60.7*2550000*4/12/1000</f>
        <v>51595</v>
      </c>
      <c r="C56" s="379">
        <v>105740</v>
      </c>
      <c r="D56" s="379">
        <f>62.3*2350/12*8</f>
        <v>97603.33333333333</v>
      </c>
    </row>
    <row r="57" spans="1:4" ht="12.75">
      <c r="A57" s="384" t="s">
        <v>331</v>
      </c>
      <c r="B57" s="379"/>
      <c r="C57" s="379">
        <v>53933</v>
      </c>
      <c r="D57" s="379">
        <f>59.8*2350/12*4</f>
        <v>46843.333333333336</v>
      </c>
    </row>
    <row r="58" spans="1:4" ht="12.75">
      <c r="A58" s="384" t="s">
        <v>988</v>
      </c>
      <c r="B58" s="379">
        <f>58.3*2550000*4/12/1000</f>
        <v>49555</v>
      </c>
      <c r="C58" s="379">
        <v>95710</v>
      </c>
      <c r="D58" s="379"/>
    </row>
    <row r="59" spans="1:4" ht="12.75">
      <c r="A59" s="384" t="s">
        <v>332</v>
      </c>
      <c r="B59" s="379"/>
      <c r="C59" s="379">
        <v>20320</v>
      </c>
      <c r="D59" s="379">
        <f>22.9*2350/12*8</f>
        <v>35876.666666666664</v>
      </c>
    </row>
    <row r="60" spans="1:4" ht="12.75">
      <c r="A60" s="384" t="s">
        <v>333</v>
      </c>
      <c r="B60" s="379"/>
      <c r="C60" s="379"/>
      <c r="D60" s="379">
        <f>28.3*2350/12*4</f>
        <v>22168.333333333332</v>
      </c>
    </row>
    <row r="61" spans="1:4" ht="12.75">
      <c r="A61" s="384" t="s">
        <v>334</v>
      </c>
      <c r="B61" s="379"/>
      <c r="C61" s="379">
        <v>26501</v>
      </c>
      <c r="D61" s="379">
        <f>30.4*2350/12*8</f>
        <v>47626.666666666664</v>
      </c>
    </row>
    <row r="62" spans="1:4" ht="12.75">
      <c r="A62" s="384" t="s">
        <v>335</v>
      </c>
      <c r="B62" s="379"/>
      <c r="C62" s="379"/>
      <c r="D62" s="379">
        <f>22.3*2350/12*4</f>
        <v>17468.333333333332</v>
      </c>
    </row>
    <row r="63" spans="1:4" ht="12.75">
      <c r="A63" s="384" t="s">
        <v>336</v>
      </c>
      <c r="B63" s="379"/>
      <c r="C63" s="379"/>
      <c r="D63" s="379">
        <f>5.9*2350/12*4</f>
        <v>4621.666666666667</v>
      </c>
    </row>
    <row r="64" spans="1:4" ht="25.5">
      <c r="A64" s="381" t="s">
        <v>337</v>
      </c>
      <c r="B64" s="379">
        <f>13.4*2550000*8/12/1000</f>
        <v>22780</v>
      </c>
      <c r="C64" s="379">
        <v>38420</v>
      </c>
      <c r="D64" s="379">
        <f>28.7*2350/12*4</f>
        <v>22481.666666666668</v>
      </c>
    </row>
    <row r="65" spans="1:4" ht="12.75">
      <c r="A65" s="381" t="s">
        <v>989</v>
      </c>
      <c r="B65" s="379">
        <f>10.6*2550000*8/12/1000</f>
        <v>18020</v>
      </c>
      <c r="C65" s="379">
        <v>3910</v>
      </c>
      <c r="D65" s="379"/>
    </row>
    <row r="66" spans="1:4" ht="24">
      <c r="A66" s="383" t="s">
        <v>338</v>
      </c>
      <c r="B66" s="379">
        <f>22.8*2550000*4/12/1000</f>
        <v>19380</v>
      </c>
      <c r="C66" s="379">
        <v>25061</v>
      </c>
      <c r="D66" s="379">
        <f>27.8*2350/12*8</f>
        <v>43553.333333333336</v>
      </c>
    </row>
    <row r="67" spans="1:4" ht="12.75">
      <c r="A67" s="381" t="s">
        <v>339</v>
      </c>
      <c r="B67" s="379">
        <f>2.7*2550000*4/12/1000</f>
        <v>2295</v>
      </c>
      <c r="C67" s="379"/>
      <c r="D67" s="379"/>
    </row>
    <row r="68" spans="1:4" ht="12.75">
      <c r="A68" s="384" t="s">
        <v>340</v>
      </c>
      <c r="B68" s="379">
        <f>215*40*8/12</f>
        <v>5733.333333333333</v>
      </c>
      <c r="C68" s="379">
        <v>5627</v>
      </c>
      <c r="D68" s="379">
        <f>210*35/12*4</f>
        <v>2450</v>
      </c>
    </row>
    <row r="69" spans="1:4" ht="12.75">
      <c r="A69" s="384" t="s">
        <v>341</v>
      </c>
      <c r="B69" s="379">
        <f>205*40*4/12</f>
        <v>2733.3333333333335</v>
      </c>
      <c r="C69" s="379">
        <v>2609</v>
      </c>
      <c r="D69" s="379">
        <f>214*35/12*8</f>
        <v>4993.333333333333</v>
      </c>
    </row>
    <row r="70" spans="1:4" ht="12.75">
      <c r="A70" s="384" t="s">
        <v>342</v>
      </c>
      <c r="B70" s="379">
        <f>6*112*4/12</f>
        <v>224</v>
      </c>
      <c r="C70" s="379">
        <v>672</v>
      </c>
      <c r="D70" s="379">
        <f>7*98/12*8</f>
        <v>457.3333333333333</v>
      </c>
    </row>
    <row r="71" spans="1:4" ht="12.75">
      <c r="A71" s="384" t="s">
        <v>343</v>
      </c>
      <c r="B71" s="379"/>
      <c r="C71" s="379">
        <v>671</v>
      </c>
      <c r="D71" s="379">
        <f>16*98/12*4</f>
        <v>522.6666666666666</v>
      </c>
    </row>
    <row r="72" spans="1:4" ht="12.75">
      <c r="A72" s="385" t="s">
        <v>344</v>
      </c>
      <c r="B72" s="379">
        <f>77*156800*8/12/1000</f>
        <v>8049.066666666667</v>
      </c>
      <c r="C72" s="379">
        <v>4809</v>
      </c>
      <c r="D72" s="379">
        <f>50*137.2/12*4</f>
        <v>2286.6666666666665</v>
      </c>
    </row>
    <row r="73" spans="1:4" ht="12.75">
      <c r="A73" s="384" t="s">
        <v>345</v>
      </c>
      <c r="B73" s="379">
        <f>75*156.8*4/12</f>
        <v>3920</v>
      </c>
      <c r="C73" s="379">
        <v>2177</v>
      </c>
      <c r="D73" s="379">
        <f>47*137.2/12*8</f>
        <v>4298.933333333333</v>
      </c>
    </row>
    <row r="74" spans="1:4" ht="12.75">
      <c r="A74" s="385" t="s">
        <v>346</v>
      </c>
      <c r="B74" s="379">
        <f>121*22.4*8/12</f>
        <v>1806.9333333333332</v>
      </c>
      <c r="C74" s="379">
        <v>2494</v>
      </c>
      <c r="D74" s="379">
        <f>121*19.6/12*4</f>
        <v>790.5333333333334</v>
      </c>
    </row>
    <row r="75" spans="1:4" ht="12.75">
      <c r="A75" s="385" t="s">
        <v>347</v>
      </c>
      <c r="B75" s="379">
        <f>120*22.4*4/12</f>
        <v>896</v>
      </c>
      <c r="C75" s="379">
        <v>1244</v>
      </c>
      <c r="D75" s="379">
        <f>139*19.6/12*8</f>
        <v>1816.2666666666667</v>
      </c>
    </row>
    <row r="76" spans="1:4" ht="12.75">
      <c r="A76" s="385" t="s">
        <v>990</v>
      </c>
      <c r="B76" s="379">
        <f>63*67.2*8/12</f>
        <v>2822.4</v>
      </c>
      <c r="C76" s="379">
        <v>1882</v>
      </c>
      <c r="D76" s="379">
        <f>22*58.8/12*4</f>
        <v>431.2</v>
      </c>
    </row>
    <row r="77" spans="1:4" ht="12.75">
      <c r="A77" s="385" t="s">
        <v>991</v>
      </c>
      <c r="B77" s="379">
        <f>60*67.2*4/12</f>
        <v>1344</v>
      </c>
      <c r="C77" s="379">
        <v>742</v>
      </c>
      <c r="D77" s="379">
        <f>27*58.8/12*8</f>
        <v>1058.3999999999999</v>
      </c>
    </row>
    <row r="78" spans="1:4" ht="12.75">
      <c r="A78" s="385" t="s">
        <v>992</v>
      </c>
      <c r="B78" s="379"/>
      <c r="C78" s="379">
        <v>96</v>
      </c>
      <c r="D78" s="379">
        <f>2*134.4/12*4</f>
        <v>89.60000000000001</v>
      </c>
    </row>
    <row r="79" spans="1:4" ht="12.75">
      <c r="A79" s="385" t="s">
        <v>351</v>
      </c>
      <c r="B79" s="379"/>
      <c r="C79" s="391"/>
      <c r="D79" s="379">
        <f>2*134.4/12*8</f>
        <v>179.20000000000002</v>
      </c>
    </row>
    <row r="80" spans="1:4" ht="12.75">
      <c r="A80" s="385" t="s">
        <v>993</v>
      </c>
      <c r="B80" s="379">
        <f>10*240</f>
        <v>2400</v>
      </c>
      <c r="C80" s="391"/>
      <c r="D80" s="379">
        <f>11*240</f>
        <v>2640</v>
      </c>
    </row>
    <row r="81" spans="1:4" ht="13.5">
      <c r="A81" s="385" t="s">
        <v>994</v>
      </c>
      <c r="B81" s="379">
        <f>2*325</f>
        <v>650</v>
      </c>
      <c r="C81" s="391"/>
      <c r="D81" s="379">
        <f>2*305</f>
        <v>610</v>
      </c>
    </row>
    <row r="82" spans="1:4" ht="12.75">
      <c r="A82" s="384" t="s">
        <v>995</v>
      </c>
      <c r="B82" s="379">
        <f>252*105*8/12</f>
        <v>17640</v>
      </c>
      <c r="C82" s="379">
        <v>8840</v>
      </c>
      <c r="D82" s="379">
        <f>5.8*2350*8/12</f>
        <v>9086.666666666666</v>
      </c>
    </row>
    <row r="83" spans="1:4" ht="12.75">
      <c r="A83" s="384" t="s">
        <v>996</v>
      </c>
      <c r="B83" s="379">
        <f>152*40*8/12</f>
        <v>4053.3333333333335</v>
      </c>
      <c r="C83" s="379">
        <v>1870</v>
      </c>
      <c r="D83" s="379">
        <f>0.8*2350*8/12</f>
        <v>1253.3333333333333</v>
      </c>
    </row>
    <row r="84" spans="1:4" ht="12.75">
      <c r="A84" s="387" t="s">
        <v>997</v>
      </c>
      <c r="B84" s="379">
        <v>4930</v>
      </c>
      <c r="C84" s="379">
        <v>4403</v>
      </c>
      <c r="D84" s="379">
        <f>5.8*2350000*4/12/1000</f>
        <v>4543.333333333333</v>
      </c>
    </row>
    <row r="85" spans="1:4" ht="12.75">
      <c r="A85" s="387" t="s">
        <v>998</v>
      </c>
      <c r="B85" s="379">
        <v>1020</v>
      </c>
      <c r="C85" s="379">
        <v>931</v>
      </c>
      <c r="D85" s="379">
        <f>0.8*2350*4/12</f>
        <v>626.6666666666666</v>
      </c>
    </row>
    <row r="86" spans="1:4" ht="12.75">
      <c r="A86" s="380" t="s">
        <v>999</v>
      </c>
      <c r="B86" s="379">
        <f>275*51*4/12</f>
        <v>4675</v>
      </c>
      <c r="C86" s="379">
        <v>8364</v>
      </c>
      <c r="D86" s="379">
        <f>274*44.9*8/12</f>
        <v>8201.733333333334</v>
      </c>
    </row>
    <row r="87" spans="1:4" ht="12.75">
      <c r="A87" s="380" t="s">
        <v>359</v>
      </c>
      <c r="B87" s="379"/>
      <c r="C87" s="379">
        <v>3977</v>
      </c>
      <c r="D87" s="379">
        <f>274*44.9*4/12</f>
        <v>4100.866666666667</v>
      </c>
    </row>
    <row r="88" spans="1:4" ht="12.75">
      <c r="A88" s="380" t="s">
        <v>1000</v>
      </c>
      <c r="B88" s="379">
        <f>152*20*4/12</f>
        <v>1013.3333333333334</v>
      </c>
      <c r="C88" s="379">
        <v>1840</v>
      </c>
      <c r="D88" s="379">
        <f>94*17.6*8/12</f>
        <v>1102.9333333333334</v>
      </c>
    </row>
    <row r="89" spans="1:4" ht="12.75">
      <c r="A89" s="380" t="s">
        <v>361</v>
      </c>
      <c r="B89" s="379"/>
      <c r="C89" s="379">
        <v>874</v>
      </c>
      <c r="D89" s="379">
        <f>94*17.6*4/12</f>
        <v>551.4666666666667</v>
      </c>
    </row>
    <row r="90" spans="1:4" ht="12.75">
      <c r="A90" s="385" t="s">
        <v>1001</v>
      </c>
      <c r="B90" s="379">
        <f>78*318000*8/12/1000</f>
        <v>16536</v>
      </c>
      <c r="C90" s="379">
        <v>6290</v>
      </c>
      <c r="D90" s="379">
        <f>3.7*2350/12*4</f>
        <v>2898.3333333333335</v>
      </c>
    </row>
    <row r="91" spans="1:4" ht="12.75">
      <c r="A91" s="385" t="s">
        <v>1002</v>
      </c>
      <c r="B91" s="379">
        <f>4.1*2550000*4/12/1000</f>
        <v>3485</v>
      </c>
      <c r="C91" s="379">
        <v>3133</v>
      </c>
      <c r="D91" s="379">
        <f>3.8*2350/12*8</f>
        <v>5953.333333333333</v>
      </c>
    </row>
    <row r="92" spans="1:4" ht="12.75">
      <c r="A92" s="384" t="s">
        <v>1003</v>
      </c>
      <c r="B92" s="379">
        <f>78*186*4/12</f>
        <v>4836</v>
      </c>
      <c r="C92" s="379">
        <v>8928</v>
      </c>
      <c r="D92" s="379">
        <f>72*165/12*4</f>
        <v>3960</v>
      </c>
    </row>
    <row r="93" spans="1:4" ht="12.75">
      <c r="A93" s="384" t="s">
        <v>1004</v>
      </c>
      <c r="B93" s="388"/>
      <c r="C93" s="388">
        <f>177*72*4/12</f>
        <v>4248</v>
      </c>
      <c r="D93" s="388">
        <f>73*165/12*8</f>
        <v>8030</v>
      </c>
    </row>
    <row r="94" spans="1:4" ht="12.75">
      <c r="A94" s="385" t="s">
        <v>1005</v>
      </c>
      <c r="B94" s="379">
        <f>534*23000*8/12/1000</f>
        <v>8188</v>
      </c>
      <c r="C94" s="391"/>
      <c r="D94" s="379"/>
    </row>
    <row r="95" spans="1:4" ht="12.75">
      <c r="A95" s="385" t="s">
        <v>1006</v>
      </c>
      <c r="B95" s="379">
        <v>3230</v>
      </c>
      <c r="C95" s="379">
        <v>6120</v>
      </c>
      <c r="D95" s="379">
        <f>3.7*2350/12*8</f>
        <v>5796.666666666667</v>
      </c>
    </row>
    <row r="96" spans="1:4" ht="12.75">
      <c r="A96" s="385" t="s">
        <v>1007</v>
      </c>
      <c r="B96" s="379">
        <v>765</v>
      </c>
      <c r="C96" s="379">
        <v>1530</v>
      </c>
      <c r="D96" s="379">
        <f>0.7*2350/12*8</f>
        <v>1096.6666666666667</v>
      </c>
    </row>
    <row r="97" spans="1:4" ht="12.75">
      <c r="A97" s="385" t="s">
        <v>368</v>
      </c>
      <c r="B97" s="379"/>
      <c r="C97" s="379">
        <v>2964</v>
      </c>
      <c r="D97" s="379">
        <f>3.5*2350/12*4</f>
        <v>2741.6666666666665</v>
      </c>
    </row>
    <row r="98" spans="1:4" ht="12.75">
      <c r="A98" s="822"/>
      <c r="B98" s="168"/>
      <c r="C98" s="168"/>
      <c r="D98" s="821"/>
    </row>
    <row r="99" spans="1:4" ht="12.75">
      <c r="A99" s="1482">
        <v>3</v>
      </c>
      <c r="B99" s="1482"/>
      <c r="C99" s="1482"/>
      <c r="D99" s="1482"/>
    </row>
    <row r="100" spans="1:4" ht="15.75">
      <c r="A100" s="817" t="s">
        <v>957</v>
      </c>
      <c r="B100" s="818" t="s">
        <v>958</v>
      </c>
      <c r="C100" s="818" t="s">
        <v>959</v>
      </c>
      <c r="D100" s="818" t="s">
        <v>960</v>
      </c>
    </row>
    <row r="101" spans="1:4" ht="12.75">
      <c r="A101" s="382" t="s">
        <v>369</v>
      </c>
      <c r="B101" s="379"/>
      <c r="C101" s="379">
        <v>677</v>
      </c>
      <c r="D101" s="379">
        <f>0.6*2350/12*4</f>
        <v>470</v>
      </c>
    </row>
    <row r="102" spans="1:4" ht="12.75">
      <c r="A102" s="382" t="s">
        <v>1008</v>
      </c>
      <c r="B102" s="379">
        <f>49*71.5*8/12</f>
        <v>2335.6666666666665</v>
      </c>
      <c r="C102" s="379">
        <v>10678</v>
      </c>
      <c r="D102" s="379">
        <f>35*64/12*4</f>
        <v>746.6666666666666</v>
      </c>
    </row>
    <row r="103" spans="1:4" ht="12.75">
      <c r="A103" s="382" t="s">
        <v>1009</v>
      </c>
      <c r="B103" s="379">
        <f>35*71.5*4/12</f>
        <v>834.1666666666666</v>
      </c>
      <c r="C103" s="379">
        <v>5213</v>
      </c>
      <c r="D103" s="379">
        <f>26*64/12*8</f>
        <v>1109.3333333333333</v>
      </c>
    </row>
    <row r="104" spans="1:4" ht="12.75">
      <c r="A104" s="380" t="s">
        <v>1010</v>
      </c>
      <c r="B104" s="379">
        <f>173*55</f>
        <v>9515</v>
      </c>
      <c r="C104" s="379">
        <v>10855</v>
      </c>
      <c r="D104" s="379">
        <f>149*65</f>
        <v>9685</v>
      </c>
    </row>
    <row r="105" spans="1:4" ht="12.75">
      <c r="A105" s="380" t="s">
        <v>1011</v>
      </c>
      <c r="B105" s="379">
        <f>235*55</f>
        <v>12925</v>
      </c>
      <c r="C105" s="379">
        <v>17745</v>
      </c>
      <c r="D105" s="379">
        <f>298*65</f>
        <v>19370</v>
      </c>
    </row>
    <row r="106" spans="1:4" ht="12.75">
      <c r="A106" s="380" t="s">
        <v>1012</v>
      </c>
      <c r="B106" s="379">
        <f>75*55</f>
        <v>4125</v>
      </c>
      <c r="C106" s="379"/>
      <c r="D106" s="379"/>
    </row>
    <row r="107" spans="1:4" ht="12.75">
      <c r="A107" s="380" t="s">
        <v>374</v>
      </c>
      <c r="B107" s="379"/>
      <c r="C107" s="379">
        <v>4225</v>
      </c>
      <c r="D107" s="379">
        <f>49*65</f>
        <v>3185</v>
      </c>
    </row>
    <row r="108" spans="1:4" ht="12.75">
      <c r="A108" s="380" t="s">
        <v>375</v>
      </c>
      <c r="B108" s="379"/>
      <c r="C108" s="379">
        <v>910</v>
      </c>
      <c r="D108" s="379">
        <f>16*65</f>
        <v>1040</v>
      </c>
    </row>
    <row r="109" spans="1:4" ht="12.75">
      <c r="A109" s="380" t="s">
        <v>1013</v>
      </c>
      <c r="B109" s="379">
        <f>44*55</f>
        <v>2420</v>
      </c>
      <c r="C109" s="379">
        <v>2990</v>
      </c>
      <c r="D109" s="379">
        <f>42*65</f>
        <v>2730</v>
      </c>
    </row>
    <row r="110" spans="1:4" ht="12.75">
      <c r="A110" s="383" t="s">
        <v>377</v>
      </c>
      <c r="B110" s="379">
        <f>27*16</f>
        <v>432</v>
      </c>
      <c r="C110" s="379">
        <v>660</v>
      </c>
      <c r="D110" s="379">
        <f>69*20</f>
        <v>1380</v>
      </c>
    </row>
    <row r="111" spans="1:4" ht="12.75">
      <c r="A111" s="382" t="s">
        <v>1014</v>
      </c>
      <c r="B111" s="379">
        <f>805*15*8/12</f>
        <v>8050</v>
      </c>
      <c r="C111" s="379">
        <v>10812</v>
      </c>
      <c r="D111" s="379">
        <f>942*15.3/12*8</f>
        <v>9608.4</v>
      </c>
    </row>
    <row r="112" spans="1:4" ht="12.75">
      <c r="A112" s="382" t="s">
        <v>1015</v>
      </c>
      <c r="B112" s="379">
        <f>820*18*4/12</f>
        <v>4920</v>
      </c>
      <c r="C112" s="379">
        <v>5556</v>
      </c>
      <c r="D112" s="379">
        <f>955*15.3/12*4</f>
        <v>4870.5</v>
      </c>
    </row>
    <row r="113" spans="1:4" ht="12.75">
      <c r="A113" s="382" t="s">
        <v>1016</v>
      </c>
      <c r="B113" s="379">
        <f>162*45*8/12</f>
        <v>4860</v>
      </c>
      <c r="C113" s="379"/>
      <c r="D113" s="379"/>
    </row>
    <row r="114" spans="1:4" ht="12.75">
      <c r="A114" s="382" t="s">
        <v>1017</v>
      </c>
      <c r="B114" s="379">
        <f>68*45*4/12</f>
        <v>1020</v>
      </c>
      <c r="C114" s="379">
        <v>1620</v>
      </c>
      <c r="D114" s="379">
        <f>47*36.3/12*8</f>
        <v>1137.3999999999999</v>
      </c>
    </row>
    <row r="115" spans="1:4" ht="12.75">
      <c r="A115" s="382" t="s">
        <v>1018</v>
      </c>
      <c r="B115" s="379">
        <f>23*45*4/12</f>
        <v>345</v>
      </c>
      <c r="C115" s="379">
        <v>630</v>
      </c>
      <c r="D115" s="379"/>
    </row>
    <row r="116" spans="1:4" ht="12.75">
      <c r="A116" s="382" t="s">
        <v>1019</v>
      </c>
      <c r="B116" s="379">
        <f>68*45*4/12</f>
        <v>1020</v>
      </c>
      <c r="C116" s="379">
        <v>2070</v>
      </c>
      <c r="D116" s="379"/>
    </row>
    <row r="117" spans="1:4" ht="12.75">
      <c r="A117" s="380" t="s">
        <v>381</v>
      </c>
      <c r="B117" s="379"/>
      <c r="C117" s="379">
        <v>728</v>
      </c>
      <c r="D117" s="379">
        <f>50*36.3/12*4</f>
        <v>604.9999999999999</v>
      </c>
    </row>
    <row r="118" spans="1:4" ht="12.75">
      <c r="A118" s="380" t="s">
        <v>382</v>
      </c>
      <c r="B118" s="379"/>
      <c r="C118" s="379">
        <v>613</v>
      </c>
      <c r="D118" s="379">
        <f>39*36.3/12*8</f>
        <v>943.7999999999998</v>
      </c>
    </row>
    <row r="119" spans="1:4" ht="12.75">
      <c r="A119" s="380" t="s">
        <v>383</v>
      </c>
      <c r="B119" s="379"/>
      <c r="C119" s="379"/>
      <c r="D119" s="379">
        <f>58*36.3/12*4</f>
        <v>701.7999999999998</v>
      </c>
    </row>
    <row r="120" spans="1:4" ht="12.75">
      <c r="A120" s="380" t="s">
        <v>384</v>
      </c>
      <c r="B120" s="379"/>
      <c r="C120" s="379">
        <v>713</v>
      </c>
      <c r="D120" s="379">
        <f>48*36.3/12*8</f>
        <v>1161.6</v>
      </c>
    </row>
    <row r="121" spans="1:4" ht="12.75">
      <c r="A121" s="380" t="s">
        <v>385</v>
      </c>
      <c r="B121" s="379"/>
      <c r="C121" s="379"/>
      <c r="D121" s="379">
        <f>25*36.3/12*4</f>
        <v>302.49999999999994</v>
      </c>
    </row>
    <row r="122" spans="1:4" ht="21.75" customHeight="1">
      <c r="A122" s="380" t="s">
        <v>1020</v>
      </c>
      <c r="B122" s="379">
        <f>17520*1.135</f>
        <v>19885.2</v>
      </c>
      <c r="C122" s="379">
        <f>1061*17.389</f>
        <v>18449.729</v>
      </c>
      <c r="D122" s="379">
        <v>0</v>
      </c>
    </row>
    <row r="123" spans="1:4" ht="12.75">
      <c r="A123" s="382" t="s">
        <v>1021</v>
      </c>
      <c r="B123" s="379">
        <f>44*3.8</f>
        <v>167.2</v>
      </c>
      <c r="C123" s="379">
        <v>151</v>
      </c>
      <c r="D123" s="379">
        <v>151</v>
      </c>
    </row>
    <row r="124" spans="1:4" ht="12.75">
      <c r="A124" s="380" t="s">
        <v>387</v>
      </c>
      <c r="B124" s="379"/>
      <c r="C124" s="379"/>
      <c r="D124" s="379"/>
    </row>
    <row r="125" spans="1:4" ht="12.75">
      <c r="A125" s="382" t="s">
        <v>388</v>
      </c>
      <c r="B125" s="379">
        <v>3300</v>
      </c>
      <c r="C125" s="379">
        <v>3300</v>
      </c>
      <c r="D125" s="379">
        <v>3000</v>
      </c>
    </row>
    <row r="126" spans="1:4" ht="13.5">
      <c r="A126" s="380" t="s">
        <v>1022</v>
      </c>
      <c r="B126" s="379">
        <f>39886*0.513</f>
        <v>20461.518</v>
      </c>
      <c r="C126" s="379">
        <v>12774</v>
      </c>
      <c r="D126" s="389">
        <f>39.426*276</f>
        <v>10881.576000000001</v>
      </c>
    </row>
    <row r="127" spans="1:4" ht="13.5">
      <c r="A127" s="380" t="s">
        <v>1023</v>
      </c>
      <c r="B127" s="379">
        <f>45326*0.28</f>
        <v>12691.28</v>
      </c>
      <c r="C127" s="379">
        <v>12133</v>
      </c>
      <c r="D127" s="389">
        <f>44.937*229</f>
        <v>10290.573</v>
      </c>
    </row>
    <row r="128" spans="1:4" ht="13.5">
      <c r="A128" s="380" t="s">
        <v>1024</v>
      </c>
      <c r="B128" s="379">
        <f>45301*0.05</f>
        <v>2265.05</v>
      </c>
      <c r="C128" s="379">
        <v>3146</v>
      </c>
      <c r="D128" s="389">
        <f>44.94*56</f>
        <v>2516.64</v>
      </c>
    </row>
    <row r="129" spans="1:4" ht="13.5">
      <c r="A129" s="380" t="s">
        <v>1025</v>
      </c>
      <c r="B129" s="379">
        <f>479*7.7</f>
        <v>3688.3</v>
      </c>
      <c r="C129" s="379">
        <v>4410</v>
      </c>
      <c r="D129" s="389">
        <f>0.57*7729</f>
        <v>4405.53</v>
      </c>
    </row>
    <row r="130" spans="1:4" ht="13.5">
      <c r="A130" s="380" t="s">
        <v>1026</v>
      </c>
      <c r="B130" s="379">
        <v>115509</v>
      </c>
      <c r="C130" s="379">
        <v>116680</v>
      </c>
      <c r="D130" s="389">
        <v>116680</v>
      </c>
    </row>
    <row r="131" spans="1:4" ht="12.75">
      <c r="A131" s="380" t="s">
        <v>1027</v>
      </c>
      <c r="B131" s="388">
        <v>0</v>
      </c>
      <c r="C131" s="388">
        <v>0</v>
      </c>
      <c r="D131" s="388">
        <v>0</v>
      </c>
    </row>
    <row r="132" spans="1:4" ht="12.75">
      <c r="A132" s="380" t="s">
        <v>1028</v>
      </c>
      <c r="B132" s="379"/>
      <c r="C132" s="391"/>
      <c r="D132" s="379"/>
    </row>
    <row r="133" spans="1:4" ht="12.75">
      <c r="A133" s="380" t="s">
        <v>1029</v>
      </c>
      <c r="B133" s="379">
        <f>140*82</f>
        <v>11480</v>
      </c>
      <c r="C133" s="391"/>
      <c r="D133" s="379"/>
    </row>
    <row r="134" spans="1:4" ht="24">
      <c r="A134" s="383" t="s">
        <v>1030</v>
      </c>
      <c r="B134" s="379">
        <f>11*92.5</f>
        <v>1017.5</v>
      </c>
      <c r="C134" s="379">
        <v>6374</v>
      </c>
      <c r="D134" s="379"/>
    </row>
    <row r="135" spans="1:4" ht="24">
      <c r="A135" s="383" t="s">
        <v>1031</v>
      </c>
      <c r="B135" s="379">
        <f>11*82</f>
        <v>902</v>
      </c>
      <c r="C135" s="379">
        <v>7182</v>
      </c>
      <c r="D135" s="379"/>
    </row>
    <row r="136" spans="1:4" ht="24">
      <c r="A136" s="383" t="s">
        <v>1032</v>
      </c>
      <c r="B136" s="379">
        <f>1*65</f>
        <v>65</v>
      </c>
      <c r="C136" s="379">
        <v>640</v>
      </c>
      <c r="D136" s="379"/>
    </row>
    <row r="137" spans="1:4" ht="12.75">
      <c r="A137" s="383" t="s">
        <v>394</v>
      </c>
      <c r="B137" s="379"/>
      <c r="C137" s="391"/>
      <c r="D137" s="379">
        <f>205*55.363</f>
        <v>11349.414999999999</v>
      </c>
    </row>
    <row r="138" spans="1:4" ht="12.75">
      <c r="A138" s="380" t="s">
        <v>1033</v>
      </c>
      <c r="B138" s="379">
        <f>12*190</f>
        <v>2280</v>
      </c>
      <c r="C138" s="391"/>
      <c r="D138" s="379"/>
    </row>
    <row r="139" spans="1:4" s="110" customFormat="1" ht="24">
      <c r="A139" s="383" t="s">
        <v>1034</v>
      </c>
      <c r="B139" s="379">
        <f>3*275</f>
        <v>825</v>
      </c>
      <c r="C139" s="391"/>
      <c r="D139" s="379"/>
    </row>
    <row r="140" spans="1:4" ht="24">
      <c r="A140" s="383" t="s">
        <v>1035</v>
      </c>
      <c r="B140" s="379">
        <f>3*173.7</f>
        <v>521.0999999999999</v>
      </c>
      <c r="C140" s="391"/>
      <c r="D140" s="379"/>
    </row>
    <row r="141" spans="1:4" ht="12.75">
      <c r="A141" s="380" t="s">
        <v>1036</v>
      </c>
      <c r="B141" s="379">
        <f>1289*10</f>
        <v>12890</v>
      </c>
      <c r="C141" s="379">
        <v>12270</v>
      </c>
      <c r="D141" s="379">
        <f>1236*10</f>
        <v>12360</v>
      </c>
    </row>
    <row r="142" spans="1:4" ht="15">
      <c r="A142" s="378" t="s">
        <v>1037</v>
      </c>
      <c r="B142" s="164"/>
      <c r="C142" s="379"/>
      <c r="D142" s="823"/>
    </row>
    <row r="143" spans="1:4" ht="15">
      <c r="A143" s="378" t="s">
        <v>1038</v>
      </c>
      <c r="B143" s="164"/>
      <c r="C143" s="824"/>
      <c r="D143" s="823"/>
    </row>
    <row r="144" spans="1:4" ht="15">
      <c r="A144" s="378" t="s">
        <v>1039</v>
      </c>
      <c r="B144" s="164"/>
      <c r="C144" s="824"/>
      <c r="D144" s="823"/>
    </row>
    <row r="145" spans="1:4" ht="15">
      <c r="A145" s="378" t="s">
        <v>1040</v>
      </c>
      <c r="B145" s="164"/>
      <c r="C145" s="824"/>
      <c r="D145" s="823"/>
    </row>
    <row r="146" spans="1:4" ht="15">
      <c r="A146" s="378" t="s">
        <v>1041</v>
      </c>
      <c r="B146" s="164"/>
      <c r="C146" s="824"/>
      <c r="D146" s="823"/>
    </row>
    <row r="147" spans="1:4" ht="15">
      <c r="A147" s="378" t="s">
        <v>1042</v>
      </c>
      <c r="B147" s="164"/>
      <c r="C147" s="824"/>
      <c r="D147" s="823"/>
    </row>
    <row r="148" spans="1:4" ht="15">
      <c r="A148" s="378" t="s">
        <v>1043</v>
      </c>
      <c r="B148" s="379">
        <f>2800*1</f>
        <v>2800</v>
      </c>
      <c r="C148" s="379">
        <v>1704</v>
      </c>
      <c r="D148" s="379">
        <f>2693*1</f>
        <v>2693</v>
      </c>
    </row>
    <row r="149" spans="1:4" ht="12.75">
      <c r="A149" s="825"/>
      <c r="B149" s="166"/>
      <c r="C149" s="166"/>
      <c r="D149" s="393"/>
    </row>
    <row r="150" spans="1:4" ht="12.75">
      <c r="A150" s="825"/>
      <c r="B150" s="166"/>
      <c r="C150" s="166"/>
      <c r="D150" s="393"/>
    </row>
    <row r="151" spans="1:4" ht="15">
      <c r="A151" s="1483">
        <v>4</v>
      </c>
      <c r="B151" s="1483"/>
      <c r="C151" s="1483"/>
      <c r="D151" s="1483"/>
    </row>
    <row r="152" spans="1:4" ht="15.75">
      <c r="A152" s="817" t="s">
        <v>957</v>
      </c>
      <c r="B152" s="781" t="s">
        <v>958</v>
      </c>
      <c r="C152" s="781" t="s">
        <v>1044</v>
      </c>
      <c r="D152" s="781" t="s">
        <v>1045</v>
      </c>
    </row>
    <row r="153" spans="1:4" ht="15">
      <c r="A153" s="378" t="s">
        <v>1046</v>
      </c>
      <c r="B153" s="379"/>
      <c r="C153" s="379"/>
      <c r="D153" s="391"/>
    </row>
    <row r="154" spans="1:4" ht="13.5">
      <c r="A154" s="384" t="s">
        <v>1047</v>
      </c>
      <c r="B154" s="379"/>
      <c r="C154" s="379"/>
      <c r="D154" s="391"/>
    </row>
    <row r="155" spans="1:4" ht="15">
      <c r="A155" s="378" t="s">
        <v>1048</v>
      </c>
      <c r="B155" s="379">
        <f>17520*0.515</f>
        <v>9022.800000000001</v>
      </c>
      <c r="C155" s="379">
        <f>17.389*515</f>
        <v>8955.335</v>
      </c>
      <c r="D155" s="391">
        <v>0</v>
      </c>
    </row>
    <row r="156" spans="1:4" ht="12.75">
      <c r="A156" s="390" t="s">
        <v>397</v>
      </c>
      <c r="B156" s="379">
        <f>SUM(B111:B155)+SUM(B7:B110)</f>
        <v>1174746.1146666668</v>
      </c>
      <c r="C156" s="379">
        <f>SUM(C111:C155)+SUM(C7:C110)</f>
        <v>1154325.1369999999</v>
      </c>
      <c r="D156" s="379">
        <f>SUM(D111:D155)+SUM(D7:D110)</f>
        <v>1010363.7446666666</v>
      </c>
    </row>
    <row r="157" spans="1:4" ht="15">
      <c r="A157" s="826"/>
      <c r="B157" s="375"/>
      <c r="C157" s="375"/>
      <c r="D157" s="816"/>
    </row>
    <row r="158" spans="1:4" ht="15">
      <c r="A158" s="1484"/>
      <c r="B158" s="1484"/>
      <c r="C158" s="827"/>
      <c r="D158" s="816"/>
    </row>
    <row r="159" spans="1:4" ht="15">
      <c r="A159" s="826"/>
      <c r="B159" s="375"/>
      <c r="C159" s="375"/>
      <c r="D159" s="816"/>
    </row>
    <row r="160" spans="1:4" ht="15">
      <c r="A160" s="1388"/>
      <c r="B160" s="1388"/>
      <c r="C160" s="828"/>
      <c r="D160" s="816"/>
    </row>
    <row r="161" spans="1:4" ht="15.75">
      <c r="A161" s="1385" t="s">
        <v>1049</v>
      </c>
      <c r="B161" s="1385"/>
      <c r="C161" s="1385"/>
      <c r="D161" s="1385"/>
    </row>
    <row r="162" spans="1:4" ht="15">
      <c r="A162" s="826"/>
      <c r="B162" s="375"/>
      <c r="C162" s="375"/>
      <c r="D162" s="816"/>
    </row>
    <row r="163" spans="1:4" ht="15.75">
      <c r="A163" s="817" t="s">
        <v>957</v>
      </c>
      <c r="B163" s="829" t="s">
        <v>958</v>
      </c>
      <c r="C163" s="781" t="s">
        <v>1044</v>
      </c>
      <c r="D163" s="781" t="s">
        <v>1045</v>
      </c>
    </row>
    <row r="164" spans="1:4" ht="12.75">
      <c r="A164" s="390" t="s">
        <v>1050</v>
      </c>
      <c r="B164" s="830">
        <v>23567</v>
      </c>
      <c r="C164" s="379"/>
      <c r="D164" s="379"/>
    </row>
    <row r="165" spans="1:4" ht="12.75">
      <c r="A165" s="384" t="s">
        <v>1051</v>
      </c>
      <c r="B165" s="830">
        <v>7140</v>
      </c>
      <c r="C165" s="379">
        <v>7760</v>
      </c>
      <c r="D165" s="379">
        <f>8*900</f>
        <v>7200</v>
      </c>
    </row>
    <row r="166" spans="1:4" ht="15">
      <c r="A166" s="378" t="s">
        <v>1052</v>
      </c>
      <c r="B166" s="830">
        <f>303*11.7</f>
        <v>3545.1</v>
      </c>
      <c r="C166" s="379">
        <f>301*11.7*8/12+296*11.7*4/12</f>
        <v>3502.2</v>
      </c>
      <c r="D166" s="379">
        <v>0</v>
      </c>
    </row>
    <row r="167" spans="1:4" ht="15">
      <c r="A167" s="378" t="s">
        <v>1053</v>
      </c>
      <c r="B167" s="830">
        <f>18*9.4</f>
        <v>169.20000000000002</v>
      </c>
      <c r="C167" s="379">
        <f>16*9.4</f>
        <v>150.4</v>
      </c>
      <c r="D167" s="379">
        <f>16*9.4</f>
        <v>150.4</v>
      </c>
    </row>
    <row r="168" spans="1:4" ht="15">
      <c r="A168" s="378" t="s">
        <v>1054</v>
      </c>
      <c r="B168" s="831"/>
      <c r="C168" s="379">
        <v>707</v>
      </c>
      <c r="D168" s="379">
        <v>0</v>
      </c>
    </row>
    <row r="169" spans="1:4" ht="12.75">
      <c r="A169" s="390" t="s">
        <v>403</v>
      </c>
      <c r="B169" s="830">
        <f>SUM(B164:B168)</f>
        <v>34421.299999999996</v>
      </c>
      <c r="C169" s="379">
        <f>SUM(C164:C168)-1</f>
        <v>12118.6</v>
      </c>
      <c r="D169" s="379">
        <f>SUM(D164:D168)</f>
        <v>7350.4</v>
      </c>
    </row>
    <row r="170" spans="1:4" ht="12.75">
      <c r="A170" s="390" t="s">
        <v>404</v>
      </c>
      <c r="B170" s="831"/>
      <c r="C170" s="379"/>
      <c r="D170" s="379"/>
    </row>
    <row r="171" spans="1:4" ht="15">
      <c r="A171" s="378" t="s">
        <v>1055</v>
      </c>
      <c r="B171" s="831"/>
      <c r="C171" s="379"/>
      <c r="D171" s="379"/>
    </row>
    <row r="172" spans="1:4" ht="15">
      <c r="A172" s="378" t="s">
        <v>1056</v>
      </c>
      <c r="B172" s="830">
        <f>62*3920172/1000-1</f>
        <v>243049.664</v>
      </c>
      <c r="C172" s="379">
        <v>259313</v>
      </c>
      <c r="D172" s="379">
        <f>68*3620.169</f>
        <v>246171.492</v>
      </c>
    </row>
    <row r="173" spans="1:4" ht="15">
      <c r="A173" s="378" t="s">
        <v>407</v>
      </c>
      <c r="B173" s="830"/>
      <c r="C173" s="379"/>
      <c r="D173" s="379"/>
    </row>
    <row r="174" spans="1:4" ht="12.75">
      <c r="A174" s="384" t="s">
        <v>1057</v>
      </c>
      <c r="B174" s="830">
        <f>1083*4717/1000</f>
        <v>5108.511</v>
      </c>
      <c r="C174" s="379">
        <f>1083*4.897+1</f>
        <v>5304.451</v>
      </c>
      <c r="D174" s="379">
        <f>1083*4.897</f>
        <v>5303.451</v>
      </c>
    </row>
    <row r="175" spans="1:4" ht="12.75">
      <c r="A175" s="384" t="s">
        <v>1058</v>
      </c>
      <c r="B175" s="830">
        <f>84548*115/1000</f>
        <v>9723.02</v>
      </c>
      <c r="C175" s="379">
        <f>87133*0.138</f>
        <v>12024.354000000001</v>
      </c>
      <c r="D175" s="379">
        <f>82979*0.138</f>
        <v>11451.102</v>
      </c>
    </row>
    <row r="176" spans="1:4" ht="15">
      <c r="A176" s="378" t="s">
        <v>410</v>
      </c>
      <c r="B176" s="830"/>
      <c r="C176" s="379"/>
      <c r="D176" s="379"/>
    </row>
    <row r="177" spans="1:4" ht="12.75">
      <c r="A177" s="384" t="s">
        <v>1059</v>
      </c>
      <c r="B177" s="830">
        <f>3*500</f>
        <v>1500</v>
      </c>
      <c r="C177" s="379">
        <f>3*500</f>
        <v>1500</v>
      </c>
      <c r="D177" s="379">
        <f>3*500</f>
        <v>1500</v>
      </c>
    </row>
    <row r="178" spans="1:4" s="110" customFormat="1" ht="15">
      <c r="A178" s="378" t="s">
        <v>1060</v>
      </c>
      <c r="B178" s="830">
        <v>0</v>
      </c>
      <c r="C178" s="379">
        <v>0</v>
      </c>
      <c r="D178" s="379"/>
    </row>
    <row r="179" spans="1:4" ht="12.75">
      <c r="A179" s="390" t="s">
        <v>403</v>
      </c>
      <c r="B179" s="830">
        <f>SUM(B172:B178)+1</f>
        <v>259382.19499999998</v>
      </c>
      <c r="C179" s="379">
        <f>SUM(C172:C178)-1</f>
        <v>278140.805</v>
      </c>
      <c r="D179" s="379">
        <f>SUM(D172:D178)</f>
        <v>264426.045</v>
      </c>
    </row>
    <row r="180" spans="1:4" ht="12.75">
      <c r="A180" s="390" t="s">
        <v>1061</v>
      </c>
      <c r="B180" s="830">
        <f>B179+B169</f>
        <v>293803.495</v>
      </c>
      <c r="C180" s="379">
        <f>C179+C169</f>
        <v>290259.40499999997</v>
      </c>
      <c r="D180" s="379">
        <f>D179+D169</f>
        <v>271776.445</v>
      </c>
    </row>
    <row r="181" spans="1:4" ht="12.75">
      <c r="A181" s="390" t="s">
        <v>1062</v>
      </c>
      <c r="B181" s="830">
        <f>B180+B156</f>
        <v>1468549.609666667</v>
      </c>
      <c r="C181" s="379">
        <f>C180+C156</f>
        <v>1444584.542</v>
      </c>
      <c r="D181" s="391">
        <f>D180+D156</f>
        <v>1282140.1896666666</v>
      </c>
    </row>
    <row r="182" spans="1:4" ht="15">
      <c r="A182" s="378"/>
      <c r="B182" s="830"/>
      <c r="C182" s="379"/>
      <c r="D182" s="391"/>
    </row>
    <row r="183" spans="1:4" ht="15">
      <c r="A183" s="378" t="s">
        <v>1063</v>
      </c>
      <c r="B183" s="830">
        <v>162581</v>
      </c>
      <c r="C183" s="379">
        <v>190789</v>
      </c>
      <c r="D183" s="379">
        <v>201552</v>
      </c>
    </row>
    <row r="184" spans="1:4" ht="12.75">
      <c r="A184" s="832" t="s">
        <v>1064</v>
      </c>
      <c r="B184" s="830">
        <v>220829</v>
      </c>
      <c r="C184" s="379">
        <v>241339</v>
      </c>
      <c r="D184" s="388">
        <v>207626</v>
      </c>
    </row>
    <row r="185" spans="1:4" ht="12.75">
      <c r="A185" s="390" t="s">
        <v>1062</v>
      </c>
      <c r="B185" s="830">
        <f>SUM(B181:B184)</f>
        <v>1851959.609666667</v>
      </c>
      <c r="C185" s="379">
        <f>SUM(C181:C184)</f>
        <v>1876712.542</v>
      </c>
      <c r="D185" s="391">
        <f>SUM(D181:D184)</f>
        <v>1691318.1896666666</v>
      </c>
    </row>
    <row r="232" ht="32.25" customHeight="1"/>
  </sheetData>
  <sheetProtection/>
  <mergeCells count="8">
    <mergeCell ref="A160:B160"/>
    <mergeCell ref="A161:D161"/>
    <mergeCell ref="A2:D2"/>
    <mergeCell ref="A3:D3"/>
    <mergeCell ref="A48:D48"/>
    <mergeCell ref="A99:D99"/>
    <mergeCell ref="A151:D151"/>
    <mergeCell ref="A158:B158"/>
  </mergeCells>
  <printOptions/>
  <pageMargins left="0.5513888888888889" right="0.5513888888888889" top="0.7875" bottom="0.7875" header="0.5118055555555556" footer="0.5118055555555556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1">
      <selection activeCell="C42" sqref="C42"/>
    </sheetView>
  </sheetViews>
  <sheetFormatPr defaultColWidth="9.140625" defaultRowHeight="12.75"/>
  <cols>
    <col min="1" max="1" width="60.57421875" style="0" customWidth="1"/>
    <col min="2" max="2" width="25.00390625" style="0" customWidth="1"/>
  </cols>
  <sheetData>
    <row r="1" ht="12.75">
      <c r="B1" t="s">
        <v>1065</v>
      </c>
    </row>
    <row r="5" spans="1:2" ht="15.75">
      <c r="A5" s="1485" t="s">
        <v>1066</v>
      </c>
      <c r="B5" s="1485"/>
    </row>
    <row r="9" ht="13.5" thickBot="1"/>
    <row r="10" spans="1:2" ht="13.5" thickBot="1">
      <c r="A10" s="1087" t="s">
        <v>5</v>
      </c>
      <c r="B10" s="1088" t="s">
        <v>1235</v>
      </c>
    </row>
    <row r="11" spans="1:2" ht="12.75">
      <c r="A11" s="1358"/>
      <c r="B11" s="1359"/>
    </row>
    <row r="12" spans="1:2" ht="12.75">
      <c r="A12" s="1079" t="s">
        <v>1067</v>
      </c>
      <c r="B12" s="1078"/>
    </row>
    <row r="13" spans="1:2" ht="12.75">
      <c r="A13" s="1079" t="s">
        <v>1068</v>
      </c>
      <c r="B13" s="1078"/>
    </row>
    <row r="14" spans="1:2" ht="12.75">
      <c r="A14" s="1077" t="s">
        <v>1069</v>
      </c>
      <c r="B14" s="1080">
        <v>209791</v>
      </c>
    </row>
    <row r="15" spans="1:2" ht="12.75">
      <c r="A15" s="1077" t="s">
        <v>1070</v>
      </c>
      <c r="B15" s="1080">
        <v>85018</v>
      </c>
    </row>
    <row r="16" spans="1:2" ht="12.75">
      <c r="A16" s="1077" t="s">
        <v>1071</v>
      </c>
      <c r="B16" s="1080">
        <v>40346</v>
      </c>
    </row>
    <row r="17" spans="1:2" ht="12.75">
      <c r="A17" s="1071" t="s">
        <v>1229</v>
      </c>
      <c r="B17" s="1080">
        <v>482530</v>
      </c>
    </row>
    <row r="18" spans="1:2" ht="12.75">
      <c r="A18" s="991" t="s">
        <v>1356</v>
      </c>
      <c r="B18" s="1080">
        <v>416667</v>
      </c>
    </row>
    <row r="19" spans="1:2" ht="12.75">
      <c r="A19" s="928" t="s">
        <v>1357</v>
      </c>
      <c r="B19" s="1198">
        <v>90605</v>
      </c>
    </row>
    <row r="20" spans="1:2" ht="12.75">
      <c r="A20" s="1071" t="s">
        <v>1230</v>
      </c>
      <c r="B20" s="1080">
        <v>79869</v>
      </c>
    </row>
    <row r="21" spans="1:2" ht="12.75">
      <c r="A21" s="1071" t="s">
        <v>1231</v>
      </c>
      <c r="B21" s="1080">
        <v>3865</v>
      </c>
    </row>
    <row r="22" spans="1:2" ht="12.75">
      <c r="A22" s="1071" t="s">
        <v>1232</v>
      </c>
      <c r="B22" s="1081">
        <v>90101</v>
      </c>
    </row>
    <row r="23" spans="1:2" ht="12.75">
      <c r="A23" s="1329" t="s">
        <v>1360</v>
      </c>
      <c r="B23" s="1081">
        <v>10005</v>
      </c>
    </row>
    <row r="24" spans="1:4" ht="12.75">
      <c r="A24" s="1082" t="s">
        <v>1234</v>
      </c>
      <c r="B24" s="1081">
        <v>260</v>
      </c>
      <c r="D24" s="711"/>
    </row>
    <row r="25" spans="1:4" ht="12.75">
      <c r="A25" s="1196" t="s">
        <v>1279</v>
      </c>
      <c r="B25" s="1081">
        <f>'2_f_h_sz_ melléklet'!C148</f>
        <v>801686</v>
      </c>
      <c r="D25" s="711"/>
    </row>
    <row r="26" spans="1:4" ht="12.75">
      <c r="A26" s="1355" t="s">
        <v>1354</v>
      </c>
      <c r="B26" s="1081">
        <v>1900</v>
      </c>
      <c r="D26" s="711"/>
    </row>
    <row r="27" spans="1:4" ht="12.75">
      <c r="A27" s="1357" t="s">
        <v>1355</v>
      </c>
      <c r="B27" s="1360">
        <v>7872</v>
      </c>
      <c r="D27" s="711"/>
    </row>
    <row r="28" spans="1:4" ht="12.75">
      <c r="A28" s="984" t="s">
        <v>1358</v>
      </c>
      <c r="B28" s="1361">
        <v>7084</v>
      </c>
      <c r="D28" s="711"/>
    </row>
    <row r="29" spans="1:4" ht="12.75">
      <c r="A29" s="984" t="s">
        <v>1359</v>
      </c>
      <c r="B29" s="1362">
        <v>9875</v>
      </c>
      <c r="D29" s="711"/>
    </row>
    <row r="30" spans="1:2" ht="12.75">
      <c r="A30" s="1077"/>
      <c r="B30" s="1081"/>
    </row>
    <row r="31" spans="1:2" ht="12.75">
      <c r="A31" s="1079" t="s">
        <v>1072</v>
      </c>
      <c r="B31" s="1080"/>
    </row>
    <row r="32" spans="1:2" ht="13.5" thickBot="1">
      <c r="A32" s="1363" t="s">
        <v>1073</v>
      </c>
      <c r="B32" s="1364">
        <f>831326+518053+90606+25501-7955</f>
        <v>1457531</v>
      </c>
    </row>
    <row r="33" spans="1:3" ht="13.5" thickBot="1">
      <c r="A33" s="1089" t="s">
        <v>1074</v>
      </c>
      <c r="B33" s="1090">
        <f>SUM(B14:B32)</f>
        <v>3795005</v>
      </c>
      <c r="C33" s="711"/>
    </row>
    <row r="34" spans="1:2" ht="12.75">
      <c r="A34" s="1085"/>
      <c r="B34" s="1086"/>
    </row>
    <row r="35" spans="1:2" ht="12.75">
      <c r="A35" s="1077"/>
      <c r="B35" s="1078"/>
    </row>
    <row r="36" spans="1:2" ht="12.75">
      <c r="A36" s="1077"/>
      <c r="B36" s="1078"/>
    </row>
    <row r="37" spans="1:2" ht="12.75">
      <c r="A37" s="1079" t="s">
        <v>1075</v>
      </c>
      <c r="B37" s="1078"/>
    </row>
    <row r="38" spans="1:2" ht="12.75">
      <c r="A38" s="1077" t="s">
        <v>1069</v>
      </c>
      <c r="B38" s="1080">
        <v>331289</v>
      </c>
    </row>
    <row r="39" spans="1:2" ht="12.75">
      <c r="A39" s="1077" t="s">
        <v>1070</v>
      </c>
      <c r="B39" s="1080">
        <v>97430</v>
      </c>
    </row>
    <row r="40" spans="1:2" ht="12.75">
      <c r="A40" s="1083" t="s">
        <v>1071</v>
      </c>
      <c r="B40" s="1080">
        <v>55206</v>
      </c>
    </row>
    <row r="41" spans="1:2" ht="12.75">
      <c r="A41" s="1071" t="s">
        <v>1229</v>
      </c>
      <c r="B41" s="1084">
        <v>536144</v>
      </c>
    </row>
    <row r="42" spans="1:2" ht="12.75">
      <c r="A42" s="1329" t="s">
        <v>1293</v>
      </c>
      <c r="B42" s="1084">
        <v>970196</v>
      </c>
    </row>
    <row r="43" spans="1:2" ht="12.75">
      <c r="A43" s="1329" t="s">
        <v>1294</v>
      </c>
      <c r="B43" s="1084">
        <v>226513</v>
      </c>
    </row>
    <row r="44" spans="1:2" ht="12.75">
      <c r="A44" s="1071" t="s">
        <v>1230</v>
      </c>
      <c r="B44" s="1084">
        <v>122323</v>
      </c>
    </row>
    <row r="45" spans="1:2" ht="12.75">
      <c r="A45" s="1071" t="s">
        <v>1231</v>
      </c>
      <c r="B45" s="1084">
        <v>3865</v>
      </c>
    </row>
    <row r="46" spans="1:2" ht="12.75">
      <c r="A46" s="1071" t="s">
        <v>1232</v>
      </c>
      <c r="B46" s="1084">
        <v>120135</v>
      </c>
    </row>
    <row r="47" spans="1:2" ht="12.75">
      <c r="A47" s="1329" t="s">
        <v>1360</v>
      </c>
      <c r="B47" s="1084">
        <v>10005</v>
      </c>
    </row>
    <row r="48" spans="1:2" ht="12.75">
      <c r="A48" s="1082" t="s">
        <v>1234</v>
      </c>
      <c r="B48" s="1084">
        <v>260</v>
      </c>
    </row>
    <row r="49" spans="1:2" ht="12.75">
      <c r="A49" s="1197" t="s">
        <v>1279</v>
      </c>
      <c r="B49" s="1198">
        <f>'3_sz_ melléklet'!B34+'4_sz_ melléklet'!B47</f>
        <v>1319739</v>
      </c>
    </row>
    <row r="50" spans="1:2" ht="12.75">
      <c r="A50" s="1355" t="s">
        <v>1354</v>
      </c>
      <c r="B50" s="1356">
        <v>1900</v>
      </c>
    </row>
    <row r="51" spans="1:2" ht="12.75">
      <c r="A51" s="1365" t="s">
        <v>1361</v>
      </c>
      <c r="B51" s="1356"/>
    </row>
    <row r="52" spans="1:2" ht="12.75">
      <c r="A52" s="1366" t="s">
        <v>1358</v>
      </c>
      <c r="B52" s="1356"/>
    </row>
    <row r="53" spans="1:2" ht="12.75">
      <c r="A53" s="1366" t="s">
        <v>1359</v>
      </c>
      <c r="B53" s="1356"/>
    </row>
    <row r="54" spans="1:2" ht="13.5" thickBot="1">
      <c r="A54" s="1091"/>
      <c r="B54" s="1092"/>
    </row>
    <row r="55" spans="1:2" ht="13.5" thickBot="1">
      <c r="A55" s="1089" t="s">
        <v>1076</v>
      </c>
      <c r="B55" s="1090">
        <f>SUM(B38:B54)</f>
        <v>3795005</v>
      </c>
    </row>
  </sheetData>
  <sheetProtection/>
  <mergeCells count="1">
    <mergeCell ref="A5:B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ht="12.75">
      <c r="B1" s="554" t="s">
        <v>1077</v>
      </c>
    </row>
    <row r="4" spans="1:2" ht="18">
      <c r="A4" s="1449" t="s">
        <v>1078</v>
      </c>
      <c r="B4" s="1449"/>
    </row>
    <row r="7" ht="13.5" thickBot="1">
      <c r="B7" s="441" t="s">
        <v>1079</v>
      </c>
    </row>
    <row r="8" spans="1:2" ht="16.5" thickBot="1">
      <c r="A8" s="1110" t="s">
        <v>5</v>
      </c>
      <c r="B8" s="1111" t="s">
        <v>529</v>
      </c>
    </row>
    <row r="9" spans="1:2" ht="15.75">
      <c r="A9" s="1112"/>
      <c r="B9" s="1113"/>
    </row>
    <row r="10" spans="1:2" ht="15.75">
      <c r="A10" s="1112" t="s">
        <v>1080</v>
      </c>
      <c r="B10" s="1113"/>
    </row>
    <row r="11" spans="1:2" ht="15.75">
      <c r="A11" s="1112" t="s">
        <v>1081</v>
      </c>
      <c r="B11" s="1113">
        <f>2855-12</f>
        <v>2843</v>
      </c>
    </row>
    <row r="12" spans="1:2" ht="15.75">
      <c r="A12" s="1112" t="s">
        <v>1082</v>
      </c>
      <c r="B12" s="1113">
        <v>5000</v>
      </c>
    </row>
    <row r="13" spans="1:2" ht="15.75">
      <c r="A13" s="1112" t="s">
        <v>1083</v>
      </c>
      <c r="B13" s="1113">
        <f>1000-1000</f>
        <v>0</v>
      </c>
    </row>
    <row r="14" spans="1:2" ht="15.75">
      <c r="A14" s="1112" t="s">
        <v>1084</v>
      </c>
      <c r="B14" s="1113">
        <v>1896</v>
      </c>
    </row>
    <row r="15" spans="1:2" ht="15.75">
      <c r="A15" s="1112" t="s">
        <v>1085</v>
      </c>
      <c r="B15" s="1113">
        <v>496</v>
      </c>
    </row>
    <row r="16" spans="1:2" ht="15.75">
      <c r="A16" s="1112" t="s">
        <v>1086</v>
      </c>
      <c r="B16" s="1113">
        <f>10000+1000+12+10741</f>
        <v>21753</v>
      </c>
    </row>
    <row r="17" spans="1:2" ht="15.75">
      <c r="A17" s="1112" t="s">
        <v>1087</v>
      </c>
      <c r="B17" s="1113">
        <v>10615</v>
      </c>
    </row>
    <row r="18" spans="1:3" ht="15.75">
      <c r="A18" s="1112" t="s">
        <v>1088</v>
      </c>
      <c r="B18" s="1113">
        <f>SUM(B11:B17)*0.25</f>
        <v>10650.75</v>
      </c>
      <c r="C18" s="711"/>
    </row>
    <row r="19" spans="1:2" ht="15.75">
      <c r="A19" s="1112" t="s">
        <v>1089</v>
      </c>
      <c r="B19" s="1113"/>
    </row>
    <row r="20" spans="1:2" ht="15.75">
      <c r="A20" s="1114" t="s">
        <v>1090</v>
      </c>
      <c r="B20" s="1115">
        <f>SUM(B11:B19)</f>
        <v>53253.75</v>
      </c>
    </row>
    <row r="21" spans="1:2" ht="15.75">
      <c r="A21" s="1114"/>
      <c r="B21" s="1115"/>
    </row>
    <row r="22" spans="1:2" ht="15.75">
      <c r="A22" s="1112" t="s">
        <v>630</v>
      </c>
      <c r="B22" s="1113">
        <f>'4_sz_ melléklet'!B86</f>
        <v>175341</v>
      </c>
    </row>
    <row r="23" spans="1:2" ht="15.75">
      <c r="A23" s="1112" t="s">
        <v>632</v>
      </c>
      <c r="B23" s="1113">
        <f>'3_sz_ melléklet'!B32</f>
        <v>48563</v>
      </c>
    </row>
    <row r="24" spans="1:2" ht="15.75">
      <c r="A24" s="1114" t="s">
        <v>1091</v>
      </c>
      <c r="B24" s="1115">
        <f>SUM(B22:B23)</f>
        <v>223904</v>
      </c>
    </row>
    <row r="25" spans="1:2" ht="16.5" thickBot="1">
      <c r="A25" s="1116"/>
      <c r="B25" s="1117"/>
    </row>
    <row r="26" spans="1:2" ht="16.5" thickBot="1">
      <c r="A26" s="1118" t="s">
        <v>1092</v>
      </c>
      <c r="B26" s="1119">
        <f>B20+B24</f>
        <v>277157.75</v>
      </c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5" ht="12.75">
      <c r="A2" s="1"/>
      <c r="B2" s="1"/>
      <c r="C2" s="1"/>
      <c r="D2" s="1447" t="s">
        <v>1093</v>
      </c>
      <c r="E2" s="1447"/>
    </row>
    <row r="3" spans="1:5" ht="12.75">
      <c r="A3" s="1"/>
      <c r="B3" s="1"/>
      <c r="C3" s="1"/>
      <c r="D3" s="612"/>
      <c r="E3" s="612"/>
    </row>
    <row r="4" spans="1:5" ht="15.75">
      <c r="A4" s="1385" t="s">
        <v>1094</v>
      </c>
      <c r="B4" s="1385"/>
      <c r="C4" s="1385"/>
      <c r="D4" s="1385"/>
      <c r="E4" s="1385"/>
    </row>
    <row r="5" spans="1:5" ht="12.75">
      <c r="A5" s="1486" t="s">
        <v>1095</v>
      </c>
      <c r="B5" s="1486"/>
      <c r="C5" s="1486"/>
      <c r="D5" s="1486"/>
      <c r="E5" s="1486"/>
    </row>
    <row r="6" spans="1:5" ht="22.5" customHeight="1">
      <c r="A6" s="1486"/>
      <c r="B6" s="1486"/>
      <c r="C6" s="1486"/>
      <c r="D6" s="1486"/>
      <c r="E6" s="1486"/>
    </row>
    <row r="7" spans="1:5" ht="15.75">
      <c r="A7" s="140"/>
      <c r="B7" s="140"/>
      <c r="C7" s="140"/>
      <c r="D7" s="140"/>
      <c r="E7" s="140"/>
    </row>
    <row r="8" spans="1:5" ht="15.75">
      <c r="A8" s="834" t="s">
        <v>743</v>
      </c>
      <c r="B8" s="140"/>
      <c r="C8" s="140"/>
      <c r="D8" s="140"/>
      <c r="E8" s="140"/>
    </row>
    <row r="9" spans="1:5" ht="15.75">
      <c r="A9" s="140"/>
      <c r="B9" s="140"/>
      <c r="C9" s="140"/>
      <c r="D9" s="1487" t="s">
        <v>1096</v>
      </c>
      <c r="E9" s="1487"/>
    </row>
    <row r="10" spans="1:5" ht="31.5">
      <c r="A10" s="835" t="s">
        <v>5</v>
      </c>
      <c r="B10" s="836" t="s">
        <v>1097</v>
      </c>
      <c r="C10" s="836" t="s">
        <v>1098</v>
      </c>
      <c r="D10" s="836" t="s">
        <v>1099</v>
      </c>
      <c r="E10" s="836" t="s">
        <v>1100</v>
      </c>
    </row>
    <row r="11" spans="1:5" ht="30">
      <c r="A11" s="762" t="s">
        <v>1101</v>
      </c>
      <c r="B11" s="833">
        <f>'2_a_d_sz_ melléklet'!B51</f>
        <v>1000</v>
      </c>
      <c r="C11" s="833">
        <v>0</v>
      </c>
      <c r="D11" s="833">
        <v>0</v>
      </c>
      <c r="E11" s="837">
        <v>0</v>
      </c>
    </row>
    <row r="12" spans="1:5" ht="30">
      <c r="A12" s="762" t="s">
        <v>1102</v>
      </c>
      <c r="B12" s="833"/>
      <c r="C12" s="833"/>
      <c r="D12" s="833"/>
      <c r="E12" s="837">
        <v>0</v>
      </c>
    </row>
    <row r="13" spans="1:5" ht="45">
      <c r="A13" s="762" t="s">
        <v>1103</v>
      </c>
      <c r="B13" s="833"/>
      <c r="C13" s="833"/>
      <c r="D13" s="833"/>
      <c r="E13" s="837">
        <v>0</v>
      </c>
    </row>
    <row r="14" spans="1:5" ht="15.75">
      <c r="A14" s="838" t="s">
        <v>1104</v>
      </c>
      <c r="B14" s="833"/>
      <c r="C14" s="833"/>
      <c r="D14" s="833"/>
      <c r="E14" s="837">
        <v>0</v>
      </c>
    </row>
    <row r="15" spans="1:5" ht="20.25" customHeight="1">
      <c r="A15" s="762" t="s">
        <v>1105</v>
      </c>
      <c r="B15" s="833"/>
      <c r="C15" s="833"/>
      <c r="D15" s="833"/>
      <c r="E15" s="837">
        <v>0</v>
      </c>
    </row>
    <row r="16" spans="1:5" ht="15.75">
      <c r="A16" s="817" t="s">
        <v>1074</v>
      </c>
      <c r="B16" s="833">
        <f>SUM(B11:B15)</f>
        <v>1000</v>
      </c>
      <c r="C16" s="833">
        <f>SUM(C11:C15)</f>
        <v>0</v>
      </c>
      <c r="D16" s="833">
        <f>SUM(D11:D15)</f>
        <v>0</v>
      </c>
      <c r="E16" s="837">
        <v>0</v>
      </c>
    </row>
    <row r="17" spans="1:5" ht="15.75">
      <c r="A17" s="140"/>
      <c r="B17" s="140"/>
      <c r="C17" s="140"/>
      <c r="D17" s="140"/>
      <c r="E17" s="140"/>
    </row>
    <row r="18" spans="1:5" ht="15.75">
      <c r="A18" s="140"/>
      <c r="B18" s="140"/>
      <c r="C18" s="140"/>
      <c r="D18" s="140"/>
      <c r="E18" s="140"/>
    </row>
    <row r="19" spans="1:5" ht="15.75">
      <c r="A19" s="834" t="s">
        <v>747</v>
      </c>
      <c r="B19" s="140"/>
      <c r="C19" s="140"/>
      <c r="D19" s="140"/>
      <c r="E19" s="140"/>
    </row>
    <row r="20" spans="1:5" ht="15.75">
      <c r="A20" s="140"/>
      <c r="B20" s="140"/>
      <c r="C20" s="140"/>
      <c r="D20" s="1487" t="s">
        <v>1096</v>
      </c>
      <c r="E20" s="1487"/>
    </row>
    <row r="21" spans="1:5" ht="31.5">
      <c r="A21" s="835" t="s">
        <v>5</v>
      </c>
      <c r="B21" s="836" t="s">
        <v>1097</v>
      </c>
      <c r="C21" s="836" t="s">
        <v>1098</v>
      </c>
      <c r="D21" s="836" t="s">
        <v>1099</v>
      </c>
      <c r="E21" s="836" t="s">
        <v>1100</v>
      </c>
    </row>
    <row r="22" spans="1:5" ht="30">
      <c r="A22" s="762" t="s">
        <v>1106</v>
      </c>
      <c r="B22" s="833">
        <v>1000</v>
      </c>
      <c r="C22" s="833">
        <v>0</v>
      </c>
      <c r="D22" s="833">
        <v>0</v>
      </c>
      <c r="E22" s="837">
        <v>0</v>
      </c>
    </row>
    <row r="23" spans="1:5" ht="15.75">
      <c r="A23" s="838" t="s">
        <v>1107</v>
      </c>
      <c r="B23" s="833"/>
      <c r="C23" s="833"/>
      <c r="D23" s="833"/>
      <c r="E23" s="837">
        <v>0</v>
      </c>
    </row>
    <row r="24" spans="1:5" ht="49.5" customHeight="1">
      <c r="A24" s="762" t="s">
        <v>1108</v>
      </c>
      <c r="B24" s="833"/>
      <c r="C24" s="833"/>
      <c r="D24" s="833"/>
      <c r="E24" s="837">
        <v>0</v>
      </c>
    </row>
    <row r="25" spans="1:5" ht="60">
      <c r="A25" s="762" t="s">
        <v>1109</v>
      </c>
      <c r="B25" s="833"/>
      <c r="C25" s="833"/>
      <c r="D25" s="833"/>
      <c r="E25" s="837">
        <v>0</v>
      </c>
    </row>
    <row r="26" spans="1:5" ht="15.75">
      <c r="A26" s="838" t="s">
        <v>1110</v>
      </c>
      <c r="B26" s="833"/>
      <c r="C26" s="833"/>
      <c r="D26" s="833"/>
      <c r="E26" s="837">
        <v>0</v>
      </c>
    </row>
    <row r="27" spans="1:5" ht="15.75">
      <c r="A27" s="839" t="s">
        <v>1111</v>
      </c>
      <c r="B27" s="833"/>
      <c r="C27" s="833"/>
      <c r="D27" s="833"/>
      <c r="E27" s="837">
        <v>0</v>
      </c>
    </row>
    <row r="28" spans="1:5" ht="75">
      <c r="A28" s="839" t="s">
        <v>1112</v>
      </c>
      <c r="B28" s="840"/>
      <c r="C28" s="833"/>
      <c r="D28" s="833"/>
      <c r="E28" s="837">
        <v>0</v>
      </c>
    </row>
    <row r="29" spans="1:5" ht="45">
      <c r="A29" s="762" t="s">
        <v>1113</v>
      </c>
      <c r="B29" s="833"/>
      <c r="C29" s="833"/>
      <c r="D29" s="833"/>
      <c r="E29" s="837">
        <v>0</v>
      </c>
    </row>
    <row r="30" spans="1:5" ht="15.75">
      <c r="A30" s="817" t="s">
        <v>1114</v>
      </c>
      <c r="B30" s="833">
        <f>SUM(B22:B29)</f>
        <v>1000</v>
      </c>
      <c r="C30" s="833">
        <f>SUM(C22:C29)</f>
        <v>0</v>
      </c>
      <c r="D30" s="833">
        <f>SUM(D22:D29)</f>
        <v>0</v>
      </c>
      <c r="E30" s="837">
        <v>0</v>
      </c>
    </row>
    <row r="31" spans="1:5" ht="15.75">
      <c r="A31" s="140"/>
      <c r="B31" s="140"/>
      <c r="C31" s="140"/>
      <c r="D31" s="140"/>
      <c r="E31" s="140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5">
    <mergeCell ref="D2:E2"/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28">
      <selection activeCell="C22" sqref="C22"/>
    </sheetView>
  </sheetViews>
  <sheetFormatPr defaultColWidth="9.140625" defaultRowHeight="12.75"/>
  <cols>
    <col min="1" max="1" width="27.00390625" style="0" customWidth="1"/>
    <col min="2" max="2" width="12.00390625" style="0" customWidth="1"/>
    <col min="3" max="3" width="12.421875" style="0" customWidth="1"/>
    <col min="4" max="4" width="10.8515625" style="0" customWidth="1"/>
    <col min="5" max="5" width="12.7109375" style="0" customWidth="1"/>
    <col min="6" max="6" width="13.00390625" style="0" customWidth="1"/>
  </cols>
  <sheetData>
    <row r="1" spans="1:6" ht="15">
      <c r="A1" s="138"/>
      <c r="B1" s="138"/>
      <c r="C1" s="138"/>
      <c r="D1" s="138"/>
      <c r="E1" s="1384" t="s">
        <v>102</v>
      </c>
      <c r="F1" s="1384"/>
    </row>
    <row r="2" spans="1:6" ht="15.75">
      <c r="A2" s="1"/>
      <c r="B2" s="1"/>
      <c r="C2" s="1"/>
      <c r="D2" s="1"/>
      <c r="E2" s="140"/>
      <c r="F2" s="140"/>
    </row>
    <row r="3" spans="1:6" ht="15.75">
      <c r="A3" s="1385" t="s">
        <v>103</v>
      </c>
      <c r="B3" s="1385"/>
      <c r="C3" s="1385"/>
      <c r="D3" s="1385"/>
      <c r="E3" s="1385"/>
      <c r="F3" s="1385"/>
    </row>
    <row r="4" spans="1:6" ht="15.75">
      <c r="A4" s="1385" t="s">
        <v>104</v>
      </c>
      <c r="B4" s="1385"/>
      <c r="C4" s="1385"/>
      <c r="D4" s="1385"/>
      <c r="E4" s="1385"/>
      <c r="F4" s="1385"/>
    </row>
    <row r="5" spans="1:6" ht="12.75">
      <c r="A5" s="1"/>
      <c r="B5" s="1"/>
      <c r="C5" s="1"/>
      <c r="D5" s="1"/>
      <c r="E5" s="1"/>
      <c r="F5" s="1"/>
    </row>
    <row r="6" spans="1:6" ht="13.5" thickBot="1">
      <c r="A6" s="1"/>
      <c r="B6" s="1"/>
      <c r="C6" s="1"/>
      <c r="D6" s="1"/>
      <c r="E6" s="1"/>
      <c r="F6" s="142" t="s">
        <v>79</v>
      </c>
    </row>
    <row r="7" spans="1:6" ht="15.75" customHeight="1" thickBot="1">
      <c r="A7" s="143" t="s">
        <v>34</v>
      </c>
      <c r="B7" s="1386" t="s">
        <v>105</v>
      </c>
      <c r="C7" s="1386" t="s">
        <v>106</v>
      </c>
      <c r="D7" s="1386" t="s">
        <v>107</v>
      </c>
      <c r="E7" s="1386" t="s">
        <v>108</v>
      </c>
      <c r="F7" s="1387" t="s">
        <v>109</v>
      </c>
    </row>
    <row r="8" spans="1:6" ht="21" customHeight="1" thickBot="1">
      <c r="A8" s="144" t="s">
        <v>38</v>
      </c>
      <c r="B8" s="1386"/>
      <c r="C8" s="1386"/>
      <c r="D8" s="1386"/>
      <c r="E8" s="1386"/>
      <c r="F8" s="1387"/>
    </row>
    <row r="9" spans="1:6" ht="12.75">
      <c r="A9" s="145" t="s">
        <v>42</v>
      </c>
      <c r="B9" s="146"/>
      <c r="C9" s="147"/>
      <c r="D9" s="147"/>
      <c r="E9" s="148"/>
      <c r="F9" s="148"/>
    </row>
    <row r="10" spans="1:6" ht="12.75">
      <c r="A10" s="149" t="s">
        <v>43</v>
      </c>
      <c r="B10" s="150">
        <v>108884</v>
      </c>
      <c r="C10" s="151">
        <v>169845</v>
      </c>
      <c r="D10" s="26">
        <f>378846-1209</f>
        <v>377637</v>
      </c>
      <c r="E10" s="26">
        <f>143465+335+119+570+553+4920+337+152+130+200+495+500+530+2360+480+150+200+140+1185+469-125+300+67</f>
        <v>157532</v>
      </c>
      <c r="F10" s="26">
        <f>201017+737+6962+585+3413+338+509+247+130+33+675+1125+3385+1250+425+480+458+1100+360+1000+261</f>
        <v>224490</v>
      </c>
    </row>
    <row r="11" spans="1:6" ht="12.75">
      <c r="A11" s="149" t="s">
        <v>44</v>
      </c>
      <c r="B11" s="150">
        <v>24463</v>
      </c>
      <c r="C11" s="151">
        <v>44123</v>
      </c>
      <c r="D11" s="26">
        <f>99253-327</f>
        <v>98926</v>
      </c>
      <c r="E11" s="151">
        <f>37973+45+150+1329+82+44+31+29+135+130+577+36+120+12+315+9</f>
        <v>41017</v>
      </c>
      <c r="F11" s="151">
        <f>52365+100+1880+82+124+72+31+5+182+812+325+67-360+35</f>
        <v>55720</v>
      </c>
    </row>
    <row r="12" spans="1:6" ht="12.75">
      <c r="A12" s="149" t="s">
        <v>45</v>
      </c>
      <c r="B12" s="150">
        <v>131405</v>
      </c>
      <c r="C12" s="151">
        <f>15232-250</f>
        <v>14982</v>
      </c>
      <c r="D12" s="26">
        <f>34984-2034</f>
        <v>32950</v>
      </c>
      <c r="E12" s="151">
        <f>8814+16+37+322+96+2050+80+400+3076+1410+1400+469+769-1500</f>
        <v>17439</v>
      </c>
      <c r="F12" s="151">
        <f>22632+39+720+950+5258+53+3700+1400+1100+5100</f>
        <v>40952</v>
      </c>
    </row>
    <row r="13" spans="1:6" ht="12.75">
      <c r="A13" s="149" t="s">
        <v>110</v>
      </c>
      <c r="B13" s="150"/>
      <c r="C13" s="151"/>
      <c r="D13" s="26"/>
      <c r="E13" s="151"/>
      <c r="F13" s="151"/>
    </row>
    <row r="14" spans="1:6" ht="12.75">
      <c r="A14" s="149" t="s">
        <v>47</v>
      </c>
      <c r="B14" s="150">
        <v>0</v>
      </c>
      <c r="C14" s="151">
        <v>0</v>
      </c>
      <c r="D14" s="26">
        <v>2855</v>
      </c>
      <c r="E14" s="151">
        <f>95+338+180-300</f>
        <v>313</v>
      </c>
      <c r="F14" s="151">
        <f>358+445+2366+2440+381+1668+4256+2869-1100</f>
        <v>13683</v>
      </c>
    </row>
    <row r="15" spans="1:6" ht="12.75">
      <c r="A15" s="152" t="s">
        <v>85</v>
      </c>
      <c r="B15" s="153">
        <v>0</v>
      </c>
      <c r="C15" s="151">
        <v>0</v>
      </c>
      <c r="D15" s="26">
        <v>0</v>
      </c>
      <c r="E15" s="151">
        <v>0</v>
      </c>
      <c r="F15" s="151">
        <v>0</v>
      </c>
    </row>
    <row r="16" spans="1:6" ht="12.75">
      <c r="A16" s="152" t="s">
        <v>86</v>
      </c>
      <c r="B16" s="153"/>
      <c r="C16" s="151"/>
      <c r="D16" s="26"/>
      <c r="E16" s="151"/>
      <c r="F16" s="151"/>
    </row>
    <row r="17" spans="1:6" ht="12.75">
      <c r="A17" s="154" t="s">
        <v>87</v>
      </c>
      <c r="B17" s="153">
        <v>0</v>
      </c>
      <c r="C17" s="26">
        <v>0</v>
      </c>
      <c r="D17" s="26">
        <v>0</v>
      </c>
      <c r="E17" s="26">
        <v>0</v>
      </c>
      <c r="F17" s="26">
        <v>0</v>
      </c>
    </row>
    <row r="18" spans="1:6" ht="13.5" thickBot="1">
      <c r="A18" s="155"/>
      <c r="B18" s="156"/>
      <c r="C18" s="157"/>
      <c r="D18" s="157"/>
      <c r="E18" s="157"/>
      <c r="F18" s="157"/>
    </row>
    <row r="19" spans="1:6" s="110" customFormat="1" ht="13.5" thickBot="1">
      <c r="A19" s="158" t="s">
        <v>88</v>
      </c>
      <c r="B19" s="159">
        <f>SUM(B10:B15)</f>
        <v>264752</v>
      </c>
      <c r="C19" s="159">
        <f>SUM(C10:C15)</f>
        <v>228950</v>
      </c>
      <c r="D19" s="159">
        <f>SUM(D10:D15)</f>
        <v>512368</v>
      </c>
      <c r="E19" s="159">
        <f>SUM(E10:E15)</f>
        <v>216301</v>
      </c>
      <c r="F19" s="159">
        <f>SUM(F10:F15)</f>
        <v>334845</v>
      </c>
    </row>
    <row r="20" spans="1:6" ht="12.75">
      <c r="A20" s="160"/>
      <c r="B20" s="148"/>
      <c r="C20" s="161"/>
      <c r="D20" s="148"/>
      <c r="E20" s="162"/>
      <c r="F20" s="157"/>
    </row>
    <row r="21" spans="1:6" ht="12.75">
      <c r="A21" s="163" t="s">
        <v>51</v>
      </c>
      <c r="B21" s="151"/>
      <c r="C21" s="164"/>
      <c r="D21" s="151"/>
      <c r="E21" s="150"/>
      <c r="F21" s="151"/>
    </row>
    <row r="22" spans="1:6" ht="12.75">
      <c r="A22" s="149" t="s">
        <v>52</v>
      </c>
      <c r="B22" s="151">
        <v>0</v>
      </c>
      <c r="C22" s="164">
        <v>0</v>
      </c>
      <c r="D22" s="26">
        <f>'4_sz_ melléklet'!B27</f>
        <v>4018</v>
      </c>
      <c r="E22" s="150">
        <f>'4_sz_ melléklet'!B33</f>
        <v>4760</v>
      </c>
      <c r="F22" s="151">
        <f>'4_sz_ melléklet'!B39</f>
        <v>8900</v>
      </c>
    </row>
    <row r="23" spans="1:6" ht="12.75">
      <c r="A23" s="149" t="s">
        <v>89</v>
      </c>
      <c r="B23" s="151">
        <v>0</v>
      </c>
      <c r="C23" s="164">
        <v>0</v>
      </c>
      <c r="D23" s="26">
        <v>0</v>
      </c>
      <c r="E23" s="150">
        <f>'3_sz_ melléklet'!B21</f>
        <v>2500</v>
      </c>
      <c r="F23" s="151">
        <v>0</v>
      </c>
    </row>
    <row r="24" spans="1:6" ht="12.75">
      <c r="A24" s="149" t="s">
        <v>54</v>
      </c>
      <c r="B24" s="151">
        <v>0</v>
      </c>
      <c r="C24" s="164">
        <v>0</v>
      </c>
      <c r="D24" s="26">
        <v>0</v>
      </c>
      <c r="E24" s="150">
        <v>0</v>
      </c>
      <c r="F24" s="151">
        <v>0</v>
      </c>
    </row>
    <row r="25" spans="1:6" ht="12.75">
      <c r="A25" s="152" t="s">
        <v>111</v>
      </c>
      <c r="B25" s="26">
        <f>-B13</f>
        <v>0</v>
      </c>
      <c r="C25" s="26">
        <f>-C13</f>
        <v>0</v>
      </c>
      <c r="D25" s="26">
        <f>-D13</f>
        <v>0</v>
      </c>
      <c r="E25" s="26">
        <f>-E13</f>
        <v>0</v>
      </c>
      <c r="F25" s="26">
        <f>-F13</f>
        <v>0</v>
      </c>
    </row>
    <row r="26" spans="1:6" ht="13.5" thickBot="1">
      <c r="A26" s="1153" t="s">
        <v>1238</v>
      </c>
      <c r="B26" s="157"/>
      <c r="C26" s="165"/>
      <c r="D26" s="26"/>
      <c r="E26" s="156"/>
      <c r="F26" s="157"/>
    </row>
    <row r="27" spans="1:6" ht="13.5" thickBot="1">
      <c r="A27" s="158" t="s">
        <v>90</v>
      </c>
      <c r="B27" s="40">
        <f>B22+B23+B24+B25+B26</f>
        <v>0</v>
      </c>
      <c r="C27" s="40">
        <f>C22+C23+C24+C25+C26</f>
        <v>0</v>
      </c>
      <c r="D27" s="40">
        <f>D22+D23+D24+D25+D26</f>
        <v>4018</v>
      </c>
      <c r="E27" s="40">
        <f>E22+E23+E24+E25+E26</f>
        <v>7260</v>
      </c>
      <c r="F27" s="40">
        <f>F22+F23+F24+F25+F26</f>
        <v>8900</v>
      </c>
    </row>
    <row r="28" spans="1:6" ht="12.75">
      <c r="A28" s="160"/>
      <c r="B28" s="156"/>
      <c r="C28" s="148"/>
      <c r="D28" s="148"/>
      <c r="E28" s="166"/>
      <c r="F28" s="148"/>
    </row>
    <row r="29" spans="1:6" ht="12.75">
      <c r="A29" s="167" t="s">
        <v>91</v>
      </c>
      <c r="B29" s="156"/>
      <c r="C29" s="157"/>
      <c r="D29" s="157"/>
      <c r="E29" s="166"/>
      <c r="F29" s="157"/>
    </row>
    <row r="30" spans="1:6" ht="12.75">
      <c r="A30" s="154" t="s">
        <v>58</v>
      </c>
      <c r="B30" s="153">
        <v>0</v>
      </c>
      <c r="C30" s="26">
        <v>0</v>
      </c>
      <c r="D30" s="26">
        <v>0</v>
      </c>
      <c r="E30" s="168">
        <v>0</v>
      </c>
      <c r="F30" s="26">
        <v>0</v>
      </c>
    </row>
    <row r="31" spans="1:6" ht="13.5" thickBot="1">
      <c r="A31" s="169" t="s">
        <v>59</v>
      </c>
      <c r="B31" s="156">
        <v>0</v>
      </c>
      <c r="C31" s="170">
        <v>0</v>
      </c>
      <c r="D31" s="170">
        <v>0</v>
      </c>
      <c r="E31" s="166">
        <v>0</v>
      </c>
      <c r="F31" s="170">
        <v>0</v>
      </c>
    </row>
    <row r="32" spans="1:6" ht="13.5" thickBot="1">
      <c r="A32" s="158" t="s">
        <v>92</v>
      </c>
      <c r="B32" s="159">
        <f>B30+B31</f>
        <v>0</v>
      </c>
      <c r="C32" s="159">
        <f>C30+C31</f>
        <v>0</v>
      </c>
      <c r="D32" s="159">
        <f>D30+D31</f>
        <v>0</v>
      </c>
      <c r="E32" s="159">
        <f>E30+E31</f>
        <v>0</v>
      </c>
      <c r="F32" s="159">
        <f>F30+F31</f>
        <v>0</v>
      </c>
    </row>
    <row r="33" spans="1:6" ht="12.75">
      <c r="A33" s="160"/>
      <c r="B33" s="156"/>
      <c r="C33" s="148"/>
      <c r="D33" s="157"/>
      <c r="E33" s="157"/>
      <c r="F33" s="157"/>
    </row>
    <row r="34" spans="1:6" ht="12.75">
      <c r="A34" s="171" t="s">
        <v>93</v>
      </c>
      <c r="B34" s="156"/>
      <c r="C34" s="157"/>
      <c r="D34" s="157"/>
      <c r="E34" s="157"/>
      <c r="F34" s="157"/>
    </row>
    <row r="35" spans="1:6" ht="12.75">
      <c r="A35" s="154" t="s">
        <v>58</v>
      </c>
      <c r="B35" s="153">
        <v>0</v>
      </c>
      <c r="C35" s="26">
        <v>0</v>
      </c>
      <c r="D35" s="26">
        <v>0</v>
      </c>
      <c r="E35" s="26">
        <v>0</v>
      </c>
      <c r="F35" s="26">
        <v>0</v>
      </c>
    </row>
    <row r="36" spans="1:6" ht="13.5" thickBot="1">
      <c r="A36" s="172" t="s">
        <v>59</v>
      </c>
      <c r="B36" s="173">
        <v>0</v>
      </c>
      <c r="C36" s="174">
        <v>0</v>
      </c>
      <c r="D36" s="36">
        <v>0</v>
      </c>
      <c r="E36" s="36">
        <v>0</v>
      </c>
      <c r="F36" s="36">
        <v>0</v>
      </c>
    </row>
    <row r="37" spans="1:6" ht="13.5" thickBot="1">
      <c r="A37" s="158" t="s">
        <v>94</v>
      </c>
      <c r="B37" s="159">
        <f>B35+B36</f>
        <v>0</v>
      </c>
      <c r="C37" s="159">
        <f>C35+C36</f>
        <v>0</v>
      </c>
      <c r="D37" s="159">
        <f>D35+D36</f>
        <v>0</v>
      </c>
      <c r="E37" s="159">
        <f>E35+E36</f>
        <v>0</v>
      </c>
      <c r="F37" s="159">
        <f>F35+F36</f>
        <v>0</v>
      </c>
    </row>
    <row r="38" spans="1:6" ht="12.75">
      <c r="A38" s="160"/>
      <c r="B38" s="156"/>
      <c r="C38" s="156"/>
      <c r="D38" s="157"/>
      <c r="E38" s="157"/>
      <c r="F38" s="157"/>
    </row>
    <row r="39" spans="1:6" ht="12.75">
      <c r="A39" s="163" t="s">
        <v>63</v>
      </c>
      <c r="B39" s="150"/>
      <c r="C39" s="150"/>
      <c r="D39" s="151"/>
      <c r="E39" s="151"/>
      <c r="F39" s="151"/>
    </row>
    <row r="40" spans="1:6" ht="12.75">
      <c r="A40" s="149" t="s">
        <v>95</v>
      </c>
      <c r="B40" s="150">
        <v>0</v>
      </c>
      <c r="C40" s="151">
        <v>0</v>
      </c>
      <c r="D40" s="151">
        <v>0</v>
      </c>
      <c r="E40" s="151">
        <v>0</v>
      </c>
      <c r="F40" s="151">
        <v>0</v>
      </c>
    </row>
    <row r="41" spans="1:6" ht="13.5" thickBot="1">
      <c r="A41" s="175" t="s">
        <v>96</v>
      </c>
      <c r="B41" s="156">
        <v>0</v>
      </c>
      <c r="C41" s="170">
        <v>0</v>
      </c>
      <c r="D41" s="170">
        <v>0</v>
      </c>
      <c r="E41" s="170">
        <v>0</v>
      </c>
      <c r="F41" s="170">
        <v>0</v>
      </c>
    </row>
    <row r="42" spans="1:6" ht="13.5" thickBot="1">
      <c r="A42" s="160" t="s">
        <v>97</v>
      </c>
      <c r="B42" s="176">
        <f>B40+B41</f>
        <v>0</v>
      </c>
      <c r="C42" s="176">
        <f>C40+C41</f>
        <v>0</v>
      </c>
      <c r="D42" s="176">
        <f>D40+D41</f>
        <v>0</v>
      </c>
      <c r="E42" s="176">
        <f>E40+E41</f>
        <v>0</v>
      </c>
      <c r="F42" s="176">
        <f>F40+F41</f>
        <v>0</v>
      </c>
    </row>
    <row r="43" spans="1:6" ht="12.75">
      <c r="A43" s="160"/>
      <c r="B43" s="162"/>
      <c r="C43" s="148"/>
      <c r="D43" s="162"/>
      <c r="E43" s="148"/>
      <c r="F43" s="148"/>
    </row>
    <row r="44" spans="1:6" ht="12.75">
      <c r="A44" s="8" t="s">
        <v>67</v>
      </c>
      <c r="B44" s="177"/>
      <c r="C44" s="178"/>
      <c r="D44" s="179"/>
      <c r="E44" s="168"/>
      <c r="F44" s="26"/>
    </row>
    <row r="45" spans="1:6" ht="12.75">
      <c r="A45" s="180" t="s">
        <v>68</v>
      </c>
      <c r="B45" s="181">
        <v>0</v>
      </c>
      <c r="C45" s="181">
        <v>0</v>
      </c>
      <c r="D45" s="151">
        <v>0</v>
      </c>
      <c r="E45" s="164">
        <v>0</v>
      </c>
      <c r="F45" s="151">
        <v>0</v>
      </c>
    </row>
    <row r="46" spans="1:6" ht="13.5" thickBot="1">
      <c r="A46" s="16" t="s">
        <v>69</v>
      </c>
      <c r="B46" s="177">
        <v>0</v>
      </c>
      <c r="C46" s="182">
        <v>0</v>
      </c>
      <c r="D46" s="157">
        <v>0</v>
      </c>
      <c r="E46" s="166">
        <v>0</v>
      </c>
      <c r="F46" s="157">
        <v>0</v>
      </c>
    </row>
    <row r="47" spans="1:6" ht="13.5" thickBot="1">
      <c r="A47" s="158" t="s">
        <v>70</v>
      </c>
      <c r="B47" s="183">
        <f>B45+B46</f>
        <v>0</v>
      </c>
      <c r="C47" s="183">
        <f>C45+C46</f>
        <v>0</v>
      </c>
      <c r="D47" s="183">
        <f>D45+D46</f>
        <v>0</v>
      </c>
      <c r="E47" s="183">
        <f>E45+E46</f>
        <v>0</v>
      </c>
      <c r="F47" s="40">
        <f>F45+F46</f>
        <v>0</v>
      </c>
    </row>
    <row r="48" spans="1:6" ht="13.5" thickBot="1">
      <c r="A48" s="39"/>
      <c r="B48" s="184"/>
      <c r="C48" s="182"/>
      <c r="D48" s="157"/>
      <c r="E48" s="166"/>
      <c r="F48" s="157"/>
    </row>
    <row r="49" spans="1:6" s="110" customFormat="1" ht="13.5" thickBot="1">
      <c r="A49" s="185" t="s">
        <v>112</v>
      </c>
      <c r="B49" s="186">
        <f>B47+B42+B37+B32+B27+B19</f>
        <v>264752</v>
      </c>
      <c r="C49" s="186">
        <f>C47+C42+C37+C32+C27+C19</f>
        <v>228950</v>
      </c>
      <c r="D49" s="186">
        <f>D47+D42+D37+D32+D27+D19</f>
        <v>516386</v>
      </c>
      <c r="E49" s="186">
        <f>E47+E42+E37+E32+E27+E19</f>
        <v>223561</v>
      </c>
      <c r="F49" s="186">
        <f>F47+F42+F37+F32+F27+F19</f>
        <v>343745</v>
      </c>
    </row>
    <row r="50" spans="1:6" ht="13.5" thickBot="1">
      <c r="A50" s="187"/>
      <c r="B50" s="188"/>
      <c r="C50" s="182"/>
      <c r="D50" s="157"/>
      <c r="E50" s="166"/>
      <c r="F50" s="157"/>
    </row>
    <row r="51" spans="1:6" ht="13.5" thickBot="1">
      <c r="A51" s="167" t="s">
        <v>113</v>
      </c>
      <c r="B51" s="182">
        <v>0</v>
      </c>
      <c r="C51" s="184">
        <v>0</v>
      </c>
      <c r="D51" s="189">
        <v>0</v>
      </c>
      <c r="E51" s="190">
        <v>0</v>
      </c>
      <c r="F51" s="189">
        <v>0</v>
      </c>
    </row>
    <row r="52" spans="1:6" ht="13.5" thickBot="1">
      <c r="A52" s="191"/>
      <c r="B52" s="184"/>
      <c r="C52" s="182"/>
      <c r="D52" s="157"/>
      <c r="E52" s="166"/>
      <c r="F52" s="157"/>
    </row>
    <row r="53" spans="1:6" ht="13.5" thickBot="1">
      <c r="A53" s="192" t="s">
        <v>101</v>
      </c>
      <c r="B53" s="193">
        <f>B49+B51</f>
        <v>264752</v>
      </c>
      <c r="C53" s="193">
        <f>C49+C51</f>
        <v>228950</v>
      </c>
      <c r="D53" s="193">
        <f>D49+D51</f>
        <v>516386</v>
      </c>
      <c r="E53" s="193">
        <f>E49+E51</f>
        <v>223561</v>
      </c>
      <c r="F53" s="186">
        <f>F49+F51</f>
        <v>343745</v>
      </c>
    </row>
    <row r="54" spans="1:6" ht="12.75">
      <c r="A54" s="1388">
        <v>2</v>
      </c>
      <c r="B54" s="1388"/>
      <c r="C54" s="1388"/>
      <c r="D54" s="1388"/>
      <c r="E54" s="1388"/>
      <c r="F54" s="1388"/>
    </row>
    <row r="55" spans="1:6" ht="15">
      <c r="A55" s="1384" t="s">
        <v>114</v>
      </c>
      <c r="B55" s="1384"/>
      <c r="C55" s="1384"/>
      <c r="D55" s="1384"/>
      <c r="E55" s="1384"/>
      <c r="F55" s="1384"/>
    </row>
    <row r="56" spans="1:6" ht="15.75">
      <c r="A56" s="1385" t="s">
        <v>115</v>
      </c>
      <c r="B56" s="1385"/>
      <c r="C56" s="1385"/>
      <c r="D56" s="1385"/>
      <c r="E56" s="1385"/>
      <c r="F56" s="1385"/>
    </row>
    <row r="57" spans="1:6" ht="15.75">
      <c r="A57" s="1385" t="s">
        <v>104</v>
      </c>
      <c r="B57" s="1385"/>
      <c r="C57" s="1385"/>
      <c r="D57" s="1385"/>
      <c r="E57" s="1385"/>
      <c r="F57" s="1385"/>
    </row>
    <row r="58" spans="1:6" ht="13.5" thickBot="1">
      <c r="A58" s="1"/>
      <c r="B58" s="1"/>
      <c r="C58" s="1"/>
      <c r="D58" s="1"/>
      <c r="E58" s="142" t="s">
        <v>79</v>
      </c>
      <c r="F58" s="142"/>
    </row>
    <row r="59" spans="1:6" ht="63" customHeight="1" thickBot="1">
      <c r="A59" s="196" t="s">
        <v>116</v>
      </c>
      <c r="B59" s="197" t="s">
        <v>117</v>
      </c>
      <c r="C59" s="198" t="s">
        <v>1177</v>
      </c>
      <c r="D59" s="199" t="s">
        <v>118</v>
      </c>
      <c r="E59" s="198" t="s">
        <v>119</v>
      </c>
      <c r="F59" s="195"/>
    </row>
    <row r="60" spans="1:6" ht="15">
      <c r="A60" s="145" t="s">
        <v>42</v>
      </c>
      <c r="B60" s="147"/>
      <c r="C60" s="200"/>
      <c r="D60" s="201"/>
      <c r="E60" s="201"/>
      <c r="F60" s="139"/>
    </row>
    <row r="61" spans="1:6" ht="15.75">
      <c r="A61" s="149" t="s">
        <v>43</v>
      </c>
      <c r="B61" s="151">
        <f>77682+2433+1102+4787+659+374+1400+60+551+900+1146+451</f>
        <v>91545</v>
      </c>
      <c r="C61" s="177">
        <f aca="true" t="shared" si="0" ref="C61:C68">B61+F10+E10+D10+C10+B10</f>
        <v>1129933</v>
      </c>
      <c r="D61" s="202">
        <f>510+30</f>
        <v>540</v>
      </c>
      <c r="E61" s="202">
        <f>D61+C61</f>
        <v>1130473</v>
      </c>
      <c r="F61" s="141"/>
    </row>
    <row r="62" spans="1:6" ht="15.75">
      <c r="A62" s="149" t="s">
        <v>44</v>
      </c>
      <c r="B62" s="151">
        <f>20252+328+294+1293+108+182+16+147+127+304+61</f>
        <v>23112</v>
      </c>
      <c r="C62" s="177">
        <f t="shared" si="0"/>
        <v>287361</v>
      </c>
      <c r="D62" s="202">
        <v>137</v>
      </c>
      <c r="E62" s="202">
        <f aca="true" t="shared" si="1" ref="E62:E67">D62+C62</f>
        <v>287498</v>
      </c>
      <c r="F62" s="141"/>
    </row>
    <row r="63" spans="1:6" ht="12.75">
      <c r="A63" s="149" t="s">
        <v>45</v>
      </c>
      <c r="B63" s="151">
        <f>188856+3463+1970</f>
        <v>194289</v>
      </c>
      <c r="C63" s="177">
        <f t="shared" si="0"/>
        <v>432017</v>
      </c>
      <c r="D63" s="202">
        <f>724+367+170</f>
        <v>1261</v>
      </c>
      <c r="E63" s="202">
        <f t="shared" si="1"/>
        <v>433278</v>
      </c>
      <c r="F63" s="142"/>
    </row>
    <row r="64" spans="1:6" ht="12.75">
      <c r="A64" s="149" t="s">
        <v>110</v>
      </c>
      <c r="B64" s="151"/>
      <c r="C64" s="177">
        <f t="shared" si="0"/>
        <v>0</v>
      </c>
      <c r="D64" s="202"/>
      <c r="E64" s="202">
        <f t="shared" si="1"/>
        <v>0</v>
      </c>
      <c r="F64" s="142"/>
    </row>
    <row r="65" spans="1:6" ht="12.75">
      <c r="A65" s="149" t="s">
        <v>47</v>
      </c>
      <c r="B65" s="151"/>
      <c r="C65" s="177">
        <f t="shared" si="0"/>
        <v>16851</v>
      </c>
      <c r="D65" s="202"/>
      <c r="E65" s="202">
        <f t="shared" si="1"/>
        <v>16851</v>
      </c>
      <c r="F65" s="1"/>
    </row>
    <row r="66" spans="1:6" ht="12.75">
      <c r="A66" s="152" t="s">
        <v>85</v>
      </c>
      <c r="B66" s="151">
        <v>0</v>
      </c>
      <c r="C66" s="177">
        <f t="shared" si="0"/>
        <v>0</v>
      </c>
      <c r="D66" s="202">
        <v>0</v>
      </c>
      <c r="E66" s="202">
        <f t="shared" si="1"/>
        <v>0</v>
      </c>
      <c r="F66" s="1"/>
    </row>
    <row r="67" spans="1:6" ht="12.75">
      <c r="A67" s="152" t="s">
        <v>86</v>
      </c>
      <c r="B67" s="151"/>
      <c r="C67" s="177">
        <f t="shared" si="0"/>
        <v>0</v>
      </c>
      <c r="D67" s="202"/>
      <c r="E67" s="202">
        <f t="shared" si="1"/>
        <v>0</v>
      </c>
      <c r="F67" s="1"/>
    </row>
    <row r="68" spans="1:6" ht="12.75">
      <c r="A68" s="154" t="s">
        <v>87</v>
      </c>
      <c r="B68" s="26">
        <v>0</v>
      </c>
      <c r="C68" s="177">
        <f t="shared" si="0"/>
        <v>0</v>
      </c>
      <c r="D68" s="202">
        <v>0</v>
      </c>
      <c r="E68" s="202"/>
      <c r="F68" s="1"/>
    </row>
    <row r="69" spans="1:6" ht="13.5" thickBot="1">
      <c r="A69" s="155"/>
      <c r="B69" s="157"/>
      <c r="C69" s="203"/>
      <c r="D69" s="204"/>
      <c r="E69" s="204"/>
      <c r="F69" s="1"/>
    </row>
    <row r="70" spans="1:6" s="110" customFormat="1" ht="13.5" thickBot="1">
      <c r="A70" s="158" t="s">
        <v>88</v>
      </c>
      <c r="B70" s="159">
        <f>SUM(B61:B66)</f>
        <v>308946</v>
      </c>
      <c r="C70" s="159">
        <f>SUM(C61:C66)</f>
        <v>1866162</v>
      </c>
      <c r="D70" s="159">
        <f>SUM(D61:D66)</f>
        <v>1938</v>
      </c>
      <c r="E70" s="159">
        <f>SUM(E61:E66)</f>
        <v>1868100</v>
      </c>
      <c r="F70" s="1"/>
    </row>
    <row r="71" spans="1:6" ht="7.5" customHeight="1">
      <c r="A71" s="145"/>
      <c r="B71" s="200"/>
      <c r="C71" s="200"/>
      <c r="D71" s="201"/>
      <c r="E71" s="201"/>
      <c r="F71" s="1"/>
    </row>
    <row r="72" spans="1:6" ht="12.75">
      <c r="A72" s="163" t="s">
        <v>51</v>
      </c>
      <c r="B72" s="181"/>
      <c r="C72" s="181"/>
      <c r="D72" s="205"/>
      <c r="E72" s="205"/>
      <c r="F72" s="1"/>
    </row>
    <row r="73" spans="1:6" ht="12.75">
      <c r="A73" s="149" t="s">
        <v>52</v>
      </c>
      <c r="B73" s="181">
        <v>0</v>
      </c>
      <c r="C73" s="177">
        <f>B73+F22+E22+D22+C22+B22</f>
        <v>17678</v>
      </c>
      <c r="D73" s="202">
        <v>0</v>
      </c>
      <c r="E73" s="202">
        <f>D73+C73</f>
        <v>17678</v>
      </c>
      <c r="F73" s="1"/>
    </row>
    <row r="74" spans="1:6" ht="12.75">
      <c r="A74" s="149" t="s">
        <v>89</v>
      </c>
      <c r="B74" s="181">
        <v>0</v>
      </c>
      <c r="C74" s="177">
        <f>B74+F23+E23+D23+C23+B23</f>
        <v>2500</v>
      </c>
      <c r="D74" s="202">
        <v>0</v>
      </c>
      <c r="E74" s="202">
        <f>D74+C74</f>
        <v>2500</v>
      </c>
      <c r="F74" s="1"/>
    </row>
    <row r="75" spans="1:6" ht="12.75">
      <c r="A75" s="149" t="s">
        <v>54</v>
      </c>
      <c r="B75" s="181">
        <v>0</v>
      </c>
      <c r="C75" s="177">
        <f>B75+F24+E24+D24+C24+B24</f>
        <v>0</v>
      </c>
      <c r="D75" s="202">
        <v>0</v>
      </c>
      <c r="E75" s="202">
        <f>D75+C75</f>
        <v>0</v>
      </c>
      <c r="F75" s="1"/>
    </row>
    <row r="76" spans="1:6" ht="12.75">
      <c r="A76" s="152" t="s">
        <v>111</v>
      </c>
      <c r="B76" s="181">
        <f>-B64</f>
        <v>0</v>
      </c>
      <c r="C76" s="181">
        <f>-C64</f>
        <v>0</v>
      </c>
      <c r="D76" s="181">
        <f>-D64</f>
        <v>0</v>
      </c>
      <c r="E76" s="26">
        <f>-E64</f>
        <v>0</v>
      </c>
      <c r="F76" s="1"/>
    </row>
    <row r="77" spans="1:6" ht="13.5" thickBot="1">
      <c r="A77" s="1153" t="s">
        <v>1238</v>
      </c>
      <c r="B77" s="182"/>
      <c r="C77" s="203">
        <f>B77+F26+E26+D26+C26+B26</f>
        <v>0</v>
      </c>
      <c r="D77" s="205"/>
      <c r="E77" s="1154">
        <f>SUM(C77:D77)</f>
        <v>0</v>
      </c>
      <c r="F77" s="1"/>
    </row>
    <row r="78" spans="1:6" s="110" customFormat="1" ht="13.5" thickBot="1">
      <c r="A78" s="39" t="s">
        <v>90</v>
      </c>
      <c r="B78" s="1155">
        <f>B73+B74+B75+B76+B77</f>
        <v>0</v>
      </c>
      <c r="C78" s="1156">
        <f>C73+C74+C75+C76+C77</f>
        <v>20178</v>
      </c>
      <c r="D78" s="1160">
        <f>D73+D74+D75+D76+D77</f>
        <v>0</v>
      </c>
      <c r="E78" s="1161">
        <f>E73+E74+E75+E76+E77</f>
        <v>20178</v>
      </c>
      <c r="F78" s="1"/>
    </row>
    <row r="79" spans="1:6" ht="12.75">
      <c r="A79" s="145"/>
      <c r="B79" s="181"/>
      <c r="C79" s="151"/>
      <c r="D79" s="211"/>
      <c r="E79" s="209"/>
      <c r="F79" s="1"/>
    </row>
    <row r="80" spans="1:6" ht="12.75">
      <c r="A80" s="167" t="s">
        <v>91</v>
      </c>
      <c r="B80" s="182"/>
      <c r="C80" s="151"/>
      <c r="D80" s="208"/>
      <c r="E80" s="209"/>
      <c r="F80" s="1"/>
    </row>
    <row r="81" spans="1:6" ht="12.75">
      <c r="A81" s="154" t="s">
        <v>58</v>
      </c>
      <c r="B81" s="177">
        <v>0</v>
      </c>
      <c r="C81" s="26">
        <f>B81+F30+E30+D30+C30+B30</f>
        <v>0</v>
      </c>
      <c r="D81" s="210">
        <v>0</v>
      </c>
      <c r="E81" s="209">
        <f>SUM(C81:D81)</f>
        <v>0</v>
      </c>
      <c r="F81" s="1"/>
    </row>
    <row r="82" spans="1:6" ht="13.5" thickBot="1">
      <c r="A82" s="169" t="s">
        <v>59</v>
      </c>
      <c r="B82" s="206">
        <v>0</v>
      </c>
      <c r="C82" s="26">
        <f>B82+F31+E31+D31+C31+B31</f>
        <v>0</v>
      </c>
      <c r="D82" s="211">
        <v>0</v>
      </c>
      <c r="E82" s="209">
        <f>SUM(C82:D82)</f>
        <v>0</v>
      </c>
      <c r="F82" s="1"/>
    </row>
    <row r="83" spans="1:6" ht="13.5" thickBot="1">
      <c r="A83" s="158" t="s">
        <v>92</v>
      </c>
      <c r="B83" s="159">
        <f>B81+B82</f>
        <v>0</v>
      </c>
      <c r="C83" s="40">
        <f>SUM(C81:C82)</f>
        <v>0</v>
      </c>
      <c r="D83" s="186">
        <f>D81+D82</f>
        <v>0</v>
      </c>
      <c r="E83" s="186">
        <f>E81+E82</f>
        <v>0</v>
      </c>
      <c r="F83" s="1"/>
    </row>
    <row r="84" spans="1:6" ht="12.75">
      <c r="A84" s="145"/>
      <c r="B84" s="200"/>
      <c r="C84" s="147"/>
      <c r="D84" s="207"/>
      <c r="E84" s="201"/>
      <c r="F84" s="1"/>
    </row>
    <row r="85" spans="1:6" ht="12.75">
      <c r="A85" s="171" t="s">
        <v>93</v>
      </c>
      <c r="B85" s="182"/>
      <c r="C85" s="151"/>
      <c r="D85" s="211"/>
      <c r="E85" s="209"/>
      <c r="F85" s="1"/>
    </row>
    <row r="86" spans="1:6" ht="12.75">
      <c r="A86" s="154" t="s">
        <v>58</v>
      </c>
      <c r="B86" s="177">
        <v>0</v>
      </c>
      <c r="C86" s="26">
        <f>B86+F35+E35+D35+C35+B35</f>
        <v>0</v>
      </c>
      <c r="D86" s="212">
        <v>0</v>
      </c>
      <c r="E86" s="202">
        <f>SUM(C86:D86)</f>
        <v>0</v>
      </c>
      <c r="F86" s="1"/>
    </row>
    <row r="87" spans="1:6" ht="13.5" thickBot="1">
      <c r="A87" s="172" t="s">
        <v>59</v>
      </c>
      <c r="B87" s="213">
        <v>0</v>
      </c>
      <c r="C87" s="26">
        <f>B87+F36+E36+D36+C36+B36</f>
        <v>0</v>
      </c>
      <c r="D87" s="212">
        <v>0</v>
      </c>
      <c r="E87" s="204">
        <f>SUM(C87:D87)</f>
        <v>0</v>
      </c>
      <c r="F87" s="1"/>
    </row>
    <row r="88" spans="1:6" ht="13.5" thickBot="1">
      <c r="A88" s="158" t="s">
        <v>94</v>
      </c>
      <c r="B88" s="159">
        <f>B86+B87</f>
        <v>0</v>
      </c>
      <c r="C88" s="40">
        <f>SUM(C86:C87)</f>
        <v>0</v>
      </c>
      <c r="D88" s="186">
        <f>D86+D87</f>
        <v>0</v>
      </c>
      <c r="E88" s="186">
        <f>E86+E87</f>
        <v>0</v>
      </c>
      <c r="F88" s="1"/>
    </row>
    <row r="89" spans="1:6" ht="12.75">
      <c r="A89" s="145"/>
      <c r="B89" s="214"/>
      <c r="C89" s="200"/>
      <c r="D89" s="201"/>
      <c r="E89" s="201"/>
      <c r="F89" s="1"/>
    </row>
    <row r="90" spans="1:6" ht="12.75">
      <c r="A90" s="163" t="s">
        <v>63</v>
      </c>
      <c r="B90" s="164"/>
      <c r="C90" s="181"/>
      <c r="D90" s="209"/>
      <c r="E90" s="209"/>
      <c r="F90" s="1"/>
    </row>
    <row r="91" spans="1:6" ht="12.75">
      <c r="A91" s="149" t="s">
        <v>95</v>
      </c>
      <c r="B91" s="181">
        <v>0</v>
      </c>
      <c r="C91" s="177">
        <f>B91+F40+E40+D40+C40+B40</f>
        <v>0</v>
      </c>
      <c r="D91" s="209">
        <v>0</v>
      </c>
      <c r="E91" s="209">
        <f>SUM(C91:D91)</f>
        <v>0</v>
      </c>
      <c r="F91" s="1"/>
    </row>
    <row r="92" spans="1:6" ht="13.5" thickBot="1">
      <c r="A92" s="175" t="s">
        <v>96</v>
      </c>
      <c r="B92" s="206">
        <v>0</v>
      </c>
      <c r="C92" s="177">
        <f>B92+F41+E41+D41+C41+B41</f>
        <v>0</v>
      </c>
      <c r="D92" s="209">
        <v>0</v>
      </c>
      <c r="E92" s="205">
        <f>SUM(C92:D92)</f>
        <v>0</v>
      </c>
      <c r="F92" s="1"/>
    </row>
    <row r="93" spans="1:6" ht="13.5" thickBot="1">
      <c r="A93" s="160" t="s">
        <v>97</v>
      </c>
      <c r="B93" s="176">
        <f>B91+B92</f>
        <v>0</v>
      </c>
      <c r="C93" s="183">
        <f>SUM(C91:C92)</f>
        <v>0</v>
      </c>
      <c r="D93" s="186">
        <f>D91+D92</f>
        <v>0</v>
      </c>
      <c r="E93" s="186">
        <f>E91+E92</f>
        <v>0</v>
      </c>
      <c r="F93" s="1"/>
    </row>
    <row r="94" spans="1:6" ht="13.5" thickBot="1">
      <c r="A94" s="158"/>
      <c r="B94" s="189"/>
      <c r="C94" s="182"/>
      <c r="D94" s="215"/>
      <c r="E94" s="201"/>
      <c r="F94" s="1"/>
    </row>
    <row r="95" spans="1:6" ht="13.5" thickBot="1">
      <c r="A95" s="39" t="s">
        <v>67</v>
      </c>
      <c r="B95" s="188"/>
      <c r="C95" s="189"/>
      <c r="D95" s="215"/>
      <c r="E95" s="201"/>
      <c r="F95" s="1"/>
    </row>
    <row r="96" spans="1:6" ht="12.75">
      <c r="A96" s="180" t="s">
        <v>68</v>
      </c>
      <c r="B96" s="181">
        <v>0</v>
      </c>
      <c r="C96" s="181">
        <f>B96+F45+E45+D45+C45+B45</f>
        <v>0</v>
      </c>
      <c r="D96" s="215">
        <v>0</v>
      </c>
      <c r="E96" s="201">
        <f>SUM(C96:D96)</f>
        <v>0</v>
      </c>
      <c r="F96" s="1"/>
    </row>
    <row r="97" spans="1:6" ht="13.5" thickBot="1">
      <c r="A97" s="16" t="s">
        <v>69</v>
      </c>
      <c r="B97" s="182">
        <v>0</v>
      </c>
      <c r="C97" s="181">
        <f>B97+F46+E46+D46+C46+B46</f>
        <v>0</v>
      </c>
      <c r="D97" s="208">
        <v>0</v>
      </c>
      <c r="E97" s="209">
        <f>SUM(C97:D97)</f>
        <v>0</v>
      </c>
      <c r="F97" s="1"/>
    </row>
    <row r="98" spans="1:6" ht="13.5" thickBot="1">
      <c r="A98" s="158" t="s">
        <v>70</v>
      </c>
      <c r="B98" s="183">
        <f>B96+B97</f>
        <v>0</v>
      </c>
      <c r="C98" s="40">
        <f>SUM(C96:C97)</f>
        <v>0</v>
      </c>
      <c r="D98" s="216">
        <f>D96+D97</f>
        <v>0</v>
      </c>
      <c r="E98" s="217">
        <f>E96+E97</f>
        <v>0</v>
      </c>
      <c r="F98" s="1"/>
    </row>
    <row r="99" spans="1:6" ht="8.25" customHeight="1" thickBot="1">
      <c r="A99" s="39"/>
      <c r="B99" s="182"/>
      <c r="C99" s="182"/>
      <c r="D99" s="215"/>
      <c r="E99" s="201"/>
      <c r="F99" s="1"/>
    </row>
    <row r="100" spans="1:6" s="110" customFormat="1" ht="13.5" thickBot="1">
      <c r="A100" s="185" t="s">
        <v>112</v>
      </c>
      <c r="B100" s="183">
        <f>B98+B93+B88+B83+B78+B70</f>
        <v>308946</v>
      </c>
      <c r="C100" s="40">
        <f>B100+F49+E49+D49+C49+B49</f>
        <v>1886340</v>
      </c>
      <c r="D100" s="216">
        <f>D98+D93+D88+D83+D78+D70</f>
        <v>1938</v>
      </c>
      <c r="E100" s="217">
        <f>D100+C100</f>
        <v>1888278</v>
      </c>
      <c r="F100" s="1"/>
    </row>
    <row r="101" spans="1:6" ht="9" customHeight="1" thickBot="1">
      <c r="A101" s="187"/>
      <c r="B101" s="182"/>
      <c r="C101" s="182"/>
      <c r="D101" s="215"/>
      <c r="E101" s="201"/>
      <c r="F101" s="1"/>
    </row>
    <row r="102" spans="1:6" ht="13.5" thickBot="1">
      <c r="A102" s="167" t="s">
        <v>113</v>
      </c>
      <c r="B102" s="184">
        <v>0</v>
      </c>
      <c r="C102" s="189">
        <f>B102+F51+E51+D51+C51+B51</f>
        <v>0</v>
      </c>
      <c r="D102" s="215">
        <v>0</v>
      </c>
      <c r="E102" s="201">
        <f>SUM(C102:D102)</f>
        <v>0</v>
      </c>
      <c r="F102" s="1"/>
    </row>
    <row r="103" spans="1:6" ht="8.25" customHeight="1" thickBot="1">
      <c r="A103" s="191"/>
      <c r="B103" s="182"/>
      <c r="C103" s="182"/>
      <c r="D103" s="215"/>
      <c r="E103" s="201"/>
      <c r="F103" s="1"/>
    </row>
    <row r="104" spans="1:6" s="110" customFormat="1" ht="13.5" thickBot="1">
      <c r="A104" s="192" t="s">
        <v>101</v>
      </c>
      <c r="B104" s="183">
        <f>B100+B102</f>
        <v>308946</v>
      </c>
      <c r="C104" s="183">
        <f>C100+C102</f>
        <v>1886340</v>
      </c>
      <c r="D104" s="193">
        <f>D102+D100</f>
        <v>1938</v>
      </c>
      <c r="E104" s="186">
        <f>E102+E100</f>
        <v>1888278</v>
      </c>
      <c r="F104" s="1"/>
    </row>
  </sheetData>
  <sheetProtection/>
  <mergeCells count="12">
    <mergeCell ref="A54:F54"/>
    <mergeCell ref="A55:F55"/>
    <mergeCell ref="A56:F56"/>
    <mergeCell ref="A57:F57"/>
    <mergeCell ref="E1:F1"/>
    <mergeCell ref="A3:F3"/>
    <mergeCell ref="A4:F4"/>
    <mergeCell ref="B7:B8"/>
    <mergeCell ref="C7:C8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4"/>
  <sheetViews>
    <sheetView zoomScalePageLayoutView="0" workbookViewId="0" topLeftCell="A148">
      <selection activeCell="B166" sqref="B166"/>
    </sheetView>
  </sheetViews>
  <sheetFormatPr defaultColWidth="9.140625" defaultRowHeight="12.75"/>
  <cols>
    <col min="1" max="1" width="30.140625" style="0" customWidth="1"/>
    <col min="2" max="2" width="10.7109375" style="0" customWidth="1"/>
    <col min="3" max="4" width="10.8515625" style="0" customWidth="1"/>
    <col min="5" max="5" width="11.140625" style="0" customWidth="1"/>
    <col min="6" max="6" width="11.00390625" style="0" customWidth="1"/>
  </cols>
  <sheetData>
    <row r="1" spans="1:5" ht="14.25">
      <c r="A1" s="1383" t="s">
        <v>120</v>
      </c>
      <c r="B1" s="1383"/>
      <c r="C1" s="1383"/>
      <c r="D1" s="1383"/>
      <c r="E1" s="1383"/>
    </row>
    <row r="2" spans="1:6" ht="15.75">
      <c r="A2" s="1390" t="s">
        <v>121</v>
      </c>
      <c r="B2" s="1390"/>
      <c r="C2" s="1390"/>
      <c r="D2" s="1390"/>
      <c r="E2" s="1390"/>
      <c r="F2" s="1390"/>
    </row>
    <row r="3" spans="1:6" ht="15.75">
      <c r="A3" s="1382" t="s">
        <v>122</v>
      </c>
      <c r="B3" s="1382"/>
      <c r="C3" s="1382"/>
      <c r="D3" s="1382"/>
      <c r="E3" s="1382"/>
      <c r="F3" s="1382"/>
    </row>
    <row r="4" ht="12.75">
      <c r="E4" s="48" t="s">
        <v>79</v>
      </c>
    </row>
    <row r="5" spans="1:6" ht="42" customHeight="1">
      <c r="A5" s="49" t="s">
        <v>123</v>
      </c>
      <c r="B5" s="881" t="s">
        <v>1116</v>
      </c>
      <c r="C5" s="386" t="s">
        <v>124</v>
      </c>
      <c r="D5" s="199" t="s">
        <v>125</v>
      </c>
      <c r="E5" s="199" t="s">
        <v>126</v>
      </c>
      <c r="F5" s="199" t="s">
        <v>1117</v>
      </c>
    </row>
    <row r="6" spans="1:6" ht="12.75">
      <c r="A6" s="63" t="s">
        <v>42</v>
      </c>
      <c r="B6" s="220"/>
      <c r="C6" s="220"/>
      <c r="D6" s="220"/>
      <c r="E6" s="221"/>
      <c r="F6" s="220"/>
    </row>
    <row r="7" spans="1:6" ht="12.75">
      <c r="A7" s="222" t="s">
        <v>43</v>
      </c>
      <c r="B7" s="67">
        <f>28375+10110+911+249+37+980+190-3521-1283-195-105-821</f>
        <v>34927</v>
      </c>
      <c r="C7" s="56">
        <f>146330+242+4025+83+387+93+10+38+5+3820+392+49+191+180-377-190-39+1166+684+7624+1283-2036-1249+1085-74</f>
        <v>163722</v>
      </c>
      <c r="D7" s="67">
        <f>10861+380+392</f>
        <v>11633</v>
      </c>
      <c r="E7" s="68">
        <f>2028+83+98</f>
        <v>2209</v>
      </c>
      <c r="F7" s="56">
        <v>0</v>
      </c>
    </row>
    <row r="8" spans="1:6" ht="12.75">
      <c r="A8" s="58" t="s">
        <v>44</v>
      </c>
      <c r="B8" s="67">
        <f>7737+2714+12+265-47</f>
        <v>10681</v>
      </c>
      <c r="C8" s="56">
        <f>39632+44+3+1031+106+13+49+283+185+590-356</f>
        <v>41580</v>
      </c>
      <c r="D8" s="67">
        <f>2987+106</f>
        <v>3093</v>
      </c>
      <c r="E8" s="68">
        <f>538+27</f>
        <v>565</v>
      </c>
      <c r="F8" s="56">
        <v>0</v>
      </c>
    </row>
    <row r="9" spans="1:6" ht="12.75">
      <c r="A9" s="58" t="s">
        <v>45</v>
      </c>
      <c r="B9" s="67">
        <f>3327+179+228+62-235-205</f>
        <v>3356</v>
      </c>
      <c r="C9" s="56">
        <f>123158+60+999+21-500+3534+93604+193+5+1+2+2+2+1+1+166+127-1375+30+1+16183+35+74</f>
        <v>236324</v>
      </c>
      <c r="D9" s="67">
        <f>965+89-191</f>
        <v>863</v>
      </c>
      <c r="E9" s="68">
        <f>805+21-659</f>
        <v>167</v>
      </c>
      <c r="F9" s="56">
        <f>98603-88000+36761+1264+63898+27+26971</f>
        <v>139524</v>
      </c>
    </row>
    <row r="10" spans="1:6" ht="12.75">
      <c r="A10" s="58" t="s">
        <v>127</v>
      </c>
      <c r="B10" s="67">
        <f>-235+235</f>
        <v>0</v>
      </c>
      <c r="C10" s="56">
        <f>-188</f>
        <v>-188</v>
      </c>
      <c r="D10" s="67"/>
      <c r="E10" s="68"/>
      <c r="F10" s="56">
        <f>-88000-936-2332-2203-235-4897+88000-88000</f>
        <v>-98603</v>
      </c>
    </row>
    <row r="11" spans="1:6" ht="12.75">
      <c r="A11" s="58" t="s">
        <v>47</v>
      </c>
      <c r="B11" s="67"/>
      <c r="C11" s="56">
        <v>0</v>
      </c>
      <c r="D11" s="67">
        <v>0</v>
      </c>
      <c r="E11" s="68">
        <v>0</v>
      </c>
      <c r="F11" s="56">
        <v>0</v>
      </c>
    </row>
    <row r="12" spans="1:6" ht="12.75">
      <c r="A12" s="223" t="s">
        <v>48</v>
      </c>
      <c r="B12" s="67"/>
      <c r="C12" s="56">
        <v>0</v>
      </c>
      <c r="D12" s="67">
        <v>0</v>
      </c>
      <c r="E12" s="68">
        <v>0</v>
      </c>
      <c r="F12" s="56">
        <v>0</v>
      </c>
    </row>
    <row r="13" spans="1:6" ht="12.75">
      <c r="A13" s="224" t="s">
        <v>128</v>
      </c>
      <c r="B13" s="77">
        <f>B12</f>
        <v>0</v>
      </c>
      <c r="C13" s="77">
        <f>C12</f>
        <v>0</v>
      </c>
      <c r="D13" s="77">
        <f>D12</f>
        <v>0</v>
      </c>
      <c r="E13" s="77">
        <f>E12</f>
        <v>0</v>
      </c>
      <c r="F13" s="77">
        <f>F12</f>
        <v>0</v>
      </c>
    </row>
    <row r="14" spans="1:6" s="110" customFormat="1" ht="12.75">
      <c r="A14" s="109" t="s">
        <v>129</v>
      </c>
      <c r="B14" s="62">
        <f>SUM(B7:B12)</f>
        <v>48964</v>
      </c>
      <c r="C14" s="80">
        <f>SUM(C7:C12)</f>
        <v>441438</v>
      </c>
      <c r="D14" s="62">
        <f>SUM(D7:D12)</f>
        <v>15589</v>
      </c>
      <c r="E14" s="62">
        <f>SUM(E7:E12)</f>
        <v>2941</v>
      </c>
      <c r="F14" s="62">
        <f>SUM(F7:F12)</f>
        <v>40921</v>
      </c>
    </row>
    <row r="15" spans="1:6" ht="20.25" customHeight="1">
      <c r="A15" s="66" t="s">
        <v>51</v>
      </c>
      <c r="B15" s="67"/>
      <c r="C15" s="113"/>
      <c r="D15" s="67"/>
      <c r="E15" s="225"/>
      <c r="F15" s="67"/>
    </row>
    <row r="16" spans="1:6" ht="12.75">
      <c r="A16" s="58" t="s">
        <v>52</v>
      </c>
      <c r="B16" s="67">
        <v>0</v>
      </c>
      <c r="C16" s="75">
        <f>'4_sz_ melléklet'!B89</f>
        <v>421</v>
      </c>
      <c r="D16" s="67">
        <v>0</v>
      </c>
      <c r="E16" s="225"/>
      <c r="F16" s="56">
        <v>0</v>
      </c>
    </row>
    <row r="17" spans="1:6" ht="12.75">
      <c r="A17" s="58" t="s">
        <v>53</v>
      </c>
      <c r="B17" s="67">
        <v>0</v>
      </c>
      <c r="C17" s="75">
        <v>0</v>
      </c>
      <c r="D17" s="67">
        <v>0</v>
      </c>
      <c r="E17" s="225">
        <v>0</v>
      </c>
      <c r="F17" s="56">
        <v>0</v>
      </c>
    </row>
    <row r="18" spans="1:6" ht="12.75">
      <c r="A18" s="58" t="s">
        <v>54</v>
      </c>
      <c r="B18" s="67">
        <v>0</v>
      </c>
      <c r="C18" s="75">
        <f>1_g_h_sz_melléklet!B39</f>
        <v>1500</v>
      </c>
      <c r="D18" s="67">
        <v>0</v>
      </c>
      <c r="E18" s="225">
        <v>0</v>
      </c>
      <c r="F18" s="56">
        <v>0</v>
      </c>
    </row>
    <row r="19" spans="1:6" ht="12.75">
      <c r="A19" s="1157" t="s">
        <v>111</v>
      </c>
      <c r="B19" s="913">
        <f>-B10</f>
        <v>0</v>
      </c>
      <c r="C19" s="913">
        <f>-C10</f>
        <v>188</v>
      </c>
      <c r="D19" s="913">
        <f>-D10</f>
        <v>0</v>
      </c>
      <c r="E19" s="913">
        <f>-E10</f>
        <v>0</v>
      </c>
      <c r="F19" s="913">
        <f>-F10</f>
        <v>98603</v>
      </c>
    </row>
    <row r="20" spans="1:6" ht="13.5" thickBot="1">
      <c r="A20" s="155" t="s">
        <v>1238</v>
      </c>
      <c r="B20" s="82"/>
      <c r="C20" s="82">
        <f>62250+3440+1030+19787+23607</f>
        <v>110114</v>
      </c>
      <c r="D20" s="82"/>
      <c r="E20" s="82"/>
      <c r="F20" s="82"/>
    </row>
    <row r="21" spans="1:6" s="110" customFormat="1" ht="13.5" thickBot="1">
      <c r="A21" s="109" t="s">
        <v>90</v>
      </c>
      <c r="B21" s="62">
        <f>B16+B17+B18+B19+B20</f>
        <v>0</v>
      </c>
      <c r="C21" s="62">
        <f>C16+C17+C18+C19+C20</f>
        <v>112223</v>
      </c>
      <c r="D21" s="62">
        <f>D16+D17+D18+D19+D20</f>
        <v>0</v>
      </c>
      <c r="E21" s="62">
        <f>E16+E17+E18+E19+E20</f>
        <v>0</v>
      </c>
      <c r="F21" s="62">
        <f>F16+F17+F18+F19+F20</f>
        <v>98603</v>
      </c>
    </row>
    <row r="22" spans="1:6" ht="12.75">
      <c r="A22" s="115"/>
      <c r="B22" s="82"/>
      <c r="C22" s="70"/>
      <c r="D22" s="82"/>
      <c r="E22" s="72"/>
      <c r="F22" s="82"/>
    </row>
    <row r="23" spans="1:6" ht="12.75">
      <c r="A23" s="115" t="s">
        <v>57</v>
      </c>
      <c r="B23" s="82"/>
      <c r="C23" s="70"/>
      <c r="D23" s="82"/>
      <c r="E23" s="72"/>
      <c r="F23" s="82"/>
    </row>
    <row r="24" spans="1:6" ht="12.75">
      <c r="A24" s="226" t="s">
        <v>58</v>
      </c>
      <c r="B24" s="56">
        <v>0</v>
      </c>
      <c r="C24" s="74">
        <v>0</v>
      </c>
      <c r="D24" s="56">
        <v>0</v>
      </c>
      <c r="E24" s="75">
        <v>0</v>
      </c>
      <c r="F24" s="56">
        <v>0</v>
      </c>
    </row>
    <row r="25" spans="1:6" ht="12.75">
      <c r="A25" s="227" t="s">
        <v>59</v>
      </c>
      <c r="B25" s="82">
        <v>0</v>
      </c>
      <c r="C25" s="70">
        <v>0</v>
      </c>
      <c r="D25" s="82">
        <v>0</v>
      </c>
      <c r="E25" s="72">
        <v>0</v>
      </c>
      <c r="F25" s="77">
        <v>0</v>
      </c>
    </row>
    <row r="26" spans="1:6" ht="12.75">
      <c r="A26" s="61" t="s">
        <v>130</v>
      </c>
      <c r="B26" s="62">
        <f>B24+B25</f>
        <v>0</v>
      </c>
      <c r="C26" s="62">
        <f>C24+C25</f>
        <v>0</v>
      </c>
      <c r="D26" s="62">
        <f>D24+D25</f>
        <v>0</v>
      </c>
      <c r="E26" s="62">
        <f>E24+E25</f>
        <v>0</v>
      </c>
      <c r="F26" s="62">
        <f>F24+F25</f>
        <v>0</v>
      </c>
    </row>
    <row r="27" spans="1:6" ht="12.75">
      <c r="A27" s="115"/>
      <c r="B27" s="82"/>
      <c r="C27" s="70"/>
      <c r="D27" s="82"/>
      <c r="E27" s="82"/>
      <c r="F27" s="72"/>
    </row>
    <row r="28" spans="1:6" ht="12.75">
      <c r="A28" s="81" t="s">
        <v>93</v>
      </c>
      <c r="B28" s="67"/>
      <c r="C28" s="225"/>
      <c r="D28" s="67"/>
      <c r="E28" s="67"/>
      <c r="F28" s="113"/>
    </row>
    <row r="29" spans="1:6" ht="12.75">
      <c r="A29" s="73" t="s">
        <v>58</v>
      </c>
      <c r="B29" s="67">
        <v>0</v>
      </c>
      <c r="C29" s="225">
        <v>0</v>
      </c>
      <c r="D29" s="67">
        <v>0</v>
      </c>
      <c r="E29" s="67">
        <v>0</v>
      </c>
      <c r="F29" s="75">
        <v>0</v>
      </c>
    </row>
    <row r="30" spans="1:6" ht="12.75">
      <c r="A30" s="228" t="s">
        <v>59</v>
      </c>
      <c r="B30" s="82">
        <v>0</v>
      </c>
      <c r="C30" s="70">
        <v>0</v>
      </c>
      <c r="D30" s="82">
        <v>0</v>
      </c>
      <c r="E30" s="82">
        <v>0</v>
      </c>
      <c r="F30" s="78">
        <v>0</v>
      </c>
    </row>
    <row r="31" spans="1:6" ht="12.75">
      <c r="A31" s="61" t="s">
        <v>94</v>
      </c>
      <c r="B31" s="62">
        <f>B29+B30</f>
        <v>0</v>
      </c>
      <c r="C31" s="62">
        <f>C29+C30</f>
        <v>0</v>
      </c>
      <c r="D31" s="62">
        <f>D29+D30</f>
        <v>0</v>
      </c>
      <c r="E31" s="62">
        <f>E29+E30</f>
        <v>0</v>
      </c>
      <c r="F31" s="62">
        <f>F29+F30</f>
        <v>0</v>
      </c>
    </row>
    <row r="32" spans="1:6" ht="20.25" customHeight="1">
      <c r="A32" s="63" t="s">
        <v>63</v>
      </c>
      <c r="B32" s="67"/>
      <c r="C32" s="67"/>
      <c r="D32" s="67"/>
      <c r="E32" s="225"/>
      <c r="F32" s="67"/>
    </row>
    <row r="33" spans="1:6" ht="12.75">
      <c r="A33" s="76" t="s">
        <v>95</v>
      </c>
      <c r="B33" s="82">
        <v>0</v>
      </c>
      <c r="C33" s="82">
        <v>0</v>
      </c>
      <c r="D33" s="82">
        <v>0</v>
      </c>
      <c r="E33" s="70">
        <v>0</v>
      </c>
      <c r="F33" s="56">
        <v>0</v>
      </c>
    </row>
    <row r="34" spans="1:6" ht="12.75">
      <c r="A34" s="223" t="s">
        <v>131</v>
      </c>
      <c r="B34" s="56">
        <v>0</v>
      </c>
      <c r="C34" s="56">
        <v>0</v>
      </c>
      <c r="D34" s="56">
        <v>0</v>
      </c>
      <c r="E34" s="74">
        <v>0</v>
      </c>
      <c r="F34" s="77">
        <v>0</v>
      </c>
    </row>
    <row r="35" spans="1:6" ht="12.75">
      <c r="A35" s="61" t="s">
        <v>97</v>
      </c>
      <c r="B35" s="62">
        <f>B34+B33</f>
        <v>0</v>
      </c>
      <c r="C35" s="62">
        <f>C34+C33</f>
        <v>0</v>
      </c>
      <c r="D35" s="62">
        <f>D34+D33</f>
        <v>0</v>
      </c>
      <c r="E35" s="62">
        <f>E34+E33</f>
        <v>0</v>
      </c>
      <c r="F35" s="62">
        <f>F34+F33</f>
        <v>0</v>
      </c>
    </row>
    <row r="36" spans="1:6" ht="19.5" customHeight="1">
      <c r="A36" s="66" t="s">
        <v>67</v>
      </c>
      <c r="B36" s="128"/>
      <c r="C36" s="87"/>
      <c r="D36" s="229"/>
      <c r="E36" s="128"/>
      <c r="F36" s="67"/>
    </row>
    <row r="37" spans="1:6" ht="12.75">
      <c r="A37" s="55" t="s">
        <v>132</v>
      </c>
      <c r="B37" s="225">
        <v>0</v>
      </c>
      <c r="C37" s="67">
        <v>0</v>
      </c>
      <c r="D37" s="68">
        <v>0</v>
      </c>
      <c r="E37" s="225">
        <v>0</v>
      </c>
      <c r="F37" s="56">
        <v>0</v>
      </c>
    </row>
    <row r="38" spans="1:6" ht="12.75">
      <c r="A38" s="55" t="s">
        <v>133</v>
      </c>
      <c r="B38" s="74">
        <v>0</v>
      </c>
      <c r="C38" s="56">
        <v>0</v>
      </c>
      <c r="D38" s="57">
        <v>0</v>
      </c>
      <c r="E38" s="74">
        <v>0</v>
      </c>
      <c r="F38" s="56">
        <v>0</v>
      </c>
    </row>
    <row r="39" spans="1:6" ht="12.75">
      <c r="A39" s="109" t="s">
        <v>70</v>
      </c>
      <c r="B39" s="62">
        <f>B38+B37</f>
        <v>0</v>
      </c>
      <c r="C39" s="62">
        <f>C38+C37</f>
        <v>0</v>
      </c>
      <c r="D39" s="62">
        <f>D38+D37</f>
        <v>0</v>
      </c>
      <c r="E39" s="62">
        <f>E38+E37</f>
        <v>0</v>
      </c>
      <c r="F39" s="62">
        <f>F38+F37</f>
        <v>0</v>
      </c>
    </row>
    <row r="40" spans="1:6" ht="12.75">
      <c r="A40" s="115"/>
      <c r="B40" s="71"/>
      <c r="C40" s="71"/>
      <c r="D40" s="71"/>
      <c r="E40" s="230"/>
      <c r="F40" s="82"/>
    </row>
    <row r="41" spans="1:6" ht="12.75">
      <c r="A41" s="231" t="s">
        <v>134</v>
      </c>
      <c r="B41" s="232"/>
      <c r="C41" s="232"/>
      <c r="D41" s="233"/>
      <c r="E41" s="233"/>
      <c r="F41" s="233"/>
    </row>
    <row r="42" spans="1:6" s="110" customFormat="1" ht="12.75">
      <c r="A42" s="234" t="s">
        <v>98</v>
      </c>
      <c r="B42" s="235">
        <f>B39+B35+B31+B26+B21+B14</f>
        <v>48964</v>
      </c>
      <c r="C42" s="235">
        <f>C39+C35+C31+C26+C21+C14</f>
        <v>553661</v>
      </c>
      <c r="D42" s="235">
        <f>D39+D35+D31+D26+D21+D14</f>
        <v>15589</v>
      </c>
      <c r="E42" s="235">
        <f>E39+E35+E31+E26+E21+E14</f>
        <v>2941</v>
      </c>
      <c r="F42" s="235">
        <f>F39+F35+F31+F26+F21+F14</f>
        <v>139524</v>
      </c>
    </row>
    <row r="43" spans="1:6" ht="12.75">
      <c r="A43" s="236"/>
      <c r="B43" s="237"/>
      <c r="C43" s="237"/>
      <c r="D43" s="87"/>
      <c r="E43" s="129"/>
      <c r="F43" s="129"/>
    </row>
    <row r="44" spans="1:6" ht="12.75">
      <c r="A44" s="238" t="s">
        <v>99</v>
      </c>
      <c r="B44" s="239"/>
      <c r="C44" s="239"/>
      <c r="D44" s="56"/>
      <c r="E44" s="75"/>
      <c r="F44" s="75"/>
    </row>
    <row r="45" spans="1:6" ht="12.75">
      <c r="A45" s="88" t="s">
        <v>73</v>
      </c>
      <c r="B45" s="239">
        <v>0</v>
      </c>
      <c r="C45" s="239">
        <v>0</v>
      </c>
      <c r="D45" s="56">
        <v>0</v>
      </c>
      <c r="E45" s="75">
        <v>0</v>
      </c>
      <c r="F45" s="75">
        <v>0</v>
      </c>
    </row>
    <row r="46" spans="1:6" ht="12.75">
      <c r="A46" s="133" t="s">
        <v>100</v>
      </c>
      <c r="B46" s="240">
        <v>0</v>
      </c>
      <c r="C46" s="240"/>
      <c r="D46" s="77">
        <v>0</v>
      </c>
      <c r="E46" s="78">
        <v>0</v>
      </c>
      <c r="F46" s="78">
        <f>'12_sz_ melléklet'!K11</f>
        <v>14432</v>
      </c>
    </row>
    <row r="47" spans="1:6" s="110" customFormat="1" ht="12.75">
      <c r="A47" s="109" t="s">
        <v>74</v>
      </c>
      <c r="B47" s="125">
        <f>SUM(B45:B46)</f>
        <v>0</v>
      </c>
      <c r="C47" s="125">
        <f>SUM(C45:C46)</f>
        <v>0</v>
      </c>
      <c r="D47" s="125">
        <v>0</v>
      </c>
      <c r="E47" s="125">
        <f>SUM(E45:E46)</f>
        <v>0</v>
      </c>
      <c r="F47" s="92">
        <f>SUM(F45:F46)</f>
        <v>14432</v>
      </c>
    </row>
    <row r="48" spans="1:6" ht="12.75">
      <c r="A48" s="109"/>
      <c r="B48" s="96"/>
      <c r="C48" s="96"/>
      <c r="D48" s="96"/>
      <c r="E48" s="241"/>
      <c r="F48" s="242"/>
    </row>
    <row r="49" spans="1:6" s="110" customFormat="1" ht="27" customHeight="1">
      <c r="A49" s="243" t="s">
        <v>135</v>
      </c>
      <c r="B49" s="92">
        <f>B42+B47</f>
        <v>48964</v>
      </c>
      <c r="C49" s="92">
        <f>C42+C47</f>
        <v>553661</v>
      </c>
      <c r="D49" s="92">
        <f>D42+D47</f>
        <v>15589</v>
      </c>
      <c r="E49" s="92">
        <f>E42+E47</f>
        <v>2941</v>
      </c>
      <c r="F49" s="92">
        <f>F42+F47</f>
        <v>153956</v>
      </c>
    </row>
    <row r="51" spans="1:6" ht="12.75">
      <c r="A51" s="1391">
        <v>2</v>
      </c>
      <c r="B51" s="1391"/>
      <c r="C51" s="1391"/>
      <c r="D51" s="1391"/>
      <c r="E51" s="1391"/>
      <c r="F51" s="1391"/>
    </row>
    <row r="52" spans="1:5" ht="14.25">
      <c r="A52" s="1383" t="s">
        <v>120</v>
      </c>
      <c r="B52" s="1383"/>
      <c r="C52" s="1383"/>
      <c r="D52" s="1383"/>
      <c r="E52" s="1383"/>
    </row>
    <row r="53" spans="1:6" ht="15.75">
      <c r="A53" s="1390" t="s">
        <v>121</v>
      </c>
      <c r="B53" s="1390"/>
      <c r="C53" s="1390"/>
      <c r="D53" s="1390"/>
      <c r="E53" s="1390"/>
      <c r="F53" s="1390"/>
    </row>
    <row r="54" spans="1:6" ht="15.75">
      <c r="A54" s="1382" t="s">
        <v>122</v>
      </c>
      <c r="B54" s="1382"/>
      <c r="C54" s="1382"/>
      <c r="D54" s="1382"/>
      <c r="E54" s="1382"/>
      <c r="F54" s="1382"/>
    </row>
    <row r="55" ht="12.75">
      <c r="E55" s="48" t="s">
        <v>79</v>
      </c>
    </row>
    <row r="56" spans="1:6" ht="39" customHeight="1">
      <c r="A56" s="49" t="s">
        <v>123</v>
      </c>
      <c r="B56" s="843" t="s">
        <v>136</v>
      </c>
      <c r="C56" s="386" t="s">
        <v>1195</v>
      </c>
      <c r="D56" s="199" t="s">
        <v>137</v>
      </c>
      <c r="E56" s="199" t="s">
        <v>138</v>
      </c>
      <c r="F56" s="199" t="s">
        <v>139</v>
      </c>
    </row>
    <row r="57" spans="1:6" ht="12.75">
      <c r="A57" s="63" t="s">
        <v>42</v>
      </c>
      <c r="B57" s="87"/>
      <c r="C57" s="87"/>
      <c r="D57" s="87"/>
      <c r="E57" s="229"/>
      <c r="F57" s="87"/>
    </row>
    <row r="58" spans="1:6" ht="12.75">
      <c r="A58" s="222" t="s">
        <v>43</v>
      </c>
      <c r="B58" s="67">
        <f>48954+339+294+377+39-4103</f>
        <v>45900</v>
      </c>
      <c r="C58" s="56"/>
      <c r="D58" s="67"/>
      <c r="E58" s="68"/>
      <c r="F58" s="56"/>
    </row>
    <row r="59" spans="1:6" ht="12.75">
      <c r="A59" s="58" t="s">
        <v>44</v>
      </c>
      <c r="B59" s="67">
        <f>13266+79-590-523-278-171</f>
        <v>11783</v>
      </c>
      <c r="C59" s="56"/>
      <c r="D59" s="67"/>
      <c r="E59" s="68"/>
      <c r="F59" s="56"/>
    </row>
    <row r="60" spans="1:6" ht="12.75">
      <c r="A60" s="58" t="s">
        <v>45</v>
      </c>
      <c r="B60" s="67">
        <f>1153+75-251</f>
        <v>977</v>
      </c>
      <c r="C60" s="244"/>
      <c r="D60" s="67">
        <v>161</v>
      </c>
      <c r="E60" s="68"/>
      <c r="F60" s="56">
        <f>134756-90203-1712+20+1</f>
        <v>42862</v>
      </c>
    </row>
    <row r="61" spans="1:6" ht="12.75">
      <c r="A61" s="58" t="s">
        <v>140</v>
      </c>
      <c r="B61" s="67"/>
      <c r="C61" s="56"/>
      <c r="D61" s="67"/>
      <c r="E61" s="68"/>
      <c r="F61" s="56">
        <f>-90203+90203</f>
        <v>0</v>
      </c>
    </row>
    <row r="62" spans="1:6" ht="12.75">
      <c r="A62" s="58" t="s">
        <v>47</v>
      </c>
      <c r="B62" s="67"/>
      <c r="C62" s="56"/>
      <c r="D62" s="67"/>
      <c r="E62" s="68"/>
      <c r="F62" s="56"/>
    </row>
    <row r="63" spans="1:6" ht="12.75">
      <c r="A63" s="223" t="s">
        <v>48</v>
      </c>
      <c r="B63" s="67"/>
      <c r="C63" s="56"/>
      <c r="D63" s="67"/>
      <c r="E63" s="68"/>
      <c r="F63" s="56"/>
    </row>
    <row r="64" spans="1:6" ht="12.75">
      <c r="A64" s="224" t="s">
        <v>141</v>
      </c>
      <c r="B64" s="56">
        <f>B63</f>
        <v>0</v>
      </c>
      <c r="C64" s="56">
        <f>C63</f>
        <v>0</v>
      </c>
      <c r="D64" s="56">
        <f>D63</f>
        <v>0</v>
      </c>
      <c r="E64" s="56">
        <f>E63</f>
        <v>0</v>
      </c>
      <c r="F64" s="56">
        <f>F63</f>
        <v>0</v>
      </c>
    </row>
    <row r="65" spans="1:6" s="110" customFormat="1" ht="12.75">
      <c r="A65" s="61" t="s">
        <v>129</v>
      </c>
      <c r="B65" s="62">
        <f>SUM(B58:B63)</f>
        <v>58660</v>
      </c>
      <c r="C65" s="62">
        <f>SUM(C58:C63)</f>
        <v>0</v>
      </c>
      <c r="D65" s="62">
        <f>SUM(D58:D63)</f>
        <v>161</v>
      </c>
      <c r="E65" s="62">
        <f>SUM(E58:E63)</f>
        <v>0</v>
      </c>
      <c r="F65" s="62">
        <f>SUM(F58:F63)</f>
        <v>42862</v>
      </c>
    </row>
    <row r="66" spans="1:6" ht="12.75">
      <c r="A66" s="112"/>
      <c r="B66" s="87"/>
      <c r="C66" s="129"/>
      <c r="D66" s="87"/>
      <c r="E66" s="229"/>
      <c r="F66" s="67"/>
    </row>
    <row r="67" spans="1:6" ht="12.75">
      <c r="A67" s="66" t="s">
        <v>51</v>
      </c>
      <c r="B67" s="67"/>
      <c r="C67" s="113"/>
      <c r="D67" s="67"/>
      <c r="E67" s="225"/>
      <c r="F67" s="56"/>
    </row>
    <row r="68" spans="1:6" ht="12.75">
      <c r="A68" s="58" t="s">
        <v>52</v>
      </c>
      <c r="B68" s="67">
        <v>0</v>
      </c>
      <c r="C68" s="75"/>
      <c r="D68" s="67">
        <v>0</v>
      </c>
      <c r="E68" s="225">
        <v>0</v>
      </c>
      <c r="F68" s="56">
        <f>'4_sz_ melléklet'!B48</f>
        <v>1986238</v>
      </c>
    </row>
    <row r="69" spans="1:6" ht="12.75">
      <c r="A69" s="58" t="s">
        <v>53</v>
      </c>
      <c r="B69" s="67">
        <v>0</v>
      </c>
      <c r="C69" s="75"/>
      <c r="D69" s="67">
        <v>0</v>
      </c>
      <c r="E69" s="225">
        <v>0</v>
      </c>
      <c r="F69" s="56">
        <f>'3_sz_ melléklet'!B35</f>
        <v>8824</v>
      </c>
    </row>
    <row r="70" spans="1:6" ht="12.75">
      <c r="A70" s="58" t="s">
        <v>54</v>
      </c>
      <c r="B70" s="67"/>
      <c r="C70" s="75"/>
      <c r="D70" s="67"/>
      <c r="E70" s="225"/>
      <c r="F70" s="56">
        <v>0</v>
      </c>
    </row>
    <row r="71" spans="1:6" ht="12.75">
      <c r="A71" s="1157" t="s">
        <v>111</v>
      </c>
      <c r="B71" s="913">
        <f>-B61</f>
        <v>0</v>
      </c>
      <c r="C71" s="913">
        <f>-C61</f>
        <v>0</v>
      </c>
      <c r="D71" s="913">
        <f>-D61</f>
        <v>0</v>
      </c>
      <c r="E71" s="913">
        <f>-E61</f>
        <v>0</v>
      </c>
      <c r="F71" s="913">
        <f>-F61</f>
        <v>0</v>
      </c>
    </row>
    <row r="72" spans="1:6" ht="13.5" thickBot="1">
      <c r="A72" s="155" t="s">
        <v>1238</v>
      </c>
      <c r="B72" s="82"/>
      <c r="C72" s="72"/>
      <c r="D72" s="82"/>
      <c r="E72" s="70"/>
      <c r="F72" s="82"/>
    </row>
    <row r="73" spans="1:6" s="110" customFormat="1" ht="12.75">
      <c r="A73" s="61" t="s">
        <v>90</v>
      </c>
      <c r="B73" s="62">
        <f>SUM(B68:B72)</f>
        <v>0</v>
      </c>
      <c r="C73" s="62">
        <f>SUM(C68:C72)</f>
        <v>0</v>
      </c>
      <c r="D73" s="62">
        <f>SUM(D68:D72)</f>
        <v>0</v>
      </c>
      <c r="E73" s="62">
        <f>SUM(E68:E72)</f>
        <v>0</v>
      </c>
      <c r="F73" s="62">
        <f>SUM(F68:F72)</f>
        <v>1995062</v>
      </c>
    </row>
    <row r="74" spans="1:6" ht="8.25" customHeight="1">
      <c r="A74" s="115"/>
      <c r="B74" s="82"/>
      <c r="C74" s="70"/>
      <c r="D74" s="82"/>
      <c r="E74" s="72"/>
      <c r="F74" s="82"/>
    </row>
    <row r="75" spans="1:6" ht="12.75">
      <c r="A75" s="115" t="s">
        <v>57</v>
      </c>
      <c r="B75" s="82"/>
      <c r="C75" s="70"/>
      <c r="D75" s="82"/>
      <c r="E75" s="72"/>
      <c r="F75" s="82"/>
    </row>
    <row r="76" spans="1:6" ht="12.75">
      <c r="A76" s="226" t="s">
        <v>58</v>
      </c>
      <c r="B76" s="56">
        <v>0</v>
      </c>
      <c r="C76" s="74"/>
      <c r="D76" s="56"/>
      <c r="E76" s="75">
        <v>0</v>
      </c>
      <c r="F76" s="56">
        <f>1_e_f_sz_melléklet!C9+1_e_f_sz_melléklet!C11+1_e_f_sz_melléklet!C15</f>
        <v>32489</v>
      </c>
    </row>
    <row r="77" spans="1:6" ht="12.75">
      <c r="A77" s="227" t="s">
        <v>59</v>
      </c>
      <c r="B77" s="82">
        <v>0</v>
      </c>
      <c r="C77" s="70">
        <v>0</v>
      </c>
      <c r="D77" s="82">
        <v>0</v>
      </c>
      <c r="E77" s="72">
        <v>0</v>
      </c>
      <c r="F77" s="77">
        <v>0</v>
      </c>
    </row>
    <row r="78" spans="1:6" s="110" customFormat="1" ht="12.75">
      <c r="A78" s="61" t="s">
        <v>130</v>
      </c>
      <c r="B78" s="62">
        <f>B76+B77</f>
        <v>0</v>
      </c>
      <c r="C78" s="62">
        <f>C76+C77</f>
        <v>0</v>
      </c>
      <c r="D78" s="62">
        <f>D76+D77</f>
        <v>0</v>
      </c>
      <c r="E78" s="62">
        <f>E76+E77</f>
        <v>0</v>
      </c>
      <c r="F78" s="62">
        <f>F76+F77</f>
        <v>32489</v>
      </c>
    </row>
    <row r="79" spans="1:6" ht="12.75">
      <c r="A79" s="115"/>
      <c r="B79" s="82"/>
      <c r="C79" s="70"/>
      <c r="D79" s="82"/>
      <c r="E79" s="82"/>
      <c r="F79" s="72"/>
    </row>
    <row r="80" spans="1:6" ht="12.75">
      <c r="A80" s="81" t="s">
        <v>93</v>
      </c>
      <c r="B80" s="67"/>
      <c r="C80" s="225"/>
      <c r="D80" s="67"/>
      <c r="E80" s="67"/>
      <c r="F80" s="113"/>
    </row>
    <row r="81" spans="1:6" ht="12.75">
      <c r="A81" s="73" t="s">
        <v>58</v>
      </c>
      <c r="B81" s="67">
        <v>0</v>
      </c>
      <c r="C81" s="225">
        <f>1_e_f_sz_melléklet!C28+1_e_f_sz_melléklet!C30+1_e_f_sz_melléklet!C31+1_e_f_sz_melléklet!C32+1_e_f_sz_melléklet!C33+1_e_f_sz_melléklet!C40+1_e_f_sz_melléklet!C29+1_e_f_sz_melléklet!C36</f>
        <v>136490</v>
      </c>
      <c r="D81" s="67">
        <v>0</v>
      </c>
      <c r="E81" s="67">
        <f>1_e_f_sz_melléklet!C34+1_e_f_sz_melléklet!C35</f>
        <v>9550</v>
      </c>
      <c r="F81" s="75">
        <v>0</v>
      </c>
    </row>
    <row r="82" spans="1:6" ht="12.75">
      <c r="A82" s="228" t="s">
        <v>59</v>
      </c>
      <c r="B82" s="82">
        <v>0</v>
      </c>
      <c r="C82" s="70">
        <f>1_e_f_sz_melléklet!C54</f>
        <v>8873</v>
      </c>
      <c r="D82" s="82">
        <f>1_e_f_sz_melléklet!C52</f>
        <v>5000</v>
      </c>
      <c r="E82" s="82">
        <v>0</v>
      </c>
      <c r="F82" s="78">
        <v>0</v>
      </c>
    </row>
    <row r="83" spans="1:6" s="110" customFormat="1" ht="12.75">
      <c r="A83" s="61" t="s">
        <v>94</v>
      </c>
      <c r="B83" s="62">
        <f>B81+B82</f>
        <v>0</v>
      </c>
      <c r="C83" s="62">
        <f>C81+C82</f>
        <v>145363</v>
      </c>
      <c r="D83" s="62">
        <f>D81+D82</f>
        <v>5000</v>
      </c>
      <c r="E83" s="62">
        <f>E81+E82</f>
        <v>9550</v>
      </c>
      <c r="F83" s="62">
        <f>F81+F82</f>
        <v>0</v>
      </c>
    </row>
    <row r="84" spans="1:6" ht="18" customHeight="1">
      <c r="A84" s="63" t="s">
        <v>63</v>
      </c>
      <c r="B84" s="67"/>
      <c r="C84" s="67"/>
      <c r="D84" s="67"/>
      <c r="E84" s="225"/>
      <c r="F84" s="67"/>
    </row>
    <row r="85" spans="1:6" ht="12.75">
      <c r="A85" s="76" t="s">
        <v>95</v>
      </c>
      <c r="B85" s="82">
        <v>0</v>
      </c>
      <c r="C85" s="82">
        <v>0</v>
      </c>
      <c r="D85" s="82">
        <f>1_g_h_sz_melléklet!B10</f>
        <v>1160</v>
      </c>
      <c r="E85" s="70">
        <v>0</v>
      </c>
      <c r="F85" s="56"/>
    </row>
    <row r="86" spans="1:6" ht="12.75">
      <c r="A86" s="223" t="s">
        <v>131</v>
      </c>
      <c r="B86" s="56">
        <v>0</v>
      </c>
      <c r="C86" s="56">
        <v>0</v>
      </c>
      <c r="D86" s="56">
        <f>1_g_h_sz_melléklet!B15</f>
        <v>5000</v>
      </c>
      <c r="E86" s="74">
        <v>0</v>
      </c>
      <c r="F86" s="77"/>
    </row>
    <row r="87" spans="1:6" s="110" customFormat="1" ht="12.75">
      <c r="A87" s="61" t="s">
        <v>97</v>
      </c>
      <c r="B87" s="62">
        <f>B85+B86</f>
        <v>0</v>
      </c>
      <c r="C87" s="62">
        <f>C85+C86</f>
        <v>0</v>
      </c>
      <c r="D87" s="62">
        <f>D85+D86</f>
        <v>6160</v>
      </c>
      <c r="E87" s="62">
        <f>E85+E86</f>
        <v>0</v>
      </c>
      <c r="F87" s="62">
        <f>F85+F86</f>
        <v>0</v>
      </c>
    </row>
    <row r="88" spans="1:6" ht="17.25" customHeight="1">
      <c r="A88" s="66" t="s">
        <v>67</v>
      </c>
      <c r="B88" s="128"/>
      <c r="C88" s="87"/>
      <c r="D88" s="229"/>
      <c r="E88" s="128"/>
      <c r="F88" s="67"/>
    </row>
    <row r="89" spans="1:6" ht="12.75">
      <c r="A89" s="55" t="s">
        <v>132</v>
      </c>
      <c r="B89" s="225"/>
      <c r="C89" s="67"/>
      <c r="D89" s="68"/>
      <c r="E89" s="225"/>
      <c r="F89" s="56">
        <v>0</v>
      </c>
    </row>
    <row r="90" spans="1:6" ht="12.75">
      <c r="A90" s="55" t="s">
        <v>133</v>
      </c>
      <c r="B90" s="74"/>
      <c r="C90" s="56"/>
      <c r="D90" s="57"/>
      <c r="E90" s="74"/>
      <c r="F90" s="56">
        <v>0</v>
      </c>
    </row>
    <row r="91" spans="1:6" s="110" customFormat="1" ht="12.75">
      <c r="A91" s="109" t="s">
        <v>70</v>
      </c>
      <c r="B91" s="62">
        <f>B89+B90</f>
        <v>0</v>
      </c>
      <c r="C91" s="62">
        <f>C89+C90</f>
        <v>0</v>
      </c>
      <c r="D91" s="62">
        <f>D89+D90</f>
        <v>0</v>
      </c>
      <c r="E91" s="62">
        <f>E89+E90</f>
        <v>0</v>
      </c>
      <c r="F91" s="62">
        <f>F89+F90</f>
        <v>0</v>
      </c>
    </row>
    <row r="92" spans="1:6" ht="12.75">
      <c r="A92" s="115"/>
      <c r="B92" s="71"/>
      <c r="C92" s="71"/>
      <c r="D92" s="71"/>
      <c r="E92" s="230"/>
      <c r="F92" s="82"/>
    </row>
    <row r="93" spans="1:6" ht="12.75">
      <c r="A93" s="231" t="s">
        <v>142</v>
      </c>
      <c r="B93" s="232"/>
      <c r="C93" s="232"/>
      <c r="D93" s="71"/>
      <c r="E93" s="230"/>
      <c r="F93" s="71"/>
    </row>
    <row r="94" spans="1:6" s="110" customFormat="1" ht="12.75">
      <c r="A94" s="234" t="s">
        <v>98</v>
      </c>
      <c r="B94" s="235">
        <f>B91+B87+B83+B78+B73+B65</f>
        <v>58660</v>
      </c>
      <c r="C94" s="235">
        <f>C91+C87+C83+C78+C73+C65</f>
        <v>145363</v>
      </c>
      <c r="D94" s="235">
        <f>D91+D87+D83+D78+D73+D65</f>
        <v>11321</v>
      </c>
      <c r="E94" s="235">
        <f>E91+E87+E83+E78+E73+E65</f>
        <v>9550</v>
      </c>
      <c r="F94" s="235">
        <f>F91+F87+F83+F78+F73+F65</f>
        <v>2070413</v>
      </c>
    </row>
    <row r="95" spans="1:6" ht="12.75">
      <c r="A95" s="246"/>
      <c r="B95" s="237"/>
      <c r="C95" s="247"/>
      <c r="D95" s="229"/>
      <c r="E95" s="87"/>
      <c r="F95" s="129"/>
    </row>
    <row r="96" spans="1:6" ht="12.75">
      <c r="A96" s="238" t="s">
        <v>99</v>
      </c>
      <c r="B96" s="239"/>
      <c r="C96" s="248"/>
      <c r="D96" s="57"/>
      <c r="E96" s="56"/>
      <c r="F96" s="75"/>
    </row>
    <row r="97" spans="1:6" ht="12.75">
      <c r="A97" s="88" t="s">
        <v>73</v>
      </c>
      <c r="B97" s="239">
        <v>0</v>
      </c>
      <c r="C97" s="248"/>
      <c r="D97" s="57">
        <v>0</v>
      </c>
      <c r="E97" s="56">
        <v>0</v>
      </c>
      <c r="F97" s="75">
        <v>0</v>
      </c>
    </row>
    <row r="98" spans="1:6" ht="12.75">
      <c r="A98" s="133" t="s">
        <v>100</v>
      </c>
      <c r="B98" s="240"/>
      <c r="C98" s="249">
        <v>0</v>
      </c>
      <c r="D98" s="60">
        <v>0</v>
      </c>
      <c r="E98" s="77">
        <v>0</v>
      </c>
      <c r="F98" s="78">
        <v>0</v>
      </c>
    </row>
    <row r="99" spans="1:6" s="110" customFormat="1" ht="12.75">
      <c r="A99" s="109" t="s">
        <v>113</v>
      </c>
      <c r="B99" s="79">
        <f>B97+B98</f>
        <v>0</v>
      </c>
      <c r="C99" s="79">
        <f>C97+C98</f>
        <v>0</v>
      </c>
      <c r="D99" s="79">
        <f>D97+D98</f>
        <v>0</v>
      </c>
      <c r="E99" s="79">
        <f>E97+E98</f>
        <v>0</v>
      </c>
      <c r="F99" s="62">
        <f>F97+F98</f>
        <v>0</v>
      </c>
    </row>
    <row r="100" spans="1:6" ht="12.75">
      <c r="A100" s="245"/>
      <c r="B100" s="82"/>
      <c r="C100" s="56"/>
      <c r="D100" s="85"/>
      <c r="E100" s="123"/>
      <c r="F100" s="82"/>
    </row>
    <row r="101" spans="1:6" s="110" customFormat="1" ht="13.5" thickBot="1">
      <c r="A101" s="243" t="s">
        <v>135</v>
      </c>
      <c r="B101" s="92">
        <f>B99+B94</f>
        <v>58660</v>
      </c>
      <c r="C101" s="92">
        <f>C99+C94</f>
        <v>145363</v>
      </c>
      <c r="D101" s="92">
        <f>D99+D94</f>
        <v>11321</v>
      </c>
      <c r="E101" s="92">
        <f>E99+E94</f>
        <v>9550</v>
      </c>
      <c r="F101" s="92">
        <f>F99+F94</f>
        <v>2070413</v>
      </c>
    </row>
    <row r="102" spans="1:6" s="110" customFormat="1" ht="12.75">
      <c r="A102" s="250"/>
      <c r="B102" s="251"/>
      <c r="C102" s="251"/>
      <c r="D102" s="251"/>
      <c r="E102" s="251"/>
      <c r="F102" s="251"/>
    </row>
    <row r="103" spans="1:6" s="110" customFormat="1" ht="12.75">
      <c r="A103" s="250"/>
      <c r="B103" s="251"/>
      <c r="C103" s="251"/>
      <c r="D103" s="251"/>
      <c r="E103" s="251"/>
      <c r="F103" s="251"/>
    </row>
    <row r="104" spans="1:6" ht="12.75">
      <c r="A104" s="1391">
        <v>3</v>
      </c>
      <c r="B104" s="1391"/>
      <c r="C104" s="1391"/>
      <c r="D104" s="1391"/>
      <c r="E104" s="1391"/>
      <c r="F104" s="1391"/>
    </row>
    <row r="106" spans="1:5" ht="14.25">
      <c r="A106" s="1383" t="s">
        <v>120</v>
      </c>
      <c r="B106" s="1383"/>
      <c r="C106" s="1383"/>
      <c r="D106" s="1383"/>
      <c r="E106" s="1383"/>
    </row>
    <row r="107" spans="1:6" ht="15.75">
      <c r="A107" s="1390" t="s">
        <v>121</v>
      </c>
      <c r="B107" s="1390"/>
      <c r="C107" s="1390"/>
      <c r="D107" s="1390"/>
      <c r="E107" s="1390"/>
      <c r="F107" s="1390"/>
    </row>
    <row r="108" spans="1:6" ht="15.75">
      <c r="A108" s="1382" t="s">
        <v>122</v>
      </c>
      <c r="B108" s="1382"/>
      <c r="C108" s="1382"/>
      <c r="D108" s="1382"/>
      <c r="E108" s="1382"/>
      <c r="F108" s="1382"/>
    </row>
    <row r="109" ht="12.75">
      <c r="E109" s="48" t="s">
        <v>79</v>
      </c>
    </row>
    <row r="110" spans="1:6" ht="40.5" customHeight="1">
      <c r="A110" s="49" t="s">
        <v>123</v>
      </c>
      <c r="B110" s="199" t="s">
        <v>1305</v>
      </c>
      <c r="C110" s="848" t="s">
        <v>144</v>
      </c>
      <c r="D110" s="199" t="s">
        <v>145</v>
      </c>
      <c r="E110" s="199" t="s">
        <v>146</v>
      </c>
      <c r="F110" s="199" t="s">
        <v>147</v>
      </c>
    </row>
    <row r="111" spans="1:6" ht="12.75">
      <c r="A111" s="63" t="s">
        <v>42</v>
      </c>
      <c r="B111" s="87"/>
      <c r="C111" s="87"/>
      <c r="D111" s="87"/>
      <c r="E111" s="229"/>
      <c r="F111" s="87"/>
    </row>
    <row r="112" spans="1:6" ht="12.75">
      <c r="A112" s="222" t="s">
        <v>43</v>
      </c>
      <c r="B112" s="67">
        <f>2615+165+17+196+2036</f>
        <v>5029</v>
      </c>
      <c r="C112" s="56">
        <f>150000-40507-36098-25067-87-3166-13112</f>
        <v>31963</v>
      </c>
      <c r="D112" s="67"/>
      <c r="E112" s="68"/>
      <c r="F112" s="56"/>
    </row>
    <row r="113" spans="1:6" ht="12.75">
      <c r="A113" s="58" t="s">
        <v>44</v>
      </c>
      <c r="B113" s="67">
        <f>681+5+53+523</f>
        <v>1262</v>
      </c>
      <c r="C113" s="56">
        <f>41421-11480-9747-6768-23-855-3540</f>
        <v>9008</v>
      </c>
      <c r="D113" s="67"/>
      <c r="E113" s="68"/>
      <c r="F113" s="56"/>
    </row>
    <row r="114" spans="1:6" ht="12.75">
      <c r="A114" s="58" t="s">
        <v>45</v>
      </c>
      <c r="B114" s="67">
        <f>206+41+100</f>
        <v>347</v>
      </c>
      <c r="C114" s="56">
        <f>375-332</f>
        <v>43</v>
      </c>
      <c r="D114" s="67">
        <f>33750-12687</f>
        <v>21063</v>
      </c>
      <c r="E114" s="68">
        <f>1375-538</f>
        <v>837</v>
      </c>
      <c r="F114" s="56">
        <f>41400+2188+12</f>
        <v>43600</v>
      </c>
    </row>
    <row r="115" spans="1:6" ht="12.75">
      <c r="A115" s="58" t="s">
        <v>148</v>
      </c>
      <c r="B115" s="67"/>
      <c r="C115" s="56"/>
      <c r="D115" s="67"/>
      <c r="E115" s="68"/>
      <c r="F115" s="56"/>
    </row>
    <row r="116" spans="1:6" ht="12.75">
      <c r="A116" s="58" t="s">
        <v>47</v>
      </c>
      <c r="B116" s="67"/>
      <c r="C116" s="56"/>
      <c r="D116" s="67"/>
      <c r="E116" s="68"/>
      <c r="F116" s="56"/>
    </row>
    <row r="117" spans="1:6" ht="12.75">
      <c r="A117" s="223" t="s">
        <v>48</v>
      </c>
      <c r="B117" s="67"/>
      <c r="C117" s="56">
        <f>29219+75+2333+455+25019+2214+1460+6312+17145+1363+641+2077+10788</f>
        <v>99101</v>
      </c>
      <c r="D117" s="67"/>
      <c r="E117" s="68"/>
      <c r="F117" s="56"/>
    </row>
    <row r="118" spans="1:6" ht="12.75">
      <c r="A118" s="224" t="s">
        <v>149</v>
      </c>
      <c r="B118" s="77">
        <f>B117</f>
        <v>0</v>
      </c>
      <c r="C118" s="77">
        <f>C117</f>
        <v>99101</v>
      </c>
      <c r="D118" s="77">
        <f>D117</f>
        <v>0</v>
      </c>
      <c r="E118" s="77">
        <f>E117</f>
        <v>0</v>
      </c>
      <c r="F118" s="77">
        <f>F117</f>
        <v>0</v>
      </c>
    </row>
    <row r="119" spans="1:6" s="110" customFormat="1" ht="12.75">
      <c r="A119" s="109" t="s">
        <v>129</v>
      </c>
      <c r="B119" s="62">
        <f>SUM(B112:B117)</f>
        <v>6638</v>
      </c>
      <c r="C119" s="62">
        <f>SUM(C112:C117)</f>
        <v>140115</v>
      </c>
      <c r="D119" s="62">
        <f>SUM(D112:D117)</f>
        <v>21063</v>
      </c>
      <c r="E119" s="62">
        <f>SUM(E112:E117)</f>
        <v>837</v>
      </c>
      <c r="F119" s="62">
        <f>SUM(F112:F117)</f>
        <v>43600</v>
      </c>
    </row>
    <row r="120" spans="1:6" ht="12.75">
      <c r="A120" s="112"/>
      <c r="B120" s="82"/>
      <c r="C120" s="113"/>
      <c r="D120" s="67"/>
      <c r="E120" s="68"/>
      <c r="F120" s="67"/>
    </row>
    <row r="121" spans="1:6" ht="12.75">
      <c r="A121" s="66" t="s">
        <v>51</v>
      </c>
      <c r="B121" s="56"/>
      <c r="C121" s="113"/>
      <c r="D121" s="67"/>
      <c r="E121" s="225"/>
      <c r="F121" s="56"/>
    </row>
    <row r="122" spans="1:6" ht="12.75">
      <c r="A122" s="58" t="s">
        <v>52</v>
      </c>
      <c r="B122" s="67">
        <v>0</v>
      </c>
      <c r="C122" s="75">
        <v>0</v>
      </c>
      <c r="D122" s="67">
        <v>0</v>
      </c>
      <c r="E122" s="225">
        <v>0</v>
      </c>
      <c r="F122" s="56">
        <f>'4_sz_ melléklet'!B52</f>
        <v>472</v>
      </c>
    </row>
    <row r="123" spans="1:6" ht="12.75">
      <c r="A123" s="58" t="s">
        <v>53</v>
      </c>
      <c r="B123" s="67">
        <v>0</v>
      </c>
      <c r="C123" s="75"/>
      <c r="D123" s="67">
        <v>0</v>
      </c>
      <c r="E123" s="225">
        <f>'3_sz_ melléklet'!B44</f>
        <v>15000</v>
      </c>
      <c r="F123" s="56">
        <v>0</v>
      </c>
    </row>
    <row r="124" spans="1:6" ht="12.75">
      <c r="A124" s="58" t="s">
        <v>54</v>
      </c>
      <c r="B124" s="67">
        <v>0</v>
      </c>
      <c r="C124" s="75">
        <v>0</v>
      </c>
      <c r="D124" s="67">
        <v>0</v>
      </c>
      <c r="E124" s="225">
        <v>0</v>
      </c>
      <c r="F124" s="56">
        <v>0</v>
      </c>
    </row>
    <row r="125" spans="1:6" ht="12.75">
      <c r="A125" s="1158" t="s">
        <v>111</v>
      </c>
      <c r="B125" s="67">
        <f>-B115</f>
        <v>0</v>
      </c>
      <c r="C125" s="67">
        <f>-C115</f>
        <v>0</v>
      </c>
      <c r="D125" s="67">
        <f>-D115</f>
        <v>0</v>
      </c>
      <c r="E125" s="67">
        <f>-E115</f>
        <v>0</v>
      </c>
      <c r="F125" s="67">
        <f>-F115</f>
        <v>0</v>
      </c>
    </row>
    <row r="126" spans="1:6" ht="13.5" thickBot="1">
      <c r="A126" s="155" t="s">
        <v>1238</v>
      </c>
      <c r="B126" s="82"/>
      <c r="C126" s="72"/>
      <c r="D126" s="82"/>
      <c r="E126" s="70"/>
      <c r="F126" s="77"/>
    </row>
    <row r="127" spans="1:6" s="110" customFormat="1" ht="13.5" thickBot="1">
      <c r="A127" s="61" t="s">
        <v>90</v>
      </c>
      <c r="B127" s="62">
        <f>B122+B123+B124+B125+B126</f>
        <v>0</v>
      </c>
      <c r="C127" s="62">
        <f>C122+C123+C124+C125+C126</f>
        <v>0</v>
      </c>
      <c r="D127" s="62">
        <f>D122+D123+D124+D125+D126</f>
        <v>0</v>
      </c>
      <c r="E127" s="62">
        <f>E122+E123+E124+E125+E126</f>
        <v>15000</v>
      </c>
      <c r="F127" s="62">
        <f>F122+F123+F124+F125+F126</f>
        <v>472</v>
      </c>
    </row>
    <row r="128" spans="1:6" ht="12.75">
      <c r="A128" s="115"/>
      <c r="B128" s="70"/>
      <c r="C128" s="71"/>
      <c r="D128" s="230"/>
      <c r="E128" s="71"/>
      <c r="F128" s="111"/>
    </row>
    <row r="129" spans="1:6" ht="12.75">
      <c r="A129" s="115" t="s">
        <v>57</v>
      </c>
      <c r="B129" s="70"/>
      <c r="C129" s="82"/>
      <c r="D129" s="70"/>
      <c r="E129" s="82"/>
      <c r="F129" s="72"/>
    </row>
    <row r="130" spans="1:6" ht="12.75">
      <c r="A130" s="226" t="s">
        <v>58</v>
      </c>
      <c r="B130" s="74">
        <v>0</v>
      </c>
      <c r="C130" s="56">
        <v>0</v>
      </c>
      <c r="D130" s="74">
        <v>0</v>
      </c>
      <c r="E130" s="56">
        <v>0</v>
      </c>
      <c r="F130" s="75">
        <v>0</v>
      </c>
    </row>
    <row r="131" spans="1:6" ht="12.75">
      <c r="A131" s="227" t="s">
        <v>59</v>
      </c>
      <c r="B131" s="70">
        <v>0</v>
      </c>
      <c r="C131" s="96">
        <v>0</v>
      </c>
      <c r="D131" s="241">
        <v>0</v>
      </c>
      <c r="E131" s="96">
        <v>0</v>
      </c>
      <c r="F131" s="253">
        <v>0</v>
      </c>
    </row>
    <row r="132" spans="1:6" ht="12.75">
      <c r="A132" s="61" t="s">
        <v>130</v>
      </c>
      <c r="B132" s="62">
        <f>B130+B131</f>
        <v>0</v>
      </c>
      <c r="C132" s="62">
        <f>C130+C131</f>
        <v>0</v>
      </c>
      <c r="D132" s="62">
        <f>D130+D131</f>
        <v>0</v>
      </c>
      <c r="E132" s="62">
        <f>E130+E131</f>
        <v>0</v>
      </c>
      <c r="F132" s="62">
        <f>F130+F131</f>
        <v>0</v>
      </c>
    </row>
    <row r="133" spans="1:6" ht="9" customHeight="1">
      <c r="A133" s="115"/>
      <c r="B133" s="82"/>
      <c r="C133" s="70"/>
      <c r="D133" s="82"/>
      <c r="E133" s="82"/>
      <c r="F133" s="72"/>
    </row>
    <row r="134" spans="1:6" ht="12.75">
      <c r="A134" s="81" t="s">
        <v>93</v>
      </c>
      <c r="B134" s="67"/>
      <c r="C134" s="225"/>
      <c r="D134" s="67"/>
      <c r="E134" s="67"/>
      <c r="F134" s="113"/>
    </row>
    <row r="135" spans="1:6" ht="12.75">
      <c r="A135" s="73" t="s">
        <v>58</v>
      </c>
      <c r="B135" s="67">
        <v>0</v>
      </c>
      <c r="C135" s="225">
        <v>0</v>
      </c>
      <c r="D135" s="67">
        <v>0</v>
      </c>
      <c r="E135" s="67">
        <f>1_e_f_sz_melléklet!C45</f>
        <v>26770</v>
      </c>
      <c r="F135" s="75">
        <v>0</v>
      </c>
    </row>
    <row r="136" spans="1:6" ht="12.75">
      <c r="A136" s="228" t="s">
        <v>59</v>
      </c>
      <c r="B136" s="82">
        <v>0</v>
      </c>
      <c r="C136" s="70">
        <v>0</v>
      </c>
      <c r="D136" s="82">
        <v>0</v>
      </c>
      <c r="E136" s="82">
        <v>0</v>
      </c>
      <c r="F136" s="78">
        <v>0</v>
      </c>
    </row>
    <row r="137" spans="1:6" s="110" customFormat="1" ht="12.75">
      <c r="A137" s="61" t="s">
        <v>94</v>
      </c>
      <c r="B137" s="62">
        <f>B135+B136</f>
        <v>0</v>
      </c>
      <c r="C137" s="62">
        <f>C135+C136</f>
        <v>0</v>
      </c>
      <c r="D137" s="62">
        <f>D135+D136</f>
        <v>0</v>
      </c>
      <c r="E137" s="62">
        <f>E135+E136</f>
        <v>26770</v>
      </c>
      <c r="F137" s="62">
        <f>F135+F136</f>
        <v>0</v>
      </c>
    </row>
    <row r="138" spans="1:6" ht="18.75" customHeight="1">
      <c r="A138" s="63" t="s">
        <v>63</v>
      </c>
      <c r="B138" s="67"/>
      <c r="C138" s="67"/>
      <c r="D138" s="67"/>
      <c r="E138" s="225"/>
      <c r="F138" s="67"/>
    </row>
    <row r="139" spans="1:6" ht="12.75">
      <c r="A139" s="76" t="s">
        <v>95</v>
      </c>
      <c r="B139" s="82">
        <v>0</v>
      </c>
      <c r="C139" s="82">
        <v>0</v>
      </c>
      <c r="D139" s="82">
        <v>0</v>
      </c>
      <c r="E139" s="70">
        <v>0</v>
      </c>
      <c r="F139" s="56">
        <v>0</v>
      </c>
    </row>
    <row r="140" spans="1:6" ht="12.75">
      <c r="A140" s="223" t="s">
        <v>131</v>
      </c>
      <c r="B140" s="56">
        <v>0</v>
      </c>
      <c r="C140" s="56">
        <v>0</v>
      </c>
      <c r="D140" s="56">
        <v>0</v>
      </c>
      <c r="E140" s="74">
        <v>0</v>
      </c>
      <c r="F140" s="77">
        <v>0</v>
      </c>
    </row>
    <row r="141" spans="1:6" s="110" customFormat="1" ht="12.75">
      <c r="A141" s="61" t="s">
        <v>97</v>
      </c>
      <c r="B141" s="62">
        <f>B139+B140</f>
        <v>0</v>
      </c>
      <c r="C141" s="62">
        <f>C139+C140</f>
        <v>0</v>
      </c>
      <c r="D141" s="62">
        <f>D139+D140</f>
        <v>0</v>
      </c>
      <c r="E141" s="62">
        <f>E139+E140</f>
        <v>0</v>
      </c>
      <c r="F141" s="62">
        <f>F139+F140</f>
        <v>0</v>
      </c>
    </row>
    <row r="142" spans="1:6" ht="19.5" customHeight="1">
      <c r="A142" s="66" t="s">
        <v>67</v>
      </c>
      <c r="B142" s="128"/>
      <c r="C142" s="87"/>
      <c r="D142" s="229"/>
      <c r="E142" s="128"/>
      <c r="F142" s="67"/>
    </row>
    <row r="143" spans="1:6" ht="12.75">
      <c r="A143" s="55" t="s">
        <v>132</v>
      </c>
      <c r="B143" s="225">
        <v>0</v>
      </c>
      <c r="C143" s="67">
        <v>0</v>
      </c>
      <c r="D143" s="68">
        <v>0</v>
      </c>
      <c r="E143" s="225">
        <v>0</v>
      </c>
      <c r="F143" s="56">
        <v>0</v>
      </c>
    </row>
    <row r="144" spans="1:6" ht="12.75">
      <c r="A144" s="55" t="s">
        <v>133</v>
      </c>
      <c r="B144" s="74">
        <v>0</v>
      </c>
      <c r="C144" s="56">
        <v>0</v>
      </c>
      <c r="D144" s="57">
        <v>0</v>
      </c>
      <c r="E144" s="74">
        <v>0</v>
      </c>
      <c r="F144" s="56">
        <v>0</v>
      </c>
    </row>
    <row r="145" spans="1:6" ht="12.75">
      <c r="A145" s="109" t="s">
        <v>70</v>
      </c>
      <c r="B145" s="85"/>
      <c r="C145" s="85"/>
      <c r="D145" s="85"/>
      <c r="E145" s="123"/>
      <c r="F145" s="85"/>
    </row>
    <row r="146" spans="1:6" ht="12.75">
      <c r="A146" s="115"/>
      <c r="B146" s="71"/>
      <c r="C146" s="71"/>
      <c r="D146" s="71"/>
      <c r="E146" s="230"/>
      <c r="F146" s="82"/>
    </row>
    <row r="147" spans="1:6" ht="12.75">
      <c r="A147" s="231" t="s">
        <v>142</v>
      </c>
      <c r="B147" s="232"/>
      <c r="C147" s="232"/>
      <c r="D147" s="71"/>
      <c r="E147" s="230"/>
      <c r="F147" s="71"/>
    </row>
    <row r="148" spans="1:6" s="110" customFormat="1" ht="12.75">
      <c r="A148" s="234" t="s">
        <v>98</v>
      </c>
      <c r="B148" s="254">
        <f>B141+B137+B132+B127+B119</f>
        <v>6638</v>
      </c>
      <c r="C148" s="254">
        <f>C141+C137+C132+C127+C119</f>
        <v>140115</v>
      </c>
      <c r="D148" s="254">
        <f>D141+D137+D132+D127+D119</f>
        <v>21063</v>
      </c>
      <c r="E148" s="254">
        <f>E141+E137+E132+E127+E119</f>
        <v>42607</v>
      </c>
      <c r="F148" s="254">
        <f>F141+F137+F132+F127+F119</f>
        <v>44072</v>
      </c>
    </row>
    <row r="149" spans="1:6" ht="12.75">
      <c r="A149" s="255" t="s">
        <v>99</v>
      </c>
      <c r="B149" s="247"/>
      <c r="C149" s="256"/>
      <c r="D149" s="257"/>
      <c r="E149" s="256"/>
      <c r="F149" s="257"/>
    </row>
    <row r="150" spans="1:6" ht="12.75">
      <c r="A150" s="88" t="s">
        <v>73</v>
      </c>
      <c r="B150" s="248">
        <v>0</v>
      </c>
      <c r="C150" s="258">
        <v>0</v>
      </c>
      <c r="D150" s="259">
        <v>0</v>
      </c>
      <c r="E150" s="258">
        <v>0</v>
      </c>
      <c r="F150" s="259">
        <v>0</v>
      </c>
    </row>
    <row r="151" spans="1:6" ht="12.75">
      <c r="A151" s="133" t="s">
        <v>100</v>
      </c>
      <c r="B151" s="260">
        <v>0</v>
      </c>
      <c r="C151" s="261">
        <v>0</v>
      </c>
      <c r="D151" s="262">
        <v>0</v>
      </c>
      <c r="E151" s="261">
        <v>0</v>
      </c>
      <c r="F151" s="262">
        <f>F145+F141+F136+F131+F123</f>
        <v>0</v>
      </c>
    </row>
    <row r="152" spans="1:6" s="110" customFormat="1" ht="12.75">
      <c r="A152" s="109" t="s">
        <v>113</v>
      </c>
      <c r="B152" s="62">
        <f>B150+B151</f>
        <v>0</v>
      </c>
      <c r="C152" s="62">
        <f>C150+C151</f>
        <v>0</v>
      </c>
      <c r="D152" s="62">
        <f>D150+D151</f>
        <v>0</v>
      </c>
      <c r="E152" s="62">
        <f>E150+E151</f>
        <v>0</v>
      </c>
      <c r="F152" s="62">
        <f>F150+F151</f>
        <v>0</v>
      </c>
    </row>
    <row r="153" spans="1:6" ht="12.75">
      <c r="A153" s="245"/>
      <c r="B153" s="82"/>
      <c r="C153" s="263"/>
      <c r="D153" s="263"/>
      <c r="E153" s="263"/>
      <c r="F153" s="263"/>
    </row>
    <row r="154" spans="1:6" s="110" customFormat="1" ht="12.75">
      <c r="A154" s="243" t="s">
        <v>135</v>
      </c>
      <c r="B154" s="92">
        <f>B148+B152</f>
        <v>6638</v>
      </c>
      <c r="C154" s="254">
        <f>C148+C144+C139+C134+C126</f>
        <v>140115</v>
      </c>
      <c r="D154" s="254">
        <f>D148+D144+D139+D134+D126</f>
        <v>21063</v>
      </c>
      <c r="E154" s="254">
        <f>E148+E144+E139+E134+E126</f>
        <v>42607</v>
      </c>
      <c r="F154" s="254">
        <f>F148+F144+F139+F134+F126</f>
        <v>44072</v>
      </c>
    </row>
    <row r="155" spans="1:6" s="110" customFormat="1" ht="12.75">
      <c r="A155" s="250"/>
      <c r="B155" s="251"/>
      <c r="C155" s="264"/>
      <c r="D155" s="264"/>
      <c r="E155" s="264"/>
      <c r="F155" s="264"/>
    </row>
    <row r="156" spans="1:6" ht="12.75">
      <c r="A156" s="1391">
        <v>4</v>
      </c>
      <c r="B156" s="1391"/>
      <c r="C156" s="1391"/>
      <c r="D156" s="1391"/>
      <c r="E156" s="1391"/>
      <c r="F156" s="1391"/>
    </row>
    <row r="157" spans="1:5" ht="14.25">
      <c r="A157" s="1383" t="s">
        <v>120</v>
      </c>
      <c r="B157" s="1383"/>
      <c r="C157" s="1383"/>
      <c r="D157" s="1383"/>
      <c r="E157" s="1383"/>
    </row>
    <row r="158" spans="1:6" ht="15.75">
      <c r="A158" s="1382" t="s">
        <v>121</v>
      </c>
      <c r="B158" s="1382"/>
      <c r="C158" s="1382"/>
      <c r="D158" s="1382"/>
      <c r="E158" s="1382"/>
      <c r="F158" s="1382"/>
    </row>
    <row r="159" spans="1:6" ht="15.75">
      <c r="A159" s="1382" t="s">
        <v>122</v>
      </c>
      <c r="B159" s="1382"/>
      <c r="C159" s="1382"/>
      <c r="D159" s="1382"/>
      <c r="E159" s="1382"/>
      <c r="F159" s="1382"/>
    </row>
    <row r="160" ht="12.75">
      <c r="E160" s="48" t="s">
        <v>79</v>
      </c>
    </row>
    <row r="161" spans="1:6" ht="52.5" customHeight="1">
      <c r="A161" s="49" t="s">
        <v>123</v>
      </c>
      <c r="B161" s="219" t="s">
        <v>150</v>
      </c>
      <c r="C161" s="265" t="s">
        <v>151</v>
      </c>
      <c r="D161" s="199" t="s">
        <v>152</v>
      </c>
      <c r="E161" s="842" t="s">
        <v>153</v>
      </c>
      <c r="F161" s="842" t="s">
        <v>154</v>
      </c>
    </row>
    <row r="162" spans="1:6" ht="15.75" customHeight="1">
      <c r="A162" s="63" t="s">
        <v>42</v>
      </c>
      <c r="B162" s="87"/>
      <c r="C162" s="87"/>
      <c r="D162" s="87"/>
      <c r="E162" s="229"/>
      <c r="F162" s="87"/>
    </row>
    <row r="163" spans="1:6" ht="12.75">
      <c r="A163" s="222" t="s">
        <v>43</v>
      </c>
      <c r="B163" s="67">
        <f>6534+83+2000+3400+8+4+98+98+49+12919-160+130+441+480+1209</f>
        <v>27293</v>
      </c>
      <c r="C163" s="56"/>
      <c r="D163" s="67"/>
      <c r="E163" s="68"/>
      <c r="F163" s="56"/>
    </row>
    <row r="164" spans="1:6" ht="12.75">
      <c r="A164" s="58" t="s">
        <v>44</v>
      </c>
      <c r="B164" s="67">
        <f>1281+500+926+4+27+26+13+3488-94+35+5+176+171+327</f>
        <v>6885</v>
      </c>
      <c r="C164" s="56"/>
      <c r="D164" s="67"/>
      <c r="E164" s="68">
        <f>10512+249</f>
        <v>10761</v>
      </c>
      <c r="F164" s="56"/>
    </row>
    <row r="165" spans="1:6" ht="12.75">
      <c r="A165" s="58" t="s">
        <v>45</v>
      </c>
      <c r="B165" s="67">
        <f>16977+21+9785+13912-9+2376+5798-15053+13473+27169+312+348-108-115+7764+4760+2034+250</f>
        <v>89694</v>
      </c>
      <c r="C165" s="56">
        <f>2643-206-54-26</f>
        <v>2357</v>
      </c>
      <c r="D165" s="67">
        <f>37736+15693+28+200+1000</f>
        <v>54657</v>
      </c>
      <c r="E165" s="68">
        <f>7900+33+500+100-2046+2-1-1-1</f>
        <v>6486</v>
      </c>
      <c r="F165" s="56">
        <f>8639+240</f>
        <v>8879</v>
      </c>
    </row>
    <row r="166" spans="1:6" ht="12.75">
      <c r="A166" s="58" t="s">
        <v>155</v>
      </c>
      <c r="B166" s="67"/>
      <c r="C166" s="56"/>
      <c r="D166" s="67"/>
      <c r="E166" s="68"/>
      <c r="F166" s="56"/>
    </row>
    <row r="167" spans="1:6" ht="12.75">
      <c r="A167" s="58" t="s">
        <v>47</v>
      </c>
      <c r="B167" s="67"/>
      <c r="C167" s="56"/>
      <c r="D167" s="67"/>
      <c r="E167" s="68"/>
      <c r="F167" s="56"/>
    </row>
    <row r="168" spans="1:6" ht="12.75">
      <c r="A168" s="223" t="s">
        <v>48</v>
      </c>
      <c r="B168" s="67"/>
      <c r="C168" s="56"/>
      <c r="D168" s="67"/>
      <c r="E168" s="68">
        <f>244481+676+1416-653+14671+78-3650-500+4306+11606-329-920+431-738-142-3713+2560+530+2336-1331-561-596-550-9108-268+1</f>
        <v>260033</v>
      </c>
      <c r="F168" s="56"/>
    </row>
    <row r="169" spans="1:6" ht="12.75">
      <c r="A169" s="224" t="s">
        <v>149</v>
      </c>
      <c r="B169" s="56"/>
      <c r="C169" s="56"/>
      <c r="D169" s="56"/>
      <c r="E169" s="56">
        <f>E168</f>
        <v>260033</v>
      </c>
      <c r="F169" s="56"/>
    </row>
    <row r="170" spans="1:6" s="110" customFormat="1" ht="12.75">
      <c r="A170" s="61" t="s">
        <v>129</v>
      </c>
      <c r="B170" s="62">
        <f>SUM(B163:B168)</f>
        <v>123872</v>
      </c>
      <c r="C170" s="62">
        <f>SUM(C163:C168)</f>
        <v>2357</v>
      </c>
      <c r="D170" s="62">
        <f>SUM(D163:D168)</f>
        <v>54657</v>
      </c>
      <c r="E170" s="62">
        <f>SUM(E163:E168)</f>
        <v>277280</v>
      </c>
      <c r="F170" s="62">
        <f>SUM(F163:F168)</f>
        <v>8879</v>
      </c>
    </row>
    <row r="171" spans="1:6" ht="8.25" customHeight="1">
      <c r="A171" s="112"/>
      <c r="B171" s="87"/>
      <c r="C171" s="129"/>
      <c r="D171" s="87"/>
      <c r="E171" s="229"/>
      <c r="F171" s="67"/>
    </row>
    <row r="172" spans="1:6" ht="12.75">
      <c r="A172" s="66" t="s">
        <v>51</v>
      </c>
      <c r="B172" s="67"/>
      <c r="C172" s="113"/>
      <c r="D172" s="67"/>
      <c r="E172" s="225"/>
      <c r="F172" s="56"/>
    </row>
    <row r="173" spans="1:6" ht="12.75">
      <c r="A173" s="58" t="s">
        <v>52</v>
      </c>
      <c r="B173" s="67">
        <f>'4_sz_ melléklet'!B78</f>
        <v>344444</v>
      </c>
      <c r="C173" s="75">
        <v>0</v>
      </c>
      <c r="D173" s="67">
        <f>'4_sz_ melléklet'!B86</f>
        <v>175341</v>
      </c>
      <c r="E173" s="225">
        <v>0</v>
      </c>
      <c r="F173" s="56">
        <f>'4_sz_ melléklet'!B60</f>
        <v>100243</v>
      </c>
    </row>
    <row r="174" spans="1:6" ht="12.75">
      <c r="A174" s="58" t="s">
        <v>53</v>
      </c>
      <c r="B174" s="67">
        <f>'3_sz_ melléklet'!B41</f>
        <v>17200</v>
      </c>
      <c r="C174" s="75">
        <v>0</v>
      </c>
      <c r="D174" s="67">
        <f>'3_sz_ melléklet'!B32</f>
        <v>48563</v>
      </c>
      <c r="E174" s="225">
        <v>0</v>
      </c>
      <c r="F174" s="56">
        <v>0</v>
      </c>
    </row>
    <row r="175" spans="1:6" ht="12.75">
      <c r="A175" s="58" t="s">
        <v>54</v>
      </c>
      <c r="B175" s="67">
        <v>0</v>
      </c>
      <c r="C175" s="75">
        <v>0</v>
      </c>
      <c r="D175" s="67">
        <v>0</v>
      </c>
      <c r="E175" s="225">
        <v>0</v>
      </c>
      <c r="F175" s="56">
        <v>0</v>
      </c>
    </row>
    <row r="176" spans="1:6" ht="12.75">
      <c r="A176" s="223" t="s">
        <v>111</v>
      </c>
      <c r="B176" s="67">
        <f>-B166</f>
        <v>0</v>
      </c>
      <c r="C176" s="67">
        <f>-C166</f>
        <v>0</v>
      </c>
      <c r="D176" s="67">
        <f>-D166</f>
        <v>0</v>
      </c>
      <c r="E176" s="67">
        <f>-E166</f>
        <v>0</v>
      </c>
      <c r="F176" s="67">
        <f>-F166</f>
        <v>0</v>
      </c>
    </row>
    <row r="177" spans="1:6" ht="12" customHeight="1">
      <c r="A177" s="155" t="s">
        <v>1238</v>
      </c>
      <c r="B177" s="82"/>
      <c r="C177" s="72"/>
      <c r="D177" s="82"/>
      <c r="E177" s="70"/>
      <c r="F177" s="77"/>
    </row>
    <row r="178" spans="1:6" ht="12.75">
      <c r="A178" s="61" t="s">
        <v>90</v>
      </c>
      <c r="B178" s="62">
        <f>B173+B174+B175+B176+B177</f>
        <v>361644</v>
      </c>
      <c r="C178" s="62">
        <f>C173+C174+C175+C176+C177</f>
        <v>0</v>
      </c>
      <c r="D178" s="62">
        <f>D173+D174+D175+D176+D177</f>
        <v>223904</v>
      </c>
      <c r="E178" s="62">
        <f>E173+E174+E175+E176+E177</f>
        <v>0</v>
      </c>
      <c r="F178" s="62">
        <f>F173+F174+F175+F176+F177</f>
        <v>100243</v>
      </c>
    </row>
    <row r="179" spans="1:6" ht="6" customHeight="1">
      <c r="A179" s="115"/>
      <c r="B179" s="82"/>
      <c r="C179" s="70"/>
      <c r="D179" s="82"/>
      <c r="E179" s="72"/>
      <c r="F179" s="82"/>
    </row>
    <row r="180" spans="1:6" ht="12.75">
      <c r="A180" s="115" t="s">
        <v>57</v>
      </c>
      <c r="B180" s="82"/>
      <c r="C180" s="70"/>
      <c r="D180" s="82"/>
      <c r="E180" s="72"/>
      <c r="F180" s="82"/>
    </row>
    <row r="181" spans="1:6" ht="12.75">
      <c r="A181" s="226" t="s">
        <v>58</v>
      </c>
      <c r="B181" s="56">
        <f>1_e_f_sz_melléklet!C16+1_e_f_sz_melléklet!C12+1_e_f_sz_melléklet!C13</f>
        <v>2287</v>
      </c>
      <c r="C181" s="74">
        <v>0</v>
      </c>
      <c r="D181" s="56">
        <v>0</v>
      </c>
      <c r="E181" s="75">
        <v>0</v>
      </c>
      <c r="F181" s="56">
        <v>0</v>
      </c>
    </row>
    <row r="182" spans="1:6" ht="12.75">
      <c r="A182" s="227" t="s">
        <v>59</v>
      </c>
      <c r="B182" s="82">
        <v>0</v>
      </c>
      <c r="C182" s="70">
        <v>0</v>
      </c>
      <c r="D182" s="82">
        <v>0</v>
      </c>
      <c r="E182" s="72">
        <v>0</v>
      </c>
      <c r="F182" s="77">
        <v>0</v>
      </c>
    </row>
    <row r="183" spans="1:6" ht="12.75">
      <c r="A183" s="61" t="s">
        <v>130</v>
      </c>
      <c r="B183" s="62">
        <f>B181+B182</f>
        <v>2287</v>
      </c>
      <c r="C183" s="62">
        <f>C181+C182</f>
        <v>0</v>
      </c>
      <c r="D183" s="62">
        <f>D181+D182</f>
        <v>0</v>
      </c>
      <c r="E183" s="62">
        <f>E181+E182</f>
        <v>0</v>
      </c>
      <c r="F183" s="62">
        <f>F181+F182</f>
        <v>0</v>
      </c>
    </row>
    <row r="184" spans="1:6" ht="12.75">
      <c r="A184" s="115"/>
      <c r="B184" s="82"/>
      <c r="C184" s="70"/>
      <c r="D184" s="82"/>
      <c r="E184" s="82"/>
      <c r="F184" s="72"/>
    </row>
    <row r="185" spans="1:6" ht="12.75">
      <c r="A185" s="81" t="s">
        <v>93</v>
      </c>
      <c r="B185" s="67"/>
      <c r="C185" s="225"/>
      <c r="D185" s="67"/>
      <c r="E185" s="67"/>
      <c r="F185" s="113"/>
    </row>
    <row r="186" spans="1:6" ht="12.75">
      <c r="A186" s="73" t="s">
        <v>58</v>
      </c>
      <c r="B186" s="67">
        <v>0</v>
      </c>
      <c r="C186" s="225">
        <v>0</v>
      </c>
      <c r="D186" s="67">
        <v>0</v>
      </c>
      <c r="E186" s="67">
        <v>0</v>
      </c>
      <c r="F186" s="75">
        <f>1_e_f_sz_melléklet!C42+1_e_f_sz_melléklet!C43+1_e_f_sz_melléklet!C44</f>
        <v>2341</v>
      </c>
    </row>
    <row r="187" spans="1:6" ht="12.75">
      <c r="A187" s="228" t="s">
        <v>59</v>
      </c>
      <c r="B187" s="82">
        <v>0</v>
      </c>
      <c r="C187" s="70">
        <v>0</v>
      </c>
      <c r="D187" s="82">
        <v>0</v>
      </c>
      <c r="E187" s="82">
        <v>0</v>
      </c>
      <c r="F187" s="78">
        <f>1_e_f_sz_melléklet!C48+1_e_f_sz_melléklet!C49+1_e_f_sz_melléklet!C50+1_e_f_sz_melléklet!C51</f>
        <v>65051</v>
      </c>
    </row>
    <row r="188" spans="1:6" ht="12.75">
      <c r="A188" s="61" t="s">
        <v>94</v>
      </c>
      <c r="B188" s="62">
        <f>B186+B187</f>
        <v>0</v>
      </c>
      <c r="C188" s="62">
        <f>C186+C187</f>
        <v>0</v>
      </c>
      <c r="D188" s="62">
        <f>D186+D187</f>
        <v>0</v>
      </c>
      <c r="E188" s="62">
        <f>E186+E187</f>
        <v>0</v>
      </c>
      <c r="F188" s="62">
        <f>F186+F187</f>
        <v>67392</v>
      </c>
    </row>
    <row r="189" spans="1:6" ht="18" customHeight="1">
      <c r="A189" s="63" t="s">
        <v>63</v>
      </c>
      <c r="B189" s="67"/>
      <c r="C189" s="67"/>
      <c r="D189" s="67"/>
      <c r="E189" s="225"/>
      <c r="F189" s="67"/>
    </row>
    <row r="190" spans="1:6" ht="12.75">
      <c r="A190" s="76" t="s">
        <v>95</v>
      </c>
      <c r="B190" s="82">
        <v>0</v>
      </c>
      <c r="C190" s="82">
        <v>0</v>
      </c>
      <c r="D190" s="82">
        <v>0</v>
      </c>
      <c r="E190" s="70">
        <v>0</v>
      </c>
      <c r="F190" s="56">
        <v>0</v>
      </c>
    </row>
    <row r="191" spans="1:6" ht="12.75">
      <c r="A191" s="223" t="s">
        <v>131</v>
      </c>
      <c r="B191" s="56">
        <v>0</v>
      </c>
      <c r="C191" s="56">
        <v>0</v>
      </c>
      <c r="D191" s="56">
        <v>0</v>
      </c>
      <c r="E191" s="74">
        <v>0</v>
      </c>
      <c r="F191" s="77">
        <v>0</v>
      </c>
    </row>
    <row r="192" spans="1:6" ht="15" customHeight="1">
      <c r="A192" s="61" t="s">
        <v>97</v>
      </c>
      <c r="B192" s="62">
        <f>B190+B191</f>
        <v>0</v>
      </c>
      <c r="C192" s="62">
        <f>C190+C191</f>
        <v>0</v>
      </c>
      <c r="D192" s="62">
        <f>D190+D191</f>
        <v>0</v>
      </c>
      <c r="E192" s="62">
        <f>E190+E191</f>
        <v>0</v>
      </c>
      <c r="F192" s="62">
        <f>F190+F191</f>
        <v>0</v>
      </c>
    </row>
    <row r="193" spans="1:6" ht="17.25" customHeight="1">
      <c r="A193" s="66" t="s">
        <v>67</v>
      </c>
      <c r="B193" s="128"/>
      <c r="C193" s="87"/>
      <c r="D193" s="229"/>
      <c r="E193" s="128"/>
      <c r="F193" s="67"/>
    </row>
    <row r="194" spans="1:6" ht="12.75">
      <c r="A194" s="55" t="s">
        <v>132</v>
      </c>
      <c r="B194" s="225">
        <v>0</v>
      </c>
      <c r="C194" s="67">
        <v>0</v>
      </c>
      <c r="D194" s="68">
        <v>0</v>
      </c>
      <c r="E194" s="225">
        <v>0</v>
      </c>
      <c r="F194" s="56">
        <v>0</v>
      </c>
    </row>
    <row r="195" spans="1:6" ht="12.75">
      <c r="A195" s="55" t="s">
        <v>133</v>
      </c>
      <c r="B195" s="74">
        <v>0</v>
      </c>
      <c r="C195" s="56">
        <v>0</v>
      </c>
      <c r="D195" s="57">
        <v>0</v>
      </c>
      <c r="E195" s="74">
        <v>0</v>
      </c>
      <c r="F195" s="56">
        <v>0</v>
      </c>
    </row>
    <row r="196" spans="1:6" ht="12.75">
      <c r="A196" s="109" t="s">
        <v>70</v>
      </c>
      <c r="B196" s="62">
        <f>B194+B195</f>
        <v>0</v>
      </c>
      <c r="C196" s="62">
        <f>C194+C195</f>
        <v>0</v>
      </c>
      <c r="D196" s="62">
        <f>D194+D195</f>
        <v>0</v>
      </c>
      <c r="E196" s="62">
        <f>E194+E195</f>
        <v>0</v>
      </c>
      <c r="F196" s="62">
        <f>F194+F195</f>
        <v>0</v>
      </c>
    </row>
    <row r="197" spans="1:6" ht="12.75">
      <c r="A197" s="115"/>
      <c r="B197" s="71"/>
      <c r="C197" s="71"/>
      <c r="D197" s="71"/>
      <c r="E197" s="230"/>
      <c r="F197" s="82"/>
    </row>
    <row r="198" spans="1:6" ht="12.75">
      <c r="A198" s="231" t="s">
        <v>142</v>
      </c>
      <c r="B198" s="232"/>
      <c r="C198" s="232"/>
      <c r="D198" s="71"/>
      <c r="E198" s="230"/>
      <c r="F198" s="71"/>
    </row>
    <row r="199" spans="1:6" s="110" customFormat="1" ht="12.75">
      <c r="A199" s="234" t="s">
        <v>98</v>
      </c>
      <c r="B199" s="235">
        <f>B196+B192+B188+B183+B178+B170</f>
        <v>487803</v>
      </c>
      <c r="C199" s="235">
        <f>C196+C192+C188+C183+C178+C170</f>
        <v>2357</v>
      </c>
      <c r="D199" s="235">
        <f>D196+D192+D188+D183+D178+D170</f>
        <v>278561</v>
      </c>
      <c r="E199" s="235">
        <f>E196+E192+E188+E183+E178+E170</f>
        <v>277280</v>
      </c>
      <c r="F199" s="235">
        <f>F196+F192+F188+F183+F178+F170</f>
        <v>176514</v>
      </c>
    </row>
    <row r="200" spans="1:6" ht="12.75">
      <c r="A200" s="266"/>
      <c r="B200" s="267"/>
      <c r="C200" s="268"/>
      <c r="D200" s="82"/>
      <c r="E200" s="71"/>
      <c r="F200" s="72"/>
    </row>
    <row r="201" spans="1:6" ht="12.75">
      <c r="A201" s="269" t="s">
        <v>99</v>
      </c>
      <c r="B201" s="248"/>
      <c r="C201" s="239"/>
      <c r="D201" s="56"/>
      <c r="E201" s="56"/>
      <c r="F201" s="75"/>
    </row>
    <row r="202" spans="1:6" ht="12.75">
      <c r="A202" s="88" t="s">
        <v>73</v>
      </c>
      <c r="B202" s="248">
        <v>0</v>
      </c>
      <c r="C202" s="239">
        <v>0</v>
      </c>
      <c r="D202" s="56">
        <v>0</v>
      </c>
      <c r="E202" s="56">
        <v>0</v>
      </c>
      <c r="F202" s="75">
        <v>0</v>
      </c>
    </row>
    <row r="203" spans="1:6" ht="12.75">
      <c r="A203" s="133" t="s">
        <v>100</v>
      </c>
      <c r="B203" s="249">
        <v>0</v>
      </c>
      <c r="C203" s="240">
        <v>0</v>
      </c>
      <c r="D203" s="77">
        <v>0</v>
      </c>
      <c r="E203" s="77">
        <v>0</v>
      </c>
      <c r="F203" s="78">
        <v>0</v>
      </c>
    </row>
    <row r="204" spans="1:6" ht="12.75">
      <c r="A204" s="109" t="s">
        <v>113</v>
      </c>
      <c r="B204" s="62">
        <f>B202+B203</f>
        <v>0</v>
      </c>
      <c r="C204" s="62">
        <f>C202+C203</f>
        <v>0</v>
      </c>
      <c r="D204" s="62">
        <f>D202+D203</f>
        <v>0</v>
      </c>
      <c r="E204" s="62">
        <f>E202+E203</f>
        <v>0</v>
      </c>
      <c r="F204" s="62">
        <f>F202+F203</f>
        <v>0</v>
      </c>
    </row>
    <row r="205" spans="1:6" ht="12.75">
      <c r="A205" s="245"/>
      <c r="B205" s="82"/>
      <c r="C205" s="56"/>
      <c r="D205" s="85"/>
      <c r="E205" s="123"/>
      <c r="F205" s="82"/>
    </row>
    <row r="206" spans="1:6" s="110" customFormat="1" ht="12.75">
      <c r="A206" s="243" t="s">
        <v>135</v>
      </c>
      <c r="B206" s="92">
        <f>B199+B204</f>
        <v>487803</v>
      </c>
      <c r="C206" s="92">
        <f>C199+C204</f>
        <v>2357</v>
      </c>
      <c r="D206" s="92">
        <f>D199+D204</f>
        <v>278561</v>
      </c>
      <c r="E206" s="92">
        <f>E199+E204</f>
        <v>277280</v>
      </c>
      <c r="F206" s="92">
        <f>F199+F204</f>
        <v>176514</v>
      </c>
    </row>
    <row r="207" spans="1:6" s="110" customFormat="1" ht="12.75">
      <c r="A207" s="270"/>
      <c r="B207" s="270"/>
      <c r="C207" s="270"/>
      <c r="D207" s="270"/>
      <c r="E207" s="270"/>
      <c r="F207" s="270"/>
    </row>
    <row r="208" spans="1:6" ht="12.75">
      <c r="A208" s="1389">
        <v>5</v>
      </c>
      <c r="B208" s="1389"/>
      <c r="C208" s="1389"/>
      <c r="D208" s="1389"/>
      <c r="E208" s="1389"/>
      <c r="F208" s="1389"/>
    </row>
    <row r="209" spans="1:5" ht="14.25">
      <c r="A209" s="1383" t="s">
        <v>143</v>
      </c>
      <c r="B209" s="1383"/>
      <c r="C209" s="1383"/>
      <c r="D209" s="1383"/>
      <c r="E209" s="1383"/>
    </row>
    <row r="210" spans="1:6" ht="15.75">
      <c r="A210" s="1390" t="s">
        <v>121</v>
      </c>
      <c r="B210" s="1390"/>
      <c r="C210" s="1390"/>
      <c r="D210" s="1390"/>
      <c r="E210" s="1390"/>
      <c r="F210" s="1390"/>
    </row>
    <row r="211" spans="1:6" ht="15.75">
      <c r="A211" s="1382" t="s">
        <v>122</v>
      </c>
      <c r="B211" s="1382"/>
      <c r="C211" s="1382"/>
      <c r="D211" s="1382"/>
      <c r="E211" s="1382"/>
      <c r="F211" s="1382"/>
    </row>
    <row r="212" ht="12.75">
      <c r="E212" s="48" t="s">
        <v>79</v>
      </c>
    </row>
    <row r="213" spans="1:6" ht="54.75" customHeight="1">
      <c r="A213" s="49" t="s">
        <v>123</v>
      </c>
      <c r="B213" s="386" t="s">
        <v>156</v>
      </c>
      <c r="C213" s="843" t="s">
        <v>157</v>
      </c>
      <c r="D213" s="199" t="s">
        <v>158</v>
      </c>
      <c r="E213" s="218" t="s">
        <v>159</v>
      </c>
      <c r="F213" s="199" t="s">
        <v>160</v>
      </c>
    </row>
    <row r="214" spans="1:6" ht="12.75">
      <c r="A214" s="63" t="s">
        <v>42</v>
      </c>
      <c r="B214" s="87"/>
      <c r="C214" s="87"/>
      <c r="D214" s="87"/>
      <c r="E214" s="229"/>
      <c r="F214" s="87"/>
    </row>
    <row r="215" spans="1:6" ht="12.75">
      <c r="A215" s="222" t="s">
        <v>43</v>
      </c>
      <c r="B215" s="67">
        <f>150+1354</f>
        <v>1504</v>
      </c>
      <c r="C215" s="56"/>
      <c r="D215" s="67"/>
      <c r="E215" s="68"/>
      <c r="F215" s="56">
        <f>177+7+49</f>
        <v>233</v>
      </c>
    </row>
    <row r="216" spans="1:6" ht="12.75">
      <c r="A216" s="58" t="s">
        <v>44</v>
      </c>
      <c r="B216" s="67">
        <f>36+634</f>
        <v>670</v>
      </c>
      <c r="C216" s="56"/>
      <c r="D216" s="67"/>
      <c r="E216" s="68"/>
      <c r="F216" s="56">
        <f>18+2+13-5</f>
        <v>28</v>
      </c>
    </row>
    <row r="217" spans="1:6" ht="12.75">
      <c r="A217" s="58" t="s">
        <v>45</v>
      </c>
      <c r="B217" s="67">
        <f>11204-742-3857</f>
        <v>6605</v>
      </c>
      <c r="C217" s="56">
        <f>4897-4897</f>
        <v>0</v>
      </c>
      <c r="D217" s="67">
        <f>17219-3268-1113-4420-821-6</f>
        <v>7591</v>
      </c>
      <c r="E217" s="68">
        <f>1041+1040-988+836+1</f>
        <v>1930</v>
      </c>
      <c r="F217" s="56">
        <f>1436-18-94+5+457+211+254+5+16</f>
        <v>2272</v>
      </c>
    </row>
    <row r="218" spans="1:6" ht="12.75">
      <c r="A218" s="58" t="s">
        <v>161</v>
      </c>
      <c r="B218" s="67"/>
      <c r="C218" s="56">
        <f>-4897+4897</f>
        <v>0</v>
      </c>
      <c r="D218" s="67">
        <f>-3268+3268</f>
        <v>0</v>
      </c>
      <c r="E218" s="68"/>
      <c r="F218" s="56"/>
    </row>
    <row r="219" spans="1:6" ht="12.75">
      <c r="A219" s="58" t="s">
        <v>47</v>
      </c>
      <c r="B219" s="67"/>
      <c r="C219" s="56"/>
      <c r="D219" s="67"/>
      <c r="E219" s="68"/>
      <c r="F219" s="56"/>
    </row>
    <row r="220" spans="1:6" ht="12.75">
      <c r="A220" s="223" t="s">
        <v>48</v>
      </c>
      <c r="B220" s="67"/>
      <c r="C220" s="56"/>
      <c r="D220" s="67"/>
      <c r="E220" s="68"/>
      <c r="F220" s="56"/>
    </row>
    <row r="221" spans="1:6" ht="12.75">
      <c r="A221" s="224" t="s">
        <v>149</v>
      </c>
      <c r="B221" s="67"/>
      <c r="C221" s="56"/>
      <c r="D221" s="56"/>
      <c r="E221" s="56"/>
      <c r="F221" s="56"/>
    </row>
    <row r="222" spans="1:6" s="110" customFormat="1" ht="12.75">
      <c r="A222" s="61" t="s">
        <v>129</v>
      </c>
      <c r="B222" s="62">
        <f>SUM(B215:B220)</f>
        <v>8779</v>
      </c>
      <c r="C222" s="62">
        <f>SUM(C215:C220)</f>
        <v>0</v>
      </c>
      <c r="D222" s="62">
        <f>SUM(D215:D220)</f>
        <v>7591</v>
      </c>
      <c r="E222" s="62">
        <f>SUM(E215:E220)</f>
        <v>1930</v>
      </c>
      <c r="F222" s="62">
        <f>SUM(F215:F220)</f>
        <v>2533</v>
      </c>
    </row>
    <row r="223" spans="1:6" ht="7.5" customHeight="1">
      <c r="A223" s="112"/>
      <c r="B223" s="87"/>
      <c r="C223" s="129"/>
      <c r="D223" s="87"/>
      <c r="E223" s="229"/>
      <c r="F223" s="67"/>
    </row>
    <row r="224" spans="1:6" ht="12.75">
      <c r="A224" s="66" t="s">
        <v>51</v>
      </c>
      <c r="B224" s="67"/>
      <c r="C224" s="113"/>
      <c r="D224" s="67"/>
      <c r="E224" s="225"/>
      <c r="F224" s="56"/>
    </row>
    <row r="225" spans="1:6" ht="12.75">
      <c r="A225" s="58" t="s">
        <v>52</v>
      </c>
      <c r="B225" s="67">
        <v>0</v>
      </c>
      <c r="C225" s="75">
        <f>'4_sz_ melléklet'!B56</f>
        <v>1196709</v>
      </c>
      <c r="D225" s="67">
        <f>'4_sz_ melléklet'!B96</f>
        <v>323</v>
      </c>
      <c r="E225" s="225">
        <f>'4_sz_ melléklet'!B71</f>
        <v>743</v>
      </c>
      <c r="F225" s="56">
        <v>0</v>
      </c>
    </row>
    <row r="226" spans="1:6" ht="12.75">
      <c r="A226" s="58" t="s">
        <v>53</v>
      </c>
      <c r="B226" s="67">
        <v>0</v>
      </c>
      <c r="C226" s="75">
        <v>0</v>
      </c>
      <c r="D226" s="67">
        <f>'3_sz_ melléklet'!B38</f>
        <v>0</v>
      </c>
      <c r="E226" s="225">
        <v>0</v>
      </c>
      <c r="F226" s="56">
        <v>0</v>
      </c>
    </row>
    <row r="227" spans="1:6" ht="12.75">
      <c r="A227" s="58" t="s">
        <v>54</v>
      </c>
      <c r="B227" s="67">
        <v>0</v>
      </c>
      <c r="C227" s="75">
        <v>0</v>
      </c>
      <c r="D227" s="67">
        <v>0</v>
      </c>
      <c r="E227" s="225">
        <v>0</v>
      </c>
      <c r="F227" s="56">
        <v>0</v>
      </c>
    </row>
    <row r="228" spans="1:6" ht="12.75">
      <c r="A228" s="1158" t="s">
        <v>111</v>
      </c>
      <c r="B228" s="67">
        <f>-B218</f>
        <v>0</v>
      </c>
      <c r="C228" s="67">
        <f>-C218</f>
        <v>0</v>
      </c>
      <c r="D228" s="67">
        <f>-D218</f>
        <v>0</v>
      </c>
      <c r="E228" s="67">
        <f>-E218</f>
        <v>0</v>
      </c>
      <c r="F228" s="67">
        <f>-F218</f>
        <v>0</v>
      </c>
    </row>
    <row r="229" spans="1:6" ht="12.75" customHeight="1" thickBot="1">
      <c r="A229" s="155" t="s">
        <v>1238</v>
      </c>
      <c r="B229" s="82"/>
      <c r="C229" s="72"/>
      <c r="D229" s="82"/>
      <c r="E229" s="70"/>
      <c r="F229" s="77"/>
    </row>
    <row r="230" spans="1:6" s="110" customFormat="1" ht="12.75">
      <c r="A230" s="61" t="s">
        <v>90</v>
      </c>
      <c r="B230" s="62">
        <f>B225+B226+B227+B228+B229</f>
        <v>0</v>
      </c>
      <c r="C230" s="62">
        <f>C225+C226+C227+C228+C229</f>
        <v>1196709</v>
      </c>
      <c r="D230" s="62">
        <f>D225+D226+D227+D228+D229</f>
        <v>323</v>
      </c>
      <c r="E230" s="62">
        <f>E225+E226+E227+E228+E229</f>
        <v>743</v>
      </c>
      <c r="F230" s="62">
        <f>F225+F226+F227+F228+F229</f>
        <v>0</v>
      </c>
    </row>
    <row r="231" spans="1:6" ht="6.75" customHeight="1">
      <c r="A231" s="115"/>
      <c r="B231" s="82"/>
      <c r="C231" s="70"/>
      <c r="D231" s="82"/>
      <c r="E231" s="72"/>
      <c r="F231" s="82"/>
    </row>
    <row r="232" spans="1:6" ht="12.75">
      <c r="A232" s="115" t="s">
        <v>57</v>
      </c>
      <c r="B232" s="82"/>
      <c r="C232" s="70"/>
      <c r="D232" s="82"/>
      <c r="E232" s="72"/>
      <c r="F232" s="82"/>
    </row>
    <row r="233" spans="1:6" ht="12.75">
      <c r="A233" s="226" t="s">
        <v>58</v>
      </c>
      <c r="B233" s="56">
        <v>0</v>
      </c>
      <c r="C233" s="74">
        <v>0</v>
      </c>
      <c r="D233" s="56"/>
      <c r="E233" s="75">
        <v>0</v>
      </c>
      <c r="F233" s="56">
        <v>0</v>
      </c>
    </row>
    <row r="234" spans="1:6" ht="12.75">
      <c r="A234" s="227" t="s">
        <v>59</v>
      </c>
      <c r="B234" s="82">
        <v>0</v>
      </c>
      <c r="C234" s="70">
        <v>0</v>
      </c>
      <c r="D234" s="82"/>
      <c r="E234" s="72">
        <v>0</v>
      </c>
      <c r="F234" s="77">
        <v>0</v>
      </c>
    </row>
    <row r="235" spans="1:6" ht="12.75">
      <c r="A235" s="61" t="s">
        <v>130</v>
      </c>
      <c r="B235" s="62">
        <f>B233+B234</f>
        <v>0</v>
      </c>
      <c r="C235" s="62">
        <f>C233+C234</f>
        <v>0</v>
      </c>
      <c r="D235" s="62">
        <f>D233+D234</f>
        <v>0</v>
      </c>
      <c r="E235" s="62">
        <f>E233+E234</f>
        <v>0</v>
      </c>
      <c r="F235" s="62">
        <f>F233+F234</f>
        <v>0</v>
      </c>
    </row>
    <row r="236" spans="1:6" ht="9" customHeight="1">
      <c r="A236" s="115"/>
      <c r="B236" s="82"/>
      <c r="C236" s="70"/>
      <c r="D236" s="82"/>
      <c r="E236" s="82"/>
      <c r="F236" s="72"/>
    </row>
    <row r="237" spans="1:6" ht="12.75">
      <c r="A237" s="81" t="s">
        <v>93</v>
      </c>
      <c r="B237" s="67"/>
      <c r="C237" s="225"/>
      <c r="D237" s="67"/>
      <c r="E237" s="67"/>
      <c r="F237" s="113"/>
    </row>
    <row r="238" spans="1:6" ht="12.75">
      <c r="A238" s="73" t="s">
        <v>58</v>
      </c>
      <c r="B238" s="67">
        <v>0</v>
      </c>
      <c r="C238" s="67"/>
      <c r="D238" s="67">
        <f>1_e_f_sz_melléklet!C46</f>
        <v>695</v>
      </c>
      <c r="E238" s="67">
        <f>1_e_f_sz_melléklet!C38+1_e_f_sz_melléklet!C39</f>
        <v>61800</v>
      </c>
      <c r="F238" s="75">
        <f>1_e_f_sz_melléklet!C41</f>
        <v>277</v>
      </c>
    </row>
    <row r="239" spans="1:6" ht="12.75">
      <c r="A239" s="228" t="s">
        <v>59</v>
      </c>
      <c r="B239" s="82">
        <v>0</v>
      </c>
      <c r="C239" s="70"/>
      <c r="D239" s="82">
        <f>1_e_f_sz_melléklet!C55</f>
        <v>400</v>
      </c>
      <c r="E239" s="82">
        <f>1_e_f_sz_melléklet!C53</f>
        <v>16942</v>
      </c>
      <c r="F239" s="78">
        <v>0</v>
      </c>
    </row>
    <row r="240" spans="1:6" s="110" customFormat="1" ht="12" customHeight="1">
      <c r="A240" s="61" t="s">
        <v>94</v>
      </c>
      <c r="B240" s="62">
        <f>B238+B239</f>
        <v>0</v>
      </c>
      <c r="C240" s="62">
        <f>C238+C239</f>
        <v>0</v>
      </c>
      <c r="D240" s="62">
        <f>D238+D239</f>
        <v>1095</v>
      </c>
      <c r="E240" s="62">
        <f>E238+E239</f>
        <v>78742</v>
      </c>
      <c r="F240" s="62">
        <f>F238+F239</f>
        <v>277</v>
      </c>
    </row>
    <row r="241" spans="1:6" ht="18" customHeight="1">
      <c r="A241" s="63" t="s">
        <v>63</v>
      </c>
      <c r="B241" s="67"/>
      <c r="C241" s="67"/>
      <c r="D241" s="67"/>
      <c r="E241" s="225"/>
      <c r="F241" s="67"/>
    </row>
    <row r="242" spans="1:6" ht="12.75">
      <c r="A242" s="76" t="s">
        <v>95</v>
      </c>
      <c r="B242" s="82">
        <v>0</v>
      </c>
      <c r="C242" s="82">
        <v>0</v>
      </c>
      <c r="D242" s="82">
        <v>0</v>
      </c>
      <c r="E242" s="70">
        <v>0</v>
      </c>
      <c r="F242" s="56">
        <v>0</v>
      </c>
    </row>
    <row r="243" spans="1:6" ht="12.75">
      <c r="A243" s="223" t="s">
        <v>131</v>
      </c>
      <c r="B243" s="56">
        <v>0</v>
      </c>
      <c r="C243" s="56">
        <v>0</v>
      </c>
      <c r="D243" s="56">
        <v>0</v>
      </c>
      <c r="E243" s="74">
        <v>0</v>
      </c>
      <c r="F243" s="77">
        <v>0</v>
      </c>
    </row>
    <row r="244" spans="1:6" s="110" customFormat="1" ht="12.75">
      <c r="A244" s="61" t="s">
        <v>97</v>
      </c>
      <c r="B244" s="62">
        <f>B242+B243</f>
        <v>0</v>
      </c>
      <c r="C244" s="62">
        <f>C242+C243</f>
        <v>0</v>
      </c>
      <c r="D244" s="62">
        <f>D242+D243</f>
        <v>0</v>
      </c>
      <c r="E244" s="62">
        <f>E242+E243</f>
        <v>0</v>
      </c>
      <c r="F244" s="62">
        <f>F242+F243</f>
        <v>0</v>
      </c>
    </row>
    <row r="245" spans="1:6" ht="18" customHeight="1">
      <c r="A245" s="66" t="s">
        <v>67</v>
      </c>
      <c r="B245" s="128"/>
      <c r="C245" s="87"/>
      <c r="D245" s="229"/>
      <c r="E245" s="128"/>
      <c r="F245" s="67"/>
    </row>
    <row r="246" spans="1:6" ht="12.75">
      <c r="A246" s="55" t="s">
        <v>132</v>
      </c>
      <c r="B246" s="225">
        <v>0</v>
      </c>
      <c r="C246" s="67">
        <v>0</v>
      </c>
      <c r="D246" s="68">
        <v>0</v>
      </c>
      <c r="E246" s="225">
        <v>0</v>
      </c>
      <c r="F246" s="56">
        <v>0</v>
      </c>
    </row>
    <row r="247" spans="1:6" ht="12.75">
      <c r="A247" s="55" t="s">
        <v>133</v>
      </c>
      <c r="B247" s="74">
        <v>0</v>
      </c>
      <c r="C247" s="56">
        <v>0</v>
      </c>
      <c r="D247" s="57">
        <v>0</v>
      </c>
      <c r="E247" s="74">
        <v>0</v>
      </c>
      <c r="F247" s="56">
        <v>0</v>
      </c>
    </row>
    <row r="248" spans="1:6" ht="12.75">
      <c r="A248" s="109" t="s">
        <v>70</v>
      </c>
      <c r="B248" s="62">
        <f>B246+B247</f>
        <v>0</v>
      </c>
      <c r="C248" s="62">
        <f>C246+C247</f>
        <v>0</v>
      </c>
      <c r="D248" s="62">
        <f>D246+D247</f>
        <v>0</v>
      </c>
      <c r="E248" s="62">
        <f>E246+E247</f>
        <v>0</v>
      </c>
      <c r="F248" s="62">
        <f>F246+F247</f>
        <v>0</v>
      </c>
    </row>
    <row r="249" spans="1:6" ht="12.75">
      <c r="A249" s="115"/>
      <c r="B249" s="71"/>
      <c r="C249" s="71"/>
      <c r="D249" s="71"/>
      <c r="E249" s="230"/>
      <c r="F249" s="82"/>
    </row>
    <row r="250" spans="1:6" ht="12.75">
      <c r="A250" s="231" t="s">
        <v>142</v>
      </c>
      <c r="B250" s="232"/>
      <c r="C250" s="232"/>
      <c r="D250" s="71"/>
      <c r="E250" s="230"/>
      <c r="F250" s="71"/>
    </row>
    <row r="251" spans="1:6" s="110" customFormat="1" ht="12.75">
      <c r="A251" s="234" t="s">
        <v>98</v>
      </c>
      <c r="B251" s="235">
        <f>B248+B244+B240+B235+B230+B222</f>
        <v>8779</v>
      </c>
      <c r="C251" s="235">
        <f>C248+C244+C240+C235+C230+C222</f>
        <v>1196709</v>
      </c>
      <c r="D251" s="235">
        <f>D248+D244+D240+D235+D230+D222</f>
        <v>9009</v>
      </c>
      <c r="E251" s="235">
        <f>E248+E244+E240+E235+E230+E222</f>
        <v>81415</v>
      </c>
      <c r="F251" s="235">
        <f>F248+F244+F240+F235+F230+F222</f>
        <v>2810</v>
      </c>
    </row>
    <row r="252" spans="1:6" ht="12.75">
      <c r="A252" s="266"/>
      <c r="B252" s="247"/>
      <c r="C252" s="247"/>
      <c r="D252" s="87"/>
      <c r="E252" s="128"/>
      <c r="F252" s="87"/>
    </row>
    <row r="253" spans="1:6" ht="12.75">
      <c r="A253" s="269" t="s">
        <v>99</v>
      </c>
      <c r="B253" s="94"/>
      <c r="C253" s="271"/>
      <c r="D253" s="67"/>
      <c r="E253" s="67"/>
      <c r="F253" s="113"/>
    </row>
    <row r="254" spans="1:6" ht="12.75">
      <c r="A254" s="88" t="s">
        <v>73</v>
      </c>
      <c r="B254" s="248">
        <v>0</v>
      </c>
      <c r="C254" s="239">
        <v>0</v>
      </c>
      <c r="D254" s="56">
        <v>0</v>
      </c>
      <c r="E254" s="56">
        <v>0</v>
      </c>
      <c r="F254" s="75">
        <v>0</v>
      </c>
    </row>
    <row r="255" spans="1:6" ht="12.75">
      <c r="A255" s="133" t="s">
        <v>100</v>
      </c>
      <c r="B255" s="249">
        <v>0</v>
      </c>
      <c r="C255" s="240">
        <v>0</v>
      </c>
      <c r="D255" s="77">
        <v>0</v>
      </c>
      <c r="E255" s="77">
        <v>0</v>
      </c>
      <c r="F255" s="78"/>
    </row>
    <row r="256" spans="1:6" s="110" customFormat="1" ht="12.75">
      <c r="A256" s="109" t="s">
        <v>113</v>
      </c>
      <c r="B256" s="62">
        <f>B254+B255</f>
        <v>0</v>
      </c>
      <c r="C256" s="62">
        <f>C254+C255</f>
        <v>0</v>
      </c>
      <c r="D256" s="62">
        <f>D254+D255</f>
        <v>0</v>
      </c>
      <c r="E256" s="62">
        <f>E254+E255</f>
        <v>0</v>
      </c>
      <c r="F256" s="62">
        <f>F254+F255</f>
        <v>0</v>
      </c>
    </row>
    <row r="257" spans="1:6" ht="12.75">
      <c r="A257" s="245"/>
      <c r="B257" s="82"/>
      <c r="C257" s="56"/>
      <c r="D257" s="85"/>
      <c r="E257" s="123"/>
      <c r="F257" s="82"/>
    </row>
    <row r="258" spans="1:6" s="110" customFormat="1" ht="13.5" thickBot="1">
      <c r="A258" s="243" t="s">
        <v>135</v>
      </c>
      <c r="B258" s="92">
        <f>B251+B256</f>
        <v>8779</v>
      </c>
      <c r="C258" s="92">
        <f>C251+C256</f>
        <v>1196709</v>
      </c>
      <c r="D258" s="92">
        <f>D251+D256</f>
        <v>9009</v>
      </c>
      <c r="E258" s="92">
        <f>E251+E256</f>
        <v>81415</v>
      </c>
      <c r="F258" s="92">
        <f>F251+F256</f>
        <v>2810</v>
      </c>
    </row>
    <row r="259" spans="1:6" s="110" customFormat="1" ht="12.75">
      <c r="A259" s="250"/>
      <c r="B259" s="251"/>
      <c r="C259" s="251"/>
      <c r="D259" s="251"/>
      <c r="E259" s="251"/>
      <c r="F259" s="251"/>
    </row>
    <row r="260" spans="1:6" s="110" customFormat="1" ht="12.75">
      <c r="A260" s="1389">
        <v>6</v>
      </c>
      <c r="B260" s="1389"/>
      <c r="C260" s="1389"/>
      <c r="D260" s="1389"/>
      <c r="E260" s="1389"/>
      <c r="F260" s="1389"/>
    </row>
    <row r="261" spans="1:6" s="110" customFormat="1" ht="14.25">
      <c r="A261" s="1383" t="s">
        <v>120</v>
      </c>
      <c r="B261" s="1383"/>
      <c r="C261" s="1383"/>
      <c r="D261" s="1383"/>
      <c r="E261" s="1383"/>
      <c r="F261"/>
    </row>
    <row r="262" spans="1:6" s="110" customFormat="1" ht="15.75">
      <c r="A262" s="1390" t="s">
        <v>121</v>
      </c>
      <c r="B262" s="1390"/>
      <c r="C262" s="1390"/>
      <c r="D262" s="1390"/>
      <c r="E262" s="1390"/>
      <c r="F262" s="1390"/>
    </row>
    <row r="263" spans="1:6" s="110" customFormat="1" ht="15.75">
      <c r="A263" s="1382" t="s">
        <v>122</v>
      </c>
      <c r="B263" s="1382"/>
      <c r="C263" s="1382"/>
      <c r="D263" s="1382"/>
      <c r="E263" s="1382"/>
      <c r="F263" s="1382"/>
    </row>
    <row r="264" spans="1:6" s="110" customFormat="1" ht="13.5" thickBot="1">
      <c r="A264"/>
      <c r="B264"/>
      <c r="C264"/>
      <c r="D264"/>
      <c r="E264" s="48" t="s">
        <v>79</v>
      </c>
      <c r="F264"/>
    </row>
    <row r="265" spans="1:6" s="110" customFormat="1" ht="49.5" thickBot="1">
      <c r="A265" s="49" t="s">
        <v>123</v>
      </c>
      <c r="B265" s="386" t="s">
        <v>1167</v>
      </c>
      <c r="C265" s="199" t="s">
        <v>1168</v>
      </c>
      <c r="D265" s="199" t="s">
        <v>1171</v>
      </c>
      <c r="E265" s="265" t="s">
        <v>1271</v>
      </c>
      <c r="F265" s="199" t="s">
        <v>1209</v>
      </c>
    </row>
    <row r="266" spans="1:6" s="110" customFormat="1" ht="12.75">
      <c r="A266" s="63" t="s">
        <v>42</v>
      </c>
      <c r="B266" s="87"/>
      <c r="C266" s="87"/>
      <c r="D266" s="87"/>
      <c r="E266" s="229"/>
      <c r="F266" s="87"/>
    </row>
    <row r="267" spans="1:6" s="110" customFormat="1" ht="12.75">
      <c r="A267" s="222" t="s">
        <v>43</v>
      </c>
      <c r="B267" s="67"/>
      <c r="C267" s="56"/>
      <c r="D267" s="67"/>
      <c r="E267" s="68">
        <f>3052+2383+736+40</f>
        <v>6211</v>
      </c>
      <c r="F267" s="56">
        <v>821</v>
      </c>
    </row>
    <row r="268" spans="1:6" s="110" customFormat="1" ht="12.75">
      <c r="A268" s="58" t="s">
        <v>44</v>
      </c>
      <c r="B268" s="67"/>
      <c r="C268" s="56"/>
      <c r="D268" s="67"/>
      <c r="E268" s="68">
        <f>780+604+183+11</f>
        <v>1578</v>
      </c>
      <c r="F268" s="56"/>
    </row>
    <row r="269" spans="1:6" s="110" customFormat="1" ht="12.75">
      <c r="A269" s="58" t="s">
        <v>45</v>
      </c>
      <c r="B269" s="67"/>
      <c r="C269" s="56"/>
      <c r="D269" s="67"/>
      <c r="E269" s="68">
        <f>334+385+40+3</f>
        <v>762</v>
      </c>
      <c r="F269" s="56">
        <f>120+2679+9+805</f>
        <v>3613</v>
      </c>
    </row>
    <row r="270" spans="1:6" s="110" customFormat="1" ht="12.75">
      <c r="A270" s="58" t="s">
        <v>161</v>
      </c>
      <c r="B270" s="67"/>
      <c r="C270" s="56"/>
      <c r="D270" s="67"/>
      <c r="E270" s="68"/>
      <c r="F270" s="56"/>
    </row>
    <row r="271" spans="1:6" s="110" customFormat="1" ht="12.75">
      <c r="A271" s="58" t="s">
        <v>47</v>
      </c>
      <c r="B271" s="67"/>
      <c r="C271" s="56"/>
      <c r="D271" s="67"/>
      <c r="E271" s="68"/>
      <c r="F271" s="56"/>
    </row>
    <row r="272" spans="1:6" s="110" customFormat="1" ht="12.75">
      <c r="A272" s="223" t="s">
        <v>48</v>
      </c>
      <c r="B272" s="67"/>
      <c r="C272" s="56"/>
      <c r="D272" s="67">
        <f>2959+3787</f>
        <v>6746</v>
      </c>
      <c r="E272" s="68"/>
      <c r="F272" s="56"/>
    </row>
    <row r="273" spans="1:6" s="110" customFormat="1" ht="13.5" thickBot="1">
      <c r="A273" s="224" t="s">
        <v>149</v>
      </c>
      <c r="B273" s="67"/>
      <c r="C273" s="56"/>
      <c r="D273" s="56">
        <f>D272</f>
        <v>6746</v>
      </c>
      <c r="E273" s="56"/>
      <c r="F273" s="56"/>
    </row>
    <row r="274" spans="1:6" s="110" customFormat="1" ht="13.5" thickBot="1">
      <c r="A274" s="61" t="s">
        <v>129</v>
      </c>
      <c r="B274" s="62">
        <f>SUM(B267:B272)</f>
        <v>0</v>
      </c>
      <c r="C274" s="62">
        <f>SUM(C267:C272)</f>
        <v>0</v>
      </c>
      <c r="D274" s="62">
        <f>SUM(D267:D272)</f>
        <v>6746</v>
      </c>
      <c r="E274" s="62">
        <f>SUM(E267:E272)</f>
        <v>8551</v>
      </c>
      <c r="F274" s="62">
        <f>SUM(F267:F272)</f>
        <v>4434</v>
      </c>
    </row>
    <row r="275" spans="1:6" s="110" customFormat="1" ht="12.75">
      <c r="A275" s="112"/>
      <c r="B275" s="87"/>
      <c r="C275" s="129"/>
      <c r="D275" s="87"/>
      <c r="E275" s="229"/>
      <c r="F275" s="67"/>
    </row>
    <row r="276" spans="1:6" s="110" customFormat="1" ht="12.75">
      <c r="A276" s="66" t="s">
        <v>51</v>
      </c>
      <c r="B276" s="67"/>
      <c r="C276" s="113"/>
      <c r="D276" s="67"/>
      <c r="E276" s="225"/>
      <c r="F276" s="56"/>
    </row>
    <row r="277" spans="1:6" s="110" customFormat="1" ht="12.75">
      <c r="A277" s="58" t="s">
        <v>52</v>
      </c>
      <c r="B277" s="67">
        <v>0</v>
      </c>
      <c r="C277" s="75">
        <f>'4_sz_ melléklet'!B129</f>
        <v>0</v>
      </c>
      <c r="D277" s="67">
        <f>'4_sz_ melléklet'!B147</f>
        <v>0</v>
      </c>
      <c r="E277" s="225">
        <v>0</v>
      </c>
      <c r="F277" s="56">
        <f>'4_sz_ melléklet'!B82</f>
        <v>5765</v>
      </c>
    </row>
    <row r="278" spans="1:6" s="110" customFormat="1" ht="12.75">
      <c r="A278" s="58" t="s">
        <v>53</v>
      </c>
      <c r="B278" s="67">
        <f>'3_sz_ melléklet'!B47</f>
        <v>16904</v>
      </c>
      <c r="C278" s="75">
        <v>0</v>
      </c>
      <c r="D278" s="67">
        <f>'3_sz_ melléklet'!B94</f>
        <v>0</v>
      </c>
      <c r="E278" s="225">
        <v>0</v>
      </c>
      <c r="F278" s="56">
        <v>0</v>
      </c>
    </row>
    <row r="279" spans="1:6" s="110" customFormat="1" ht="12.75">
      <c r="A279" s="58" t="s">
        <v>54</v>
      </c>
      <c r="B279" s="67">
        <v>0</v>
      </c>
      <c r="C279" s="75">
        <v>0</v>
      </c>
      <c r="D279" s="67">
        <v>0</v>
      </c>
      <c r="E279" s="225">
        <v>0</v>
      </c>
      <c r="F279" s="56">
        <v>0</v>
      </c>
    </row>
    <row r="280" spans="1:6" s="110" customFormat="1" ht="12.75">
      <c r="A280" s="1158" t="s">
        <v>111</v>
      </c>
      <c r="B280" s="67">
        <f>-B270</f>
        <v>0</v>
      </c>
      <c r="C280" s="67">
        <f>-C270</f>
        <v>0</v>
      </c>
      <c r="D280" s="67">
        <f>-D270</f>
        <v>0</v>
      </c>
      <c r="E280" s="67">
        <f>-E270</f>
        <v>0</v>
      </c>
      <c r="F280" s="67">
        <f>-F270</f>
        <v>0</v>
      </c>
    </row>
    <row r="281" spans="1:6" s="110" customFormat="1" ht="13.5" thickBot="1">
      <c r="A281" s="155" t="s">
        <v>1238</v>
      </c>
      <c r="B281" s="82"/>
      <c r="C281" s="72"/>
      <c r="D281" s="82"/>
      <c r="E281" s="70"/>
      <c r="F281" s="77"/>
    </row>
    <row r="282" spans="1:6" s="110" customFormat="1" ht="13.5" thickBot="1">
      <c r="A282" s="61" t="s">
        <v>90</v>
      </c>
      <c r="B282" s="62">
        <f>B277+B278+B279+B280+B281</f>
        <v>16904</v>
      </c>
      <c r="C282" s="62">
        <f>C277+C278+C279+C280+C281</f>
        <v>0</v>
      </c>
      <c r="D282" s="62">
        <f>D277+D278+D279+D280+D281</f>
        <v>0</v>
      </c>
      <c r="E282" s="62">
        <f>E277+E278+E279+E280+E281</f>
        <v>0</v>
      </c>
      <c r="F282" s="62">
        <f>F277+F278+F279+F280+F281</f>
        <v>5765</v>
      </c>
    </row>
    <row r="283" spans="1:6" s="110" customFormat="1" ht="12.75">
      <c r="A283" s="115"/>
      <c r="B283" s="82"/>
      <c r="C283" s="70"/>
      <c r="D283" s="82"/>
      <c r="E283" s="72"/>
      <c r="F283" s="82"/>
    </row>
    <row r="284" spans="1:6" s="110" customFormat="1" ht="12.75">
      <c r="A284" s="115" t="s">
        <v>57</v>
      </c>
      <c r="B284" s="82"/>
      <c r="C284" s="70"/>
      <c r="D284" s="82"/>
      <c r="E284" s="72"/>
      <c r="F284" s="82"/>
    </row>
    <row r="285" spans="1:6" s="110" customFormat="1" ht="12.75">
      <c r="A285" s="226" t="s">
        <v>58</v>
      </c>
      <c r="B285" s="56">
        <v>0</v>
      </c>
      <c r="C285" s="74">
        <v>0</v>
      </c>
      <c r="D285" s="56"/>
      <c r="E285" s="75">
        <v>0</v>
      </c>
      <c r="F285" s="56">
        <v>0</v>
      </c>
    </row>
    <row r="286" spans="1:6" s="110" customFormat="1" ht="13.5" thickBot="1">
      <c r="A286" s="227" t="s">
        <v>59</v>
      </c>
      <c r="B286" s="82">
        <v>0</v>
      </c>
      <c r="C286" s="70">
        <v>0</v>
      </c>
      <c r="D286" s="82"/>
      <c r="E286" s="72">
        <v>0</v>
      </c>
      <c r="F286" s="77">
        <v>0</v>
      </c>
    </row>
    <row r="287" spans="1:6" s="110" customFormat="1" ht="13.5" thickBot="1">
      <c r="A287" s="61" t="s">
        <v>130</v>
      </c>
      <c r="B287" s="62">
        <f>B285+B286</f>
        <v>0</v>
      </c>
      <c r="C287" s="62">
        <f>C285+C286</f>
        <v>0</v>
      </c>
      <c r="D287" s="62">
        <f>D285+D286</f>
        <v>0</v>
      </c>
      <c r="E287" s="62">
        <f>E285+E286</f>
        <v>0</v>
      </c>
      <c r="F287" s="62">
        <f>F285+F286</f>
        <v>0</v>
      </c>
    </row>
    <row r="288" spans="1:6" s="110" customFormat="1" ht="12.75">
      <c r="A288" s="115"/>
      <c r="B288" s="82"/>
      <c r="C288" s="70"/>
      <c r="D288" s="82"/>
      <c r="E288" s="82"/>
      <c r="F288" s="72"/>
    </row>
    <row r="289" spans="1:6" s="110" customFormat="1" ht="12.75">
      <c r="A289" s="81" t="s">
        <v>93</v>
      </c>
      <c r="B289" s="67"/>
      <c r="C289" s="225"/>
      <c r="D289" s="67"/>
      <c r="E289" s="67"/>
      <c r="F289" s="113"/>
    </row>
    <row r="290" spans="1:6" s="110" customFormat="1" ht="12.75">
      <c r="A290" s="73" t="s">
        <v>58</v>
      </c>
      <c r="B290" s="67">
        <v>0</v>
      </c>
      <c r="C290" s="67">
        <v>0</v>
      </c>
      <c r="D290" s="67">
        <f>1_e_f_sz_melléklet!C100</f>
        <v>0</v>
      </c>
      <c r="E290" s="67">
        <f>1_e_f_sz_melléklet!C92+1_e_f_sz_melléklet!C93</f>
        <v>0</v>
      </c>
      <c r="F290" s="75">
        <f>1_e_f_sz_melléklet!C95</f>
        <v>0</v>
      </c>
    </row>
    <row r="291" spans="1:6" s="110" customFormat="1" ht="13.5" thickBot="1">
      <c r="A291" s="228" t="s">
        <v>59</v>
      </c>
      <c r="B291" s="82">
        <v>0</v>
      </c>
      <c r="C291" s="70">
        <v>0</v>
      </c>
      <c r="D291" s="82">
        <f>1_e_f_sz_melléklet!C108</f>
        <v>0</v>
      </c>
      <c r="E291" s="82">
        <f>1_e_f_sz_melléklet!C107</f>
        <v>0</v>
      </c>
      <c r="F291" s="78">
        <v>0</v>
      </c>
    </row>
    <row r="292" spans="1:6" s="110" customFormat="1" ht="13.5" thickBot="1">
      <c r="A292" s="61" t="s">
        <v>94</v>
      </c>
      <c r="B292" s="62">
        <f>B290+B291</f>
        <v>0</v>
      </c>
      <c r="C292" s="62">
        <f>C290+C291</f>
        <v>0</v>
      </c>
      <c r="D292" s="62">
        <f>D290+D291</f>
        <v>0</v>
      </c>
      <c r="E292" s="62">
        <f>E290+E291</f>
        <v>0</v>
      </c>
      <c r="F292" s="62">
        <f>F290+F291</f>
        <v>0</v>
      </c>
    </row>
    <row r="293" spans="1:6" s="110" customFormat="1" ht="12.75">
      <c r="A293" s="63" t="s">
        <v>63</v>
      </c>
      <c r="B293" s="67"/>
      <c r="C293" s="67"/>
      <c r="D293" s="67"/>
      <c r="E293" s="225"/>
      <c r="F293" s="67"/>
    </row>
    <row r="294" spans="1:6" s="110" customFormat="1" ht="12.75">
      <c r="A294" s="76" t="s">
        <v>95</v>
      </c>
      <c r="B294" s="82">
        <v>0</v>
      </c>
      <c r="C294" s="82">
        <v>0</v>
      </c>
      <c r="D294" s="82">
        <v>0</v>
      </c>
      <c r="E294" s="70">
        <v>0</v>
      </c>
      <c r="F294" s="56">
        <v>0</v>
      </c>
    </row>
    <row r="295" spans="1:6" s="110" customFormat="1" ht="13.5" thickBot="1">
      <c r="A295" s="223" t="s">
        <v>131</v>
      </c>
      <c r="B295" s="56">
        <v>0</v>
      </c>
      <c r="C295" s="56">
        <f>1_g_h_sz_melléklet!B16</f>
        <v>2500</v>
      </c>
      <c r="D295" s="56">
        <v>0</v>
      </c>
      <c r="E295" s="74">
        <v>0</v>
      </c>
      <c r="F295" s="77">
        <v>0</v>
      </c>
    </row>
    <row r="296" spans="1:6" s="110" customFormat="1" ht="13.5" thickBot="1">
      <c r="A296" s="61" t="s">
        <v>97</v>
      </c>
      <c r="B296" s="62">
        <f>B294+B295</f>
        <v>0</v>
      </c>
      <c r="C296" s="62">
        <f>C294+C295</f>
        <v>2500</v>
      </c>
      <c r="D296" s="62">
        <f>D294+D295</f>
        <v>0</v>
      </c>
      <c r="E296" s="62">
        <f>E294+E295</f>
        <v>0</v>
      </c>
      <c r="F296" s="62">
        <f>F294+F295</f>
        <v>0</v>
      </c>
    </row>
    <row r="297" spans="1:6" s="110" customFormat="1" ht="12.75">
      <c r="A297" s="66" t="s">
        <v>67</v>
      </c>
      <c r="B297" s="128"/>
      <c r="C297" s="87"/>
      <c r="D297" s="229"/>
      <c r="E297" s="128"/>
      <c r="F297" s="67"/>
    </row>
    <row r="298" spans="1:6" s="110" customFormat="1" ht="12.75">
      <c r="A298" s="55" t="s">
        <v>132</v>
      </c>
      <c r="B298" s="225">
        <v>0</v>
      </c>
      <c r="C298" s="67">
        <v>0</v>
      </c>
      <c r="D298" s="68">
        <v>0</v>
      </c>
      <c r="E298" s="225">
        <v>0</v>
      </c>
      <c r="F298" s="56">
        <v>0</v>
      </c>
    </row>
    <row r="299" spans="1:6" s="110" customFormat="1" ht="13.5" thickBot="1">
      <c r="A299" s="55" t="s">
        <v>133</v>
      </c>
      <c r="B299" s="74">
        <v>0</v>
      </c>
      <c r="C299" s="56">
        <v>0</v>
      </c>
      <c r="D299" s="57">
        <v>0</v>
      </c>
      <c r="E299" s="74">
        <v>0</v>
      </c>
      <c r="F299" s="56">
        <v>0</v>
      </c>
    </row>
    <row r="300" spans="1:6" s="110" customFormat="1" ht="13.5" thickBot="1">
      <c r="A300" s="109" t="s">
        <v>70</v>
      </c>
      <c r="B300" s="62">
        <f>B298+B299</f>
        <v>0</v>
      </c>
      <c r="C300" s="62">
        <f>C298+C299</f>
        <v>0</v>
      </c>
      <c r="D300" s="62">
        <f>D298+D299</f>
        <v>0</v>
      </c>
      <c r="E300" s="62">
        <f>E298+E299</f>
        <v>0</v>
      </c>
      <c r="F300" s="62">
        <f>F298+F299</f>
        <v>0</v>
      </c>
    </row>
    <row r="301" spans="1:6" s="110" customFormat="1" ht="13.5" thickBot="1">
      <c r="A301" s="115"/>
      <c r="B301" s="71"/>
      <c r="C301" s="71"/>
      <c r="D301" s="71"/>
      <c r="E301" s="230"/>
      <c r="F301" s="82"/>
    </row>
    <row r="302" spans="1:6" s="110" customFormat="1" ht="12.75">
      <c r="A302" s="231" t="s">
        <v>142</v>
      </c>
      <c r="B302" s="232"/>
      <c r="C302" s="232"/>
      <c r="D302" s="71"/>
      <c r="E302" s="230"/>
      <c r="F302" s="71"/>
    </row>
    <row r="303" spans="1:6" s="110" customFormat="1" ht="13.5" thickBot="1">
      <c r="A303" s="234" t="s">
        <v>98</v>
      </c>
      <c r="B303" s="235">
        <f>B300+B296+B292+B287+B282+B274</f>
        <v>16904</v>
      </c>
      <c r="C303" s="235">
        <f>C300+C296+C292+C287+C282+C274</f>
        <v>2500</v>
      </c>
      <c r="D303" s="235">
        <f>D300+D296+D292+D287+D282+D274</f>
        <v>6746</v>
      </c>
      <c r="E303" s="235">
        <f>E300+E296+E292+E287+E282+E274</f>
        <v>8551</v>
      </c>
      <c r="F303" s="235">
        <f>F300+F296+F292+F287+F282+F274</f>
        <v>10199</v>
      </c>
    </row>
    <row r="304" spans="1:6" s="110" customFormat="1" ht="12.75">
      <c r="A304" s="266"/>
      <c r="B304" s="247"/>
      <c r="C304" s="247"/>
      <c r="D304" s="87"/>
      <c r="E304" s="128"/>
      <c r="F304" s="87"/>
    </row>
    <row r="305" spans="1:6" s="110" customFormat="1" ht="12.75">
      <c r="A305" s="269" t="s">
        <v>99</v>
      </c>
      <c r="B305" s="94"/>
      <c r="C305" s="271"/>
      <c r="D305" s="67"/>
      <c r="E305" s="67"/>
      <c r="F305" s="113"/>
    </row>
    <row r="306" spans="1:6" s="110" customFormat="1" ht="12.75">
      <c r="A306" s="88" t="s">
        <v>73</v>
      </c>
      <c r="B306" s="248">
        <v>0</v>
      </c>
      <c r="C306" s="239">
        <v>0</v>
      </c>
      <c r="D306" s="56">
        <v>0</v>
      </c>
      <c r="E306" s="56">
        <v>0</v>
      </c>
      <c r="F306" s="75">
        <v>0</v>
      </c>
    </row>
    <row r="307" spans="1:6" s="110" customFormat="1" ht="13.5" thickBot="1">
      <c r="A307" s="133" t="s">
        <v>100</v>
      </c>
      <c r="B307" s="249">
        <v>0</v>
      </c>
      <c r="C307" s="240">
        <v>0</v>
      </c>
      <c r="D307" s="77">
        <v>0</v>
      </c>
      <c r="E307" s="77">
        <v>0</v>
      </c>
      <c r="F307" s="78"/>
    </row>
    <row r="308" spans="1:6" s="110" customFormat="1" ht="13.5" thickBot="1">
      <c r="A308" s="109" t="s">
        <v>113</v>
      </c>
      <c r="B308" s="62">
        <f>B306+B307</f>
        <v>0</v>
      </c>
      <c r="C308" s="62">
        <f>C306+C307</f>
        <v>0</v>
      </c>
      <c r="D308" s="62">
        <f>D306+D307</f>
        <v>0</v>
      </c>
      <c r="E308" s="62">
        <f>E306+E307</f>
        <v>0</v>
      </c>
      <c r="F308" s="62">
        <f>F306+F307</f>
        <v>0</v>
      </c>
    </row>
    <row r="309" spans="1:6" s="110" customFormat="1" ht="13.5" thickBot="1">
      <c r="A309" s="245"/>
      <c r="B309" s="82"/>
      <c r="C309" s="56"/>
      <c r="D309" s="85"/>
      <c r="E309" s="123"/>
      <c r="F309" s="82"/>
    </row>
    <row r="310" spans="1:6" s="110" customFormat="1" ht="13.5" thickBot="1">
      <c r="A310" s="243" t="s">
        <v>135</v>
      </c>
      <c r="B310" s="92">
        <f>B303+B308</f>
        <v>16904</v>
      </c>
      <c r="C310" s="92">
        <f>C303+C308</f>
        <v>2500</v>
      </c>
      <c r="D310" s="92">
        <f>D303+D308</f>
        <v>6746</v>
      </c>
      <c r="E310" s="92">
        <f>E303+E308</f>
        <v>8551</v>
      </c>
      <c r="F310" s="92">
        <f>F303+F308</f>
        <v>10199</v>
      </c>
    </row>
    <row r="311" spans="1:6" s="110" customFormat="1" ht="12.75">
      <c r="A311" s="250"/>
      <c r="B311" s="251"/>
      <c r="C311" s="251"/>
      <c r="D311" s="251"/>
      <c r="E311" s="251"/>
      <c r="F311" s="251"/>
    </row>
    <row r="312" spans="1:6" s="110" customFormat="1" ht="12.75">
      <c r="A312" s="1389">
        <v>7</v>
      </c>
      <c r="B312" s="1389"/>
      <c r="C312" s="1389"/>
      <c r="D312" s="1389"/>
      <c r="E312" s="1389"/>
      <c r="F312" s="1389"/>
    </row>
    <row r="313" spans="1:6" s="110" customFormat="1" ht="14.25">
      <c r="A313" s="1383" t="s">
        <v>120</v>
      </c>
      <c r="B313" s="1383"/>
      <c r="C313" s="1383"/>
      <c r="D313" s="1383"/>
      <c r="E313" s="1383"/>
      <c r="F313"/>
    </row>
    <row r="314" spans="1:6" s="110" customFormat="1" ht="15.75">
      <c r="A314" s="1390" t="s">
        <v>121</v>
      </c>
      <c r="B314" s="1390"/>
      <c r="C314" s="1390"/>
      <c r="D314" s="1390"/>
      <c r="E314" s="1390"/>
      <c r="F314" s="1390"/>
    </row>
    <row r="315" spans="1:6" s="110" customFormat="1" ht="15.75">
      <c r="A315" s="1382" t="s">
        <v>122</v>
      </c>
      <c r="B315" s="1382"/>
      <c r="C315" s="1382"/>
      <c r="D315" s="1382"/>
      <c r="E315" s="1382"/>
      <c r="F315" s="1382"/>
    </row>
    <row r="316" spans="1:6" s="110" customFormat="1" ht="13.5" thickBot="1">
      <c r="A316"/>
      <c r="B316"/>
      <c r="C316"/>
      <c r="D316"/>
      <c r="E316" s="48" t="s">
        <v>79</v>
      </c>
      <c r="F316"/>
    </row>
    <row r="317" spans="1:6" s="110" customFormat="1" ht="39" thickBot="1">
      <c r="A317" s="49" t="s">
        <v>123</v>
      </c>
      <c r="B317" s="386" t="s">
        <v>1306</v>
      </c>
      <c r="C317" s="199" t="s">
        <v>1307</v>
      </c>
      <c r="D317" s="199" t="s">
        <v>1314</v>
      </c>
      <c r="E317" s="199" t="s">
        <v>1310</v>
      </c>
      <c r="F317" s="199" t="s">
        <v>1339</v>
      </c>
    </row>
    <row r="318" spans="1:6" s="110" customFormat="1" ht="12.75">
      <c r="A318" s="63" t="s">
        <v>42</v>
      </c>
      <c r="B318" s="87"/>
      <c r="C318" s="87"/>
      <c r="D318" s="87"/>
      <c r="E318" s="229"/>
      <c r="F318" s="87"/>
    </row>
    <row r="319" spans="1:6" s="110" customFormat="1" ht="12.75">
      <c r="A319" s="222" t="s">
        <v>43</v>
      </c>
      <c r="B319" s="67">
        <v>195</v>
      </c>
      <c r="C319" s="56">
        <v>87</v>
      </c>
      <c r="D319" s="67"/>
      <c r="E319" s="68"/>
      <c r="F319" s="56"/>
    </row>
    <row r="320" spans="1:6" s="110" customFormat="1" ht="12.75">
      <c r="A320" s="58" t="s">
        <v>44</v>
      </c>
      <c r="B320" s="67">
        <v>47</v>
      </c>
      <c r="C320" s="56">
        <v>23</v>
      </c>
      <c r="D320" s="67"/>
      <c r="E320" s="68"/>
      <c r="F320" s="56"/>
    </row>
    <row r="321" spans="1:6" s="110" customFormat="1" ht="12.75">
      <c r="A321" s="58" t="s">
        <v>45</v>
      </c>
      <c r="B321" s="67">
        <v>236</v>
      </c>
      <c r="C321" s="56"/>
      <c r="D321" s="67">
        <v>3</v>
      </c>
      <c r="E321" s="68">
        <f>200+6</f>
        <v>206</v>
      </c>
      <c r="F321" s="56"/>
    </row>
    <row r="322" spans="1:6" s="110" customFormat="1" ht="12.75">
      <c r="A322" s="58" t="s">
        <v>161</v>
      </c>
      <c r="B322" s="67"/>
      <c r="C322" s="56"/>
      <c r="D322" s="67"/>
      <c r="E322" s="68"/>
      <c r="F322" s="56"/>
    </row>
    <row r="323" spans="1:6" s="110" customFormat="1" ht="12.75">
      <c r="A323" s="58" t="s">
        <v>47</v>
      </c>
      <c r="B323" s="67"/>
      <c r="C323" s="56"/>
      <c r="D323" s="67"/>
      <c r="E323" s="68"/>
      <c r="F323" s="56"/>
    </row>
    <row r="324" spans="1:6" s="110" customFormat="1" ht="12.75">
      <c r="A324" s="223" t="s">
        <v>48</v>
      </c>
      <c r="B324" s="67"/>
      <c r="C324" s="56"/>
      <c r="D324" s="67"/>
      <c r="E324" s="68"/>
      <c r="F324" s="56"/>
    </row>
    <row r="325" spans="1:6" s="110" customFormat="1" ht="13.5" thickBot="1">
      <c r="A325" s="224" t="s">
        <v>149</v>
      </c>
      <c r="B325" s="67"/>
      <c r="C325" s="56"/>
      <c r="D325" s="56"/>
      <c r="E325" s="56"/>
      <c r="F325" s="56"/>
    </row>
    <row r="326" spans="1:6" s="110" customFormat="1" ht="13.5" thickBot="1">
      <c r="A326" s="61" t="s">
        <v>129</v>
      </c>
      <c r="B326" s="62">
        <f>SUM(B319:B324)</f>
        <v>478</v>
      </c>
      <c r="C326" s="62">
        <f>SUM(C319:C324)</f>
        <v>110</v>
      </c>
      <c r="D326" s="62">
        <f>SUM(D319:D324)</f>
        <v>3</v>
      </c>
      <c r="E326" s="62">
        <f>SUM(E319:E324)</f>
        <v>206</v>
      </c>
      <c r="F326" s="62">
        <f>SUM(F319:F324)</f>
        <v>0</v>
      </c>
    </row>
    <row r="327" spans="1:6" s="110" customFormat="1" ht="12.75">
      <c r="A327" s="112"/>
      <c r="B327" s="87"/>
      <c r="C327" s="129"/>
      <c r="D327" s="87"/>
      <c r="E327" s="229"/>
      <c r="F327" s="67"/>
    </row>
    <row r="328" spans="1:6" s="110" customFormat="1" ht="12.75">
      <c r="A328" s="66" t="s">
        <v>51</v>
      </c>
      <c r="B328" s="67"/>
      <c r="C328" s="113"/>
      <c r="D328" s="67"/>
      <c r="E328" s="225"/>
      <c r="F328" s="56"/>
    </row>
    <row r="329" spans="1:6" s="110" customFormat="1" ht="12.75">
      <c r="A329" s="58" t="s">
        <v>52</v>
      </c>
      <c r="B329" s="67">
        <v>0</v>
      </c>
      <c r="C329" s="75">
        <f>'4_sz_ melléklet'!B181</f>
        <v>0</v>
      </c>
      <c r="D329" s="67">
        <f>'4_sz_ melléklet'!B199</f>
        <v>0</v>
      </c>
      <c r="E329" s="225">
        <v>0</v>
      </c>
      <c r="F329" s="56">
        <f>'4_sz_ melléklet'!B92</f>
        <v>122323</v>
      </c>
    </row>
    <row r="330" spans="1:6" s="110" customFormat="1" ht="12.75">
      <c r="A330" s="58" t="s">
        <v>53</v>
      </c>
      <c r="B330" s="67">
        <f>'3_sz_ melléklet'!B99</f>
        <v>0</v>
      </c>
      <c r="C330" s="75">
        <v>0</v>
      </c>
      <c r="D330" s="67">
        <f>'3_sz_ melléklet'!B146</f>
        <v>0</v>
      </c>
      <c r="E330" s="225">
        <v>0</v>
      </c>
      <c r="F330" s="56">
        <v>0</v>
      </c>
    </row>
    <row r="331" spans="1:6" s="110" customFormat="1" ht="12.75">
      <c r="A331" s="58" t="s">
        <v>54</v>
      </c>
      <c r="B331" s="67">
        <v>0</v>
      </c>
      <c r="C331" s="75">
        <v>0</v>
      </c>
      <c r="D331" s="67">
        <v>0</v>
      </c>
      <c r="E331" s="225">
        <v>0</v>
      </c>
      <c r="F331" s="56">
        <v>0</v>
      </c>
    </row>
    <row r="332" spans="1:6" s="110" customFormat="1" ht="12.75">
      <c r="A332" s="1158" t="s">
        <v>111</v>
      </c>
      <c r="B332" s="67">
        <f>-B322</f>
        <v>0</v>
      </c>
      <c r="C332" s="67">
        <f>-C322</f>
        <v>0</v>
      </c>
      <c r="D332" s="67">
        <f>-D322</f>
        <v>0</v>
      </c>
      <c r="E332" s="67">
        <f>-E322</f>
        <v>0</v>
      </c>
      <c r="F332" s="67">
        <f>-F322</f>
        <v>0</v>
      </c>
    </row>
    <row r="333" spans="1:6" s="110" customFormat="1" ht="13.5" thickBot="1">
      <c r="A333" s="155" t="s">
        <v>1238</v>
      </c>
      <c r="B333" s="82"/>
      <c r="C333" s="72"/>
      <c r="D333" s="82"/>
      <c r="E333" s="70"/>
      <c r="F333" s="77"/>
    </row>
    <row r="334" spans="1:6" s="110" customFormat="1" ht="13.5" thickBot="1">
      <c r="A334" s="61" t="s">
        <v>90</v>
      </c>
      <c r="B334" s="62">
        <f>B329+B330+B331+B332+B333</f>
        <v>0</v>
      </c>
      <c r="C334" s="62">
        <f>C329+C330+C331+C332+C333</f>
        <v>0</v>
      </c>
      <c r="D334" s="62">
        <f>D329+D330+D331+D332+D333</f>
        <v>0</v>
      </c>
      <c r="E334" s="62">
        <f>E329+E330+E331+E332+E333</f>
        <v>0</v>
      </c>
      <c r="F334" s="62">
        <f>F329+F330+F331+F332+F333</f>
        <v>122323</v>
      </c>
    </row>
    <row r="335" spans="1:6" s="110" customFormat="1" ht="12.75">
      <c r="A335" s="115"/>
      <c r="B335" s="82"/>
      <c r="C335" s="70"/>
      <c r="D335" s="82"/>
      <c r="E335" s="72"/>
      <c r="F335" s="82"/>
    </row>
    <row r="336" spans="1:6" s="110" customFormat="1" ht="12.75">
      <c r="A336" s="115" t="s">
        <v>57</v>
      </c>
      <c r="B336" s="82"/>
      <c r="C336" s="70"/>
      <c r="D336" s="82"/>
      <c r="E336" s="72"/>
      <c r="F336" s="82"/>
    </row>
    <row r="337" spans="1:6" s="110" customFormat="1" ht="12.75">
      <c r="A337" s="226" t="s">
        <v>58</v>
      </c>
      <c r="B337" s="56">
        <v>0</v>
      </c>
      <c r="C337" s="74">
        <v>0</v>
      </c>
      <c r="D337" s="56"/>
      <c r="E337" s="75">
        <v>0</v>
      </c>
      <c r="F337" s="56">
        <v>0</v>
      </c>
    </row>
    <row r="338" spans="1:6" s="110" customFormat="1" ht="13.5" thickBot="1">
      <c r="A338" s="227" t="s">
        <v>59</v>
      </c>
      <c r="B338" s="82">
        <v>0</v>
      </c>
      <c r="C338" s="70">
        <v>0</v>
      </c>
      <c r="D338" s="82"/>
      <c r="E338" s="72">
        <v>0</v>
      </c>
      <c r="F338" s="77">
        <v>0</v>
      </c>
    </row>
    <row r="339" spans="1:6" s="110" customFormat="1" ht="13.5" thickBot="1">
      <c r="A339" s="61" t="s">
        <v>130</v>
      </c>
      <c r="B339" s="62">
        <f>B337+B338</f>
        <v>0</v>
      </c>
      <c r="C339" s="62">
        <f>C337+C338</f>
        <v>0</v>
      </c>
      <c r="D339" s="62">
        <f>D337+D338</f>
        <v>0</v>
      </c>
      <c r="E339" s="62">
        <f>E337+E338</f>
        <v>0</v>
      </c>
      <c r="F339" s="62">
        <f>F337+F338</f>
        <v>0</v>
      </c>
    </row>
    <row r="340" spans="1:6" s="110" customFormat="1" ht="12.75">
      <c r="A340" s="115"/>
      <c r="B340" s="82"/>
      <c r="C340" s="70"/>
      <c r="D340" s="82"/>
      <c r="E340" s="82"/>
      <c r="F340" s="72"/>
    </row>
    <row r="341" spans="1:6" s="110" customFormat="1" ht="12.75">
      <c r="A341" s="81" t="s">
        <v>93</v>
      </c>
      <c r="B341" s="67"/>
      <c r="C341" s="225"/>
      <c r="D341" s="67"/>
      <c r="E341" s="67"/>
      <c r="F341" s="113"/>
    </row>
    <row r="342" spans="1:6" s="110" customFormat="1" ht="12.75">
      <c r="A342" s="73" t="s">
        <v>58</v>
      </c>
      <c r="B342" s="67">
        <v>0</v>
      </c>
      <c r="C342" s="67">
        <v>0</v>
      </c>
      <c r="D342" s="67">
        <f>1_e_f_sz_melléklet!C152</f>
        <v>0</v>
      </c>
      <c r="E342" s="67">
        <f>1_e_f_sz_melléklet!C144+1_e_f_sz_melléklet!C145</f>
        <v>0</v>
      </c>
      <c r="F342" s="75">
        <f>1_e_f_sz_melléklet!C147</f>
        <v>0</v>
      </c>
    </row>
    <row r="343" spans="1:6" s="110" customFormat="1" ht="13.5" thickBot="1">
      <c r="A343" s="228" t="s">
        <v>59</v>
      </c>
      <c r="B343" s="82">
        <v>0</v>
      </c>
      <c r="C343" s="70">
        <v>0</v>
      </c>
      <c r="D343" s="82">
        <f>1_e_f_sz_melléklet!C160</f>
        <v>0</v>
      </c>
      <c r="E343" s="82">
        <f>1_e_f_sz_melléklet!C159</f>
        <v>0</v>
      </c>
      <c r="F343" s="78">
        <v>0</v>
      </c>
    </row>
    <row r="344" spans="1:6" s="110" customFormat="1" ht="13.5" thickBot="1">
      <c r="A344" s="61" t="s">
        <v>94</v>
      </c>
      <c r="B344" s="62">
        <f>B342+B343</f>
        <v>0</v>
      </c>
      <c r="C344" s="62">
        <f>C342+C343</f>
        <v>0</v>
      </c>
      <c r="D344" s="62">
        <f>D342+D343</f>
        <v>0</v>
      </c>
      <c r="E344" s="62">
        <f>E342+E343</f>
        <v>0</v>
      </c>
      <c r="F344" s="62">
        <f>F342+F343</f>
        <v>0</v>
      </c>
    </row>
    <row r="345" spans="1:6" s="110" customFormat="1" ht="12.75">
      <c r="A345" s="63" t="s">
        <v>63</v>
      </c>
      <c r="B345" s="67"/>
      <c r="C345" s="67"/>
      <c r="D345" s="67"/>
      <c r="E345" s="225"/>
      <c r="F345" s="67"/>
    </row>
    <row r="346" spans="1:6" s="110" customFormat="1" ht="12.75">
      <c r="A346" s="76" t="s">
        <v>95</v>
      </c>
      <c r="B346" s="82">
        <v>0</v>
      </c>
      <c r="C346" s="82">
        <v>0</v>
      </c>
      <c r="D346" s="82">
        <v>0</v>
      </c>
      <c r="E346" s="70">
        <v>0</v>
      </c>
      <c r="F346" s="56">
        <v>0</v>
      </c>
    </row>
    <row r="347" spans="1:6" s="110" customFormat="1" ht="13.5" thickBot="1">
      <c r="A347" s="223" t="s">
        <v>131</v>
      </c>
      <c r="B347" s="56">
        <v>0</v>
      </c>
      <c r="C347" s="56">
        <f>1_g_h_sz_melléklet!B68</f>
        <v>0</v>
      </c>
      <c r="D347" s="56">
        <v>0</v>
      </c>
      <c r="E347" s="74">
        <v>0</v>
      </c>
      <c r="F347" s="77">
        <v>0</v>
      </c>
    </row>
    <row r="348" spans="1:6" s="110" customFormat="1" ht="13.5" thickBot="1">
      <c r="A348" s="61" t="s">
        <v>97</v>
      </c>
      <c r="B348" s="62">
        <f>B346+B347</f>
        <v>0</v>
      </c>
      <c r="C348" s="62">
        <f>C346+C347</f>
        <v>0</v>
      </c>
      <c r="D348" s="62">
        <f>D346+D347</f>
        <v>0</v>
      </c>
      <c r="E348" s="62">
        <f>E346+E347</f>
        <v>0</v>
      </c>
      <c r="F348" s="62">
        <f>F346+F347</f>
        <v>0</v>
      </c>
    </row>
    <row r="349" spans="1:6" s="110" customFormat="1" ht="12.75">
      <c r="A349" s="66" t="s">
        <v>67</v>
      </c>
      <c r="B349" s="128"/>
      <c r="C349" s="87"/>
      <c r="D349" s="229"/>
      <c r="E349" s="128"/>
      <c r="F349" s="67"/>
    </row>
    <row r="350" spans="1:6" s="110" customFormat="1" ht="12.75">
      <c r="A350" s="55" t="s">
        <v>132</v>
      </c>
      <c r="B350" s="225">
        <v>0</v>
      </c>
      <c r="C350" s="67">
        <v>0</v>
      </c>
      <c r="D350" s="68">
        <v>0</v>
      </c>
      <c r="E350" s="225">
        <v>0</v>
      </c>
      <c r="F350" s="56">
        <v>0</v>
      </c>
    </row>
    <row r="351" spans="1:6" s="110" customFormat="1" ht="13.5" thickBot="1">
      <c r="A351" s="55" t="s">
        <v>133</v>
      </c>
      <c r="B351" s="74">
        <v>0</v>
      </c>
      <c r="C351" s="56">
        <v>0</v>
      </c>
      <c r="D351" s="57">
        <v>0</v>
      </c>
      <c r="E351" s="74">
        <v>0</v>
      </c>
      <c r="F351" s="56">
        <v>0</v>
      </c>
    </row>
    <row r="352" spans="1:6" s="110" customFormat="1" ht="13.5" thickBot="1">
      <c r="A352" s="109" t="s">
        <v>70</v>
      </c>
      <c r="B352" s="62">
        <f>B350+B351</f>
        <v>0</v>
      </c>
      <c r="C352" s="62">
        <f>C350+C351</f>
        <v>0</v>
      </c>
      <c r="D352" s="62">
        <f>D350+D351</f>
        <v>0</v>
      </c>
      <c r="E352" s="62">
        <f>E350+E351</f>
        <v>0</v>
      </c>
      <c r="F352" s="62">
        <f>F350+F351</f>
        <v>0</v>
      </c>
    </row>
    <row r="353" spans="1:6" s="110" customFormat="1" ht="13.5" thickBot="1">
      <c r="A353" s="115"/>
      <c r="B353" s="71"/>
      <c r="C353" s="71"/>
      <c r="D353" s="71"/>
      <c r="E353" s="230"/>
      <c r="F353" s="82"/>
    </row>
    <row r="354" spans="1:6" s="110" customFormat="1" ht="12.75">
      <c r="A354" s="231" t="s">
        <v>142</v>
      </c>
      <c r="B354" s="232"/>
      <c r="C354" s="232"/>
      <c r="D354" s="71"/>
      <c r="E354" s="230"/>
      <c r="F354" s="71"/>
    </row>
    <row r="355" spans="1:6" s="110" customFormat="1" ht="13.5" thickBot="1">
      <c r="A355" s="234" t="s">
        <v>98</v>
      </c>
      <c r="B355" s="235">
        <f>B352+B348+B344+B339+B334+B326</f>
        <v>478</v>
      </c>
      <c r="C355" s="235">
        <f>C352+C348+C344+C339+C334+C326</f>
        <v>110</v>
      </c>
      <c r="D355" s="235">
        <f>D352+D348+D344+D339+D334+D326</f>
        <v>3</v>
      </c>
      <c r="E355" s="235">
        <f>E352+E348+E344+E339+E334+E326</f>
        <v>206</v>
      </c>
      <c r="F355" s="235">
        <f>F352+F348+F344+F339+F334+F326</f>
        <v>122323</v>
      </c>
    </row>
    <row r="356" spans="1:6" s="110" customFormat="1" ht="12.75">
      <c r="A356" s="266"/>
      <c r="B356" s="247"/>
      <c r="C356" s="247"/>
      <c r="D356" s="87"/>
      <c r="E356" s="128"/>
      <c r="F356" s="87"/>
    </row>
    <row r="357" spans="1:6" s="110" customFormat="1" ht="12.75">
      <c r="A357" s="269" t="s">
        <v>99</v>
      </c>
      <c r="B357" s="94"/>
      <c r="C357" s="271"/>
      <c r="D357" s="67"/>
      <c r="E357" s="67"/>
      <c r="F357" s="113"/>
    </row>
    <row r="358" spans="1:6" s="110" customFormat="1" ht="12.75">
      <c r="A358" s="88" t="s">
        <v>73</v>
      </c>
      <c r="B358" s="248">
        <v>0</v>
      </c>
      <c r="C358" s="239">
        <v>0</v>
      </c>
      <c r="D358" s="56">
        <v>0</v>
      </c>
      <c r="E358" s="56">
        <v>0</v>
      </c>
      <c r="F358" s="75">
        <v>0</v>
      </c>
    </row>
    <row r="359" spans="1:6" s="110" customFormat="1" ht="13.5" thickBot="1">
      <c r="A359" s="133" t="s">
        <v>100</v>
      </c>
      <c r="B359" s="249">
        <v>0</v>
      </c>
      <c r="C359" s="240">
        <v>0</v>
      </c>
      <c r="D359" s="77">
        <v>0</v>
      </c>
      <c r="E359" s="77">
        <v>0</v>
      </c>
      <c r="F359" s="78"/>
    </row>
    <row r="360" spans="1:6" s="110" customFormat="1" ht="13.5" thickBot="1">
      <c r="A360" s="109" t="s">
        <v>113</v>
      </c>
      <c r="B360" s="62">
        <f>B358+B359</f>
        <v>0</v>
      </c>
      <c r="C360" s="62">
        <f>C358+C359</f>
        <v>0</v>
      </c>
      <c r="D360" s="62">
        <f>D358+D359</f>
        <v>0</v>
      </c>
      <c r="E360" s="62">
        <f>E358+E359</f>
        <v>0</v>
      </c>
      <c r="F360" s="62">
        <f>F358+F359</f>
        <v>0</v>
      </c>
    </row>
    <row r="361" spans="1:6" s="110" customFormat="1" ht="13.5" thickBot="1">
      <c r="A361" s="245"/>
      <c r="B361" s="82"/>
      <c r="C361" s="56"/>
      <c r="D361" s="85"/>
      <c r="E361" s="123"/>
      <c r="F361" s="82"/>
    </row>
    <row r="362" spans="1:6" s="110" customFormat="1" ht="13.5" thickBot="1">
      <c r="A362" s="243" t="s">
        <v>135</v>
      </c>
      <c r="B362" s="92">
        <f>B355+B360</f>
        <v>478</v>
      </c>
      <c r="C362" s="92">
        <f>C355+C360</f>
        <v>110</v>
      </c>
      <c r="D362" s="92">
        <f>D355+D360</f>
        <v>3</v>
      </c>
      <c r="E362" s="92">
        <f>E355+E360</f>
        <v>206</v>
      </c>
      <c r="F362" s="92">
        <f>F355+F360</f>
        <v>122323</v>
      </c>
    </row>
    <row r="363" spans="1:6" s="110" customFormat="1" ht="12.75">
      <c r="A363" s="1389">
        <v>8</v>
      </c>
      <c r="B363" s="1389"/>
      <c r="C363" s="1389"/>
      <c r="D363" s="1389"/>
      <c r="E363" s="1389"/>
      <c r="F363" s="1389"/>
    </row>
    <row r="364" spans="1:6" s="110" customFormat="1" ht="14.25">
      <c r="A364" s="1383" t="s">
        <v>120</v>
      </c>
      <c r="B364" s="1383"/>
      <c r="C364" s="1383"/>
      <c r="D364" s="1383"/>
      <c r="E364" s="1383"/>
      <c r="F364"/>
    </row>
    <row r="365" spans="1:6" s="110" customFormat="1" ht="15.75">
      <c r="A365" s="1390" t="s">
        <v>121</v>
      </c>
      <c r="B365" s="1390"/>
      <c r="C365" s="1390"/>
      <c r="D365" s="1390"/>
      <c r="E365" s="1390"/>
      <c r="F365" s="1390"/>
    </row>
    <row r="366" spans="1:6" s="110" customFormat="1" ht="15.75">
      <c r="A366" s="1382" t="s">
        <v>122</v>
      </c>
      <c r="B366" s="1382"/>
      <c r="C366" s="1382"/>
      <c r="D366" s="1382"/>
      <c r="E366" s="1382"/>
      <c r="F366" s="1382"/>
    </row>
    <row r="367" spans="1:6" s="110" customFormat="1" ht="13.5" thickBot="1">
      <c r="A367"/>
      <c r="B367"/>
      <c r="C367"/>
      <c r="D367"/>
      <c r="E367" s="48" t="s">
        <v>79</v>
      </c>
      <c r="F367"/>
    </row>
    <row r="368" spans="1:6" s="110" customFormat="1" ht="51.75" thickBot="1">
      <c r="A368" s="1333" t="s">
        <v>123</v>
      </c>
      <c r="B368" s="386" t="s">
        <v>1315</v>
      </c>
      <c r="C368" s="199" t="s">
        <v>1321</v>
      </c>
      <c r="D368" s="199"/>
      <c r="E368" s="199"/>
      <c r="F368" s="199"/>
    </row>
    <row r="369" spans="1:6" s="110" customFormat="1" ht="12.75">
      <c r="A369" s="63" t="s">
        <v>42</v>
      </c>
      <c r="B369" s="87"/>
      <c r="C369" s="87"/>
      <c r="D369" s="87"/>
      <c r="E369" s="229"/>
      <c r="F369" s="87"/>
    </row>
    <row r="370" spans="1:6" s="110" customFormat="1" ht="12.75">
      <c r="A370" s="222" t="s">
        <v>43</v>
      </c>
      <c r="B370" s="67"/>
      <c r="C370" s="56"/>
      <c r="D370" s="67"/>
      <c r="E370" s="68"/>
      <c r="F370" s="56"/>
    </row>
    <row r="371" spans="1:6" s="110" customFormat="1" ht="12.75">
      <c r="A371" s="58" t="s">
        <v>44</v>
      </c>
      <c r="B371" s="67"/>
      <c r="C371" s="56"/>
      <c r="D371" s="67"/>
      <c r="E371" s="68"/>
      <c r="F371" s="56"/>
    </row>
    <row r="372" spans="1:6" s="110" customFormat="1" ht="12.75">
      <c r="A372" s="58" t="s">
        <v>45</v>
      </c>
      <c r="B372" s="67">
        <f>355+1062+314</f>
        <v>1731</v>
      </c>
      <c r="C372" s="56"/>
      <c r="D372" s="67"/>
      <c r="E372" s="68"/>
      <c r="F372" s="56"/>
    </row>
    <row r="373" spans="1:6" s="110" customFormat="1" ht="12.75">
      <c r="A373" s="58" t="s">
        <v>161</v>
      </c>
      <c r="B373" s="67"/>
      <c r="C373" s="56"/>
      <c r="D373" s="67"/>
      <c r="E373" s="68"/>
      <c r="F373" s="56"/>
    </row>
    <row r="374" spans="1:6" s="110" customFormat="1" ht="12.75">
      <c r="A374" s="58" t="s">
        <v>47</v>
      </c>
      <c r="B374" s="67"/>
      <c r="C374" s="56"/>
      <c r="D374" s="67"/>
      <c r="E374" s="68"/>
      <c r="F374" s="56"/>
    </row>
    <row r="375" spans="1:6" s="110" customFormat="1" ht="12.75">
      <c r="A375" s="223" t="s">
        <v>48</v>
      </c>
      <c r="B375" s="67"/>
      <c r="C375" s="56"/>
      <c r="D375" s="67"/>
      <c r="E375" s="68"/>
      <c r="F375" s="56"/>
    </row>
    <row r="376" spans="1:6" s="110" customFormat="1" ht="13.5" thickBot="1">
      <c r="A376" s="224" t="s">
        <v>149</v>
      </c>
      <c r="B376" s="67"/>
      <c r="C376" s="56"/>
      <c r="D376" s="56"/>
      <c r="E376" s="56"/>
      <c r="F376" s="56"/>
    </row>
    <row r="377" spans="1:6" s="110" customFormat="1" ht="13.5" thickBot="1">
      <c r="A377" s="61" t="s">
        <v>129</v>
      </c>
      <c r="B377" s="62">
        <f>SUM(B370:B375)</f>
        <v>1731</v>
      </c>
      <c r="C377" s="62">
        <f>SUM(C370:C375)</f>
        <v>0</v>
      </c>
      <c r="D377" s="62">
        <f>SUM(D370:D375)</f>
        <v>0</v>
      </c>
      <c r="E377" s="62">
        <f>SUM(E370:E375)</f>
        <v>0</v>
      </c>
      <c r="F377" s="62">
        <f>SUM(F370:F375)</f>
        <v>0</v>
      </c>
    </row>
    <row r="378" spans="1:6" s="110" customFormat="1" ht="12.75">
      <c r="A378" s="112"/>
      <c r="B378" s="87"/>
      <c r="C378" s="129"/>
      <c r="D378" s="87"/>
      <c r="E378" s="229"/>
      <c r="F378" s="67"/>
    </row>
    <row r="379" spans="1:6" s="110" customFormat="1" ht="12.75">
      <c r="A379" s="66" t="s">
        <v>51</v>
      </c>
      <c r="B379" s="67"/>
      <c r="C379" s="113"/>
      <c r="D379" s="67"/>
      <c r="E379" s="225"/>
      <c r="F379" s="56"/>
    </row>
    <row r="380" spans="1:6" s="110" customFormat="1" ht="12.75">
      <c r="A380" s="58" t="s">
        <v>52</v>
      </c>
      <c r="B380" s="67">
        <v>0</v>
      </c>
      <c r="C380" s="75">
        <f>'4_sz_ melléklet'!B233</f>
        <v>0</v>
      </c>
      <c r="D380" s="67">
        <v>0</v>
      </c>
      <c r="E380" s="225">
        <v>0</v>
      </c>
      <c r="F380" s="56">
        <f>'4_sz_ melléklet'!B181</f>
        <v>0</v>
      </c>
    </row>
    <row r="381" spans="1:6" s="110" customFormat="1" ht="12.75">
      <c r="A381" s="58" t="s">
        <v>53</v>
      </c>
      <c r="B381" s="67">
        <f>'3_sz_ melléklet'!B151</f>
        <v>0</v>
      </c>
      <c r="C381" s="75">
        <v>0</v>
      </c>
      <c r="D381" s="67">
        <f>'3_sz_ melléklet'!B198</f>
        <v>0</v>
      </c>
      <c r="E381" s="225">
        <v>0</v>
      </c>
      <c r="F381" s="56">
        <v>0</v>
      </c>
    </row>
    <row r="382" spans="1:6" s="110" customFormat="1" ht="12.75">
      <c r="A382" s="58" t="s">
        <v>54</v>
      </c>
      <c r="B382" s="67">
        <v>0</v>
      </c>
      <c r="C382" s="75">
        <v>0</v>
      </c>
      <c r="D382" s="67">
        <v>0</v>
      </c>
      <c r="E382" s="225">
        <v>0</v>
      </c>
      <c r="F382" s="56">
        <v>0</v>
      </c>
    </row>
    <row r="383" spans="1:6" s="110" customFormat="1" ht="12.75">
      <c r="A383" s="1158" t="s">
        <v>111</v>
      </c>
      <c r="B383" s="67">
        <f>-B373</f>
        <v>0</v>
      </c>
      <c r="C383" s="67">
        <f>-C373</f>
        <v>0</v>
      </c>
      <c r="D383" s="67">
        <f>-D373</f>
        <v>0</v>
      </c>
      <c r="E383" s="67">
        <f>-E373</f>
        <v>0</v>
      </c>
      <c r="F383" s="67">
        <f>-F373</f>
        <v>0</v>
      </c>
    </row>
    <row r="384" spans="1:6" s="110" customFormat="1" ht="13.5" thickBot="1">
      <c r="A384" s="155" t="s">
        <v>1238</v>
      </c>
      <c r="B384" s="82"/>
      <c r="C384" s="72"/>
      <c r="D384" s="82"/>
      <c r="E384" s="70"/>
      <c r="F384" s="77"/>
    </row>
    <row r="385" spans="1:6" s="110" customFormat="1" ht="13.5" thickBot="1">
      <c r="A385" s="61" t="s">
        <v>90</v>
      </c>
      <c r="B385" s="62">
        <f>B380+B381+B382+B383+B384</f>
        <v>0</v>
      </c>
      <c r="C385" s="62">
        <f>C380+C381+C382+C383+C384</f>
        <v>0</v>
      </c>
      <c r="D385" s="62">
        <f>D380+D381+D382+D383+D384</f>
        <v>0</v>
      </c>
      <c r="E385" s="62">
        <f>E380+E381+E382+E383+E384</f>
        <v>0</v>
      </c>
      <c r="F385" s="62">
        <f>F380+F381+F382+F383+F384</f>
        <v>0</v>
      </c>
    </row>
    <row r="386" spans="1:6" s="110" customFormat="1" ht="12.75">
      <c r="A386" s="115"/>
      <c r="B386" s="82"/>
      <c r="C386" s="70"/>
      <c r="D386" s="82"/>
      <c r="E386" s="72"/>
      <c r="F386" s="82"/>
    </row>
    <row r="387" spans="1:6" s="110" customFormat="1" ht="12.75">
      <c r="A387" s="115" t="s">
        <v>57</v>
      </c>
      <c r="B387" s="82"/>
      <c r="C387" s="70"/>
      <c r="D387" s="82"/>
      <c r="E387" s="72"/>
      <c r="F387" s="82"/>
    </row>
    <row r="388" spans="1:6" s="110" customFormat="1" ht="12.75">
      <c r="A388" s="226" t="s">
        <v>58</v>
      </c>
      <c r="B388" s="56">
        <v>0</v>
      </c>
      <c r="C388" s="74">
        <f>1_e_f_sz_melléklet!C14</f>
        <v>47780</v>
      </c>
      <c r="D388" s="56"/>
      <c r="E388" s="75">
        <v>0</v>
      </c>
      <c r="F388" s="56">
        <v>0</v>
      </c>
    </row>
    <row r="389" spans="1:6" s="110" customFormat="1" ht="13.5" thickBot="1">
      <c r="A389" s="227" t="s">
        <v>59</v>
      </c>
      <c r="B389" s="82">
        <v>0</v>
      </c>
      <c r="C389" s="70">
        <v>0</v>
      </c>
      <c r="D389" s="82"/>
      <c r="E389" s="72">
        <v>0</v>
      </c>
      <c r="F389" s="77">
        <v>0</v>
      </c>
    </row>
    <row r="390" spans="1:6" s="110" customFormat="1" ht="13.5" thickBot="1">
      <c r="A390" s="61" t="s">
        <v>130</v>
      </c>
      <c r="B390" s="62">
        <f>B388+B389</f>
        <v>0</v>
      </c>
      <c r="C390" s="62">
        <f>C388+C389</f>
        <v>47780</v>
      </c>
      <c r="D390" s="62">
        <f>D388+D389</f>
        <v>0</v>
      </c>
      <c r="E390" s="62">
        <f>E388+E389</f>
        <v>0</v>
      </c>
      <c r="F390" s="62">
        <f>F388+F389</f>
        <v>0</v>
      </c>
    </row>
    <row r="391" spans="1:6" s="110" customFormat="1" ht="12.75">
      <c r="A391" s="115"/>
      <c r="B391" s="82"/>
      <c r="C391" s="70"/>
      <c r="D391" s="82"/>
      <c r="E391" s="82"/>
      <c r="F391" s="72"/>
    </row>
    <row r="392" spans="1:6" s="110" customFormat="1" ht="12.75">
      <c r="A392" s="81" t="s">
        <v>93</v>
      </c>
      <c r="B392" s="67"/>
      <c r="C392" s="225"/>
      <c r="D392" s="67"/>
      <c r="E392" s="67"/>
      <c r="F392" s="113"/>
    </row>
    <row r="393" spans="1:6" s="110" customFormat="1" ht="12.75">
      <c r="A393" s="73" t="s">
        <v>58</v>
      </c>
      <c r="B393" s="67">
        <v>0</v>
      </c>
      <c r="C393" s="67">
        <v>0</v>
      </c>
      <c r="D393" s="67"/>
      <c r="E393" s="67">
        <f>1_e_f_sz_melléklet!C196+1_e_f_sz_melléklet!C197</f>
        <v>0</v>
      </c>
      <c r="F393" s="75">
        <f>1_e_f_sz_melléklet!C199</f>
        <v>0</v>
      </c>
    </row>
    <row r="394" spans="1:6" s="110" customFormat="1" ht="13.5" thickBot="1">
      <c r="A394" s="228" t="s">
        <v>59</v>
      </c>
      <c r="B394" s="82">
        <v>0</v>
      </c>
      <c r="C394" s="70">
        <v>0</v>
      </c>
      <c r="D394" s="82">
        <f>1_e_f_sz_melléklet!C212</f>
        <v>0</v>
      </c>
      <c r="E394" s="82">
        <f>1_e_f_sz_melléklet!C211</f>
        <v>0</v>
      </c>
      <c r="F394" s="78">
        <v>0</v>
      </c>
    </row>
    <row r="395" spans="1:6" s="110" customFormat="1" ht="13.5" thickBot="1">
      <c r="A395" s="61" t="s">
        <v>94</v>
      </c>
      <c r="B395" s="62">
        <f>B393+B394</f>
        <v>0</v>
      </c>
      <c r="C395" s="62">
        <f>C393+C394</f>
        <v>0</v>
      </c>
      <c r="D395" s="62">
        <f>D393+D394</f>
        <v>0</v>
      </c>
      <c r="E395" s="62">
        <f>E393+E394</f>
        <v>0</v>
      </c>
      <c r="F395" s="62">
        <f>F393+F394</f>
        <v>0</v>
      </c>
    </row>
    <row r="396" spans="1:6" s="110" customFormat="1" ht="12.75">
      <c r="A396" s="63" t="s">
        <v>63</v>
      </c>
      <c r="B396" s="67"/>
      <c r="C396" s="67"/>
      <c r="D396" s="67"/>
      <c r="E396" s="225"/>
      <c r="F396" s="67"/>
    </row>
    <row r="397" spans="1:6" s="110" customFormat="1" ht="12.75">
      <c r="A397" s="76" t="s">
        <v>95</v>
      </c>
      <c r="B397" s="82">
        <v>0</v>
      </c>
      <c r="C397" s="82">
        <v>0</v>
      </c>
      <c r="D397" s="82">
        <v>0</v>
      </c>
      <c r="E397" s="70">
        <v>0</v>
      </c>
      <c r="F397" s="56">
        <v>0</v>
      </c>
    </row>
    <row r="398" spans="1:6" s="110" customFormat="1" ht="13.5" thickBot="1">
      <c r="A398" s="223" t="s">
        <v>131</v>
      </c>
      <c r="B398" s="56">
        <v>0</v>
      </c>
      <c r="C398" s="56">
        <f>1_g_h_sz_melléklet!B120</f>
        <v>0</v>
      </c>
      <c r="D398" s="56">
        <v>0</v>
      </c>
      <c r="E398" s="74">
        <v>0</v>
      </c>
      <c r="F398" s="77">
        <v>0</v>
      </c>
    </row>
    <row r="399" spans="1:6" s="110" customFormat="1" ht="13.5" thickBot="1">
      <c r="A399" s="61" t="s">
        <v>97</v>
      </c>
      <c r="B399" s="62">
        <f>B397+B398</f>
        <v>0</v>
      </c>
      <c r="C399" s="62">
        <f>C397+C398</f>
        <v>0</v>
      </c>
      <c r="D399" s="62">
        <f>D397+D398</f>
        <v>0</v>
      </c>
      <c r="E399" s="62">
        <f>E397+E398</f>
        <v>0</v>
      </c>
      <c r="F399" s="62">
        <f>F397+F398</f>
        <v>0</v>
      </c>
    </row>
    <row r="400" spans="1:6" s="110" customFormat="1" ht="12.75">
      <c r="A400" s="66" t="s">
        <v>67</v>
      </c>
      <c r="B400" s="128"/>
      <c r="C400" s="87"/>
      <c r="D400" s="229"/>
      <c r="E400" s="128"/>
      <c r="F400" s="67"/>
    </row>
    <row r="401" spans="1:6" s="110" customFormat="1" ht="12.75">
      <c r="A401" s="55" t="s">
        <v>132</v>
      </c>
      <c r="B401" s="225">
        <v>0</v>
      </c>
      <c r="C401" s="67">
        <v>0</v>
      </c>
      <c r="D401" s="68">
        <v>0</v>
      </c>
      <c r="E401" s="225">
        <v>0</v>
      </c>
      <c r="F401" s="56">
        <v>0</v>
      </c>
    </row>
    <row r="402" spans="1:6" s="110" customFormat="1" ht="13.5" thickBot="1">
      <c r="A402" s="55" t="s">
        <v>133</v>
      </c>
      <c r="B402" s="74">
        <v>0</v>
      </c>
      <c r="C402" s="56">
        <v>0</v>
      </c>
      <c r="D402" s="57">
        <v>0</v>
      </c>
      <c r="E402" s="74">
        <v>0</v>
      </c>
      <c r="F402" s="56">
        <v>0</v>
      </c>
    </row>
    <row r="403" spans="1:6" s="110" customFormat="1" ht="13.5" thickBot="1">
      <c r="A403" s="109" t="s">
        <v>70</v>
      </c>
      <c r="B403" s="62">
        <f>B401+B402</f>
        <v>0</v>
      </c>
      <c r="C403" s="62">
        <f>C401+C402</f>
        <v>0</v>
      </c>
      <c r="D403" s="62">
        <f>D401+D402</f>
        <v>0</v>
      </c>
      <c r="E403" s="62">
        <f>E401+E402</f>
        <v>0</v>
      </c>
      <c r="F403" s="62">
        <f>F401+F402</f>
        <v>0</v>
      </c>
    </row>
    <row r="404" spans="1:6" s="110" customFormat="1" ht="13.5" thickBot="1">
      <c r="A404" s="115"/>
      <c r="B404" s="71"/>
      <c r="C404" s="71"/>
      <c r="D404" s="71"/>
      <c r="E404" s="230"/>
      <c r="F404" s="82"/>
    </row>
    <row r="405" spans="1:6" s="110" customFormat="1" ht="12.75">
      <c r="A405" s="231" t="s">
        <v>142</v>
      </c>
      <c r="B405" s="232"/>
      <c r="C405" s="232"/>
      <c r="D405" s="71"/>
      <c r="E405" s="230"/>
      <c r="F405" s="71"/>
    </row>
    <row r="406" spans="1:6" s="110" customFormat="1" ht="13.5" thickBot="1">
      <c r="A406" s="234" t="s">
        <v>98</v>
      </c>
      <c r="B406" s="235">
        <f>B403+B399+B395+B390+B385+B377</f>
        <v>1731</v>
      </c>
      <c r="C406" s="235">
        <f>C403+C399+C395+C390+C385+C377</f>
        <v>47780</v>
      </c>
      <c r="D406" s="235">
        <f>D403+D399+D395+D390+D385+D377</f>
        <v>0</v>
      </c>
      <c r="E406" s="235">
        <f>E403+E399+E395+E390+E385+E377</f>
        <v>0</v>
      </c>
      <c r="F406" s="235">
        <f>F403+F399+F395+F390+F385+F377</f>
        <v>0</v>
      </c>
    </row>
    <row r="407" spans="1:6" s="110" customFormat="1" ht="12.75">
      <c r="A407" s="266"/>
      <c r="B407" s="247"/>
      <c r="C407" s="247"/>
      <c r="D407" s="87"/>
      <c r="E407" s="128"/>
      <c r="F407" s="87"/>
    </row>
    <row r="408" spans="1:6" s="110" customFormat="1" ht="12.75">
      <c r="A408" s="269" t="s">
        <v>99</v>
      </c>
      <c r="B408" s="94"/>
      <c r="C408" s="271"/>
      <c r="D408" s="67"/>
      <c r="E408" s="67"/>
      <c r="F408" s="113"/>
    </row>
    <row r="409" spans="1:6" s="110" customFormat="1" ht="12.75">
      <c r="A409" s="88" t="s">
        <v>73</v>
      </c>
      <c r="B409" s="248">
        <v>0</v>
      </c>
      <c r="C409" s="239">
        <v>0</v>
      </c>
      <c r="D409" s="56">
        <v>0</v>
      </c>
      <c r="E409" s="56">
        <v>0</v>
      </c>
      <c r="F409" s="75">
        <v>0</v>
      </c>
    </row>
    <row r="410" spans="1:6" s="110" customFormat="1" ht="13.5" thickBot="1">
      <c r="A410" s="133" t="s">
        <v>100</v>
      </c>
      <c r="B410" s="249">
        <v>0</v>
      </c>
      <c r="C410" s="240">
        <v>0</v>
      </c>
      <c r="D410" s="77">
        <v>0</v>
      </c>
      <c r="E410" s="77">
        <v>0</v>
      </c>
      <c r="F410" s="78"/>
    </row>
    <row r="411" spans="1:6" s="110" customFormat="1" ht="13.5" thickBot="1">
      <c r="A411" s="109" t="s">
        <v>113</v>
      </c>
      <c r="B411" s="62">
        <f>B409+B410</f>
        <v>0</v>
      </c>
      <c r="C411" s="62">
        <f>C409+C410</f>
        <v>0</v>
      </c>
      <c r="D411" s="62">
        <f>D409+D410</f>
        <v>0</v>
      </c>
      <c r="E411" s="62">
        <f>E409+E410</f>
        <v>0</v>
      </c>
      <c r="F411" s="62">
        <f>F409+F410</f>
        <v>0</v>
      </c>
    </row>
    <row r="412" spans="1:6" s="110" customFormat="1" ht="13.5" thickBot="1">
      <c r="A412" s="245"/>
      <c r="B412" s="82"/>
      <c r="C412" s="56"/>
      <c r="D412" s="85"/>
      <c r="E412" s="123"/>
      <c r="F412" s="82"/>
    </row>
    <row r="413" spans="1:6" s="110" customFormat="1" ht="13.5" thickBot="1">
      <c r="A413" s="243" t="s">
        <v>135</v>
      </c>
      <c r="B413" s="92">
        <f>B406+B411</f>
        <v>1731</v>
      </c>
      <c r="C413" s="92">
        <f>C406+C411</f>
        <v>47780</v>
      </c>
      <c r="D413" s="92">
        <f>D406+D411</f>
        <v>0</v>
      </c>
      <c r="E413" s="92">
        <f>E406+E411</f>
        <v>0</v>
      </c>
      <c r="F413" s="92">
        <f>F406+F411</f>
        <v>0</v>
      </c>
    </row>
    <row r="414" spans="1:6" ht="12.75">
      <c r="A414" s="1389">
        <v>9</v>
      </c>
      <c r="B414" s="1389"/>
      <c r="C414" s="1389"/>
      <c r="D414" s="1389"/>
      <c r="E414" s="1389"/>
      <c r="F414" s="1389"/>
    </row>
    <row r="416" spans="1:5" ht="14.25">
      <c r="A416" s="1383" t="s">
        <v>120</v>
      </c>
      <c r="B416" s="1383"/>
      <c r="C416" s="1383"/>
      <c r="D416" s="1383"/>
      <c r="E416" s="1383"/>
    </row>
    <row r="417" spans="1:6" ht="15.75">
      <c r="A417" s="1390" t="s">
        <v>121</v>
      </c>
      <c r="B417" s="1390"/>
      <c r="C417" s="1390"/>
      <c r="D417" s="1390"/>
      <c r="E417" s="1390"/>
      <c r="F417" s="1390"/>
    </row>
    <row r="418" spans="1:6" ht="15.75">
      <c r="A418" s="1382" t="s">
        <v>122</v>
      </c>
      <c r="B418" s="1382"/>
      <c r="C418" s="1382"/>
      <c r="D418" s="1382"/>
      <c r="E418" s="1382"/>
      <c r="F418" s="1382"/>
    </row>
    <row r="419" ht="12.75">
      <c r="E419" s="48" t="s">
        <v>79</v>
      </c>
    </row>
    <row r="420" spans="1:6" ht="51.75" customHeight="1">
      <c r="A420" s="49" t="s">
        <v>80</v>
      </c>
      <c r="B420" s="844" t="s">
        <v>162</v>
      </c>
      <c r="C420" s="845" t="s">
        <v>163</v>
      </c>
      <c r="D420" s="846" t="s">
        <v>164</v>
      </c>
      <c r="E420" s="272" t="s">
        <v>165</v>
      </c>
      <c r="F420" s="847" t="s">
        <v>166</v>
      </c>
    </row>
    <row r="421" spans="1:6" ht="12.75">
      <c r="A421" s="63" t="s">
        <v>42</v>
      </c>
      <c r="B421" s="87"/>
      <c r="C421" s="87"/>
      <c r="D421" s="87"/>
      <c r="E421" s="229"/>
      <c r="F421" s="87"/>
    </row>
    <row r="422" spans="1:6" ht="12.75">
      <c r="A422" s="222" t="s">
        <v>43</v>
      </c>
      <c r="B422" s="67">
        <f>F215+E215+D215+C215+B215+B163+C163+D163+E163+F163+B112+C112+D112+E112+F112+B58+C58+D58+E58+F58+B7+C7+D7+E7+F7+B267+C267+D267+E267+F267+B319+C319+D319+E319+F319+B370+C370+D370+E370+F370</f>
        <v>331727</v>
      </c>
      <c r="C422" s="56"/>
      <c r="D422" s="67">
        <f>SUM(B422:C422)</f>
        <v>331727</v>
      </c>
      <c r="E422" s="68">
        <f>'1_c_sz_ melléklet'!C61</f>
        <v>1129933</v>
      </c>
      <c r="F422" s="56">
        <f>SUM(D422:E422)</f>
        <v>1461660</v>
      </c>
    </row>
    <row r="423" spans="1:6" ht="12.75">
      <c r="A423" s="58" t="s">
        <v>44</v>
      </c>
      <c r="B423" s="67">
        <f>F216+E216+D216+C216+B216+B164+C164+D164+E164+F164+B113+C113+D113+E113+F113+B59+C59+D59+E59+F59+B8+C8+D8+E8+F8+B268+C268+D268+E268+F268+B320+C320+D320+E320+F320+B371+C371+D371+E371+F371</f>
        <v>97964</v>
      </c>
      <c r="C423" s="56"/>
      <c r="D423" s="67">
        <f aca="true" t="shared" si="0" ref="D423:D428">SUM(B423:C423)</f>
        <v>97964</v>
      </c>
      <c r="E423" s="68">
        <f>'1_c_sz_ melléklet'!C62</f>
        <v>287361</v>
      </c>
      <c r="F423" s="56">
        <f aca="true" t="shared" si="1" ref="F423:F428">SUM(D423:E423)</f>
        <v>385325</v>
      </c>
    </row>
    <row r="424" spans="1:6" ht="12.75">
      <c r="A424" s="58" t="s">
        <v>45</v>
      </c>
      <c r="B424" s="67">
        <f>F217+E217+D217+C217+B217+B165+C165+D165+E165+F165+B114+C114+D114+E114+F114+B60+C60+D60+E60+F60+B9+C9+D9+E9+F9+B269+C269+D269+E269+F269+B321+C321+D321+E321+F321+B372+C372+D372+E372+F372</f>
        <v>677146</v>
      </c>
      <c r="C424" s="56"/>
      <c r="D424" s="67">
        <f t="shared" si="0"/>
        <v>677146</v>
      </c>
      <c r="E424" s="68">
        <f>'1_c_sz_ melléklet'!C63</f>
        <v>432017</v>
      </c>
      <c r="F424" s="56">
        <f t="shared" si="1"/>
        <v>1109163</v>
      </c>
    </row>
    <row r="425" spans="1:6" ht="12.75">
      <c r="A425" s="58" t="s">
        <v>167</v>
      </c>
      <c r="B425" s="67">
        <f>F218+E218+D218+C218+B218+B166+C166+D166+E166+F166+B115+C115+D115+E115+F115+B61+C61+D61+E61+F61+B10+C10+D10+E10+F10</f>
        <v>-98791</v>
      </c>
      <c r="C425" s="56"/>
      <c r="D425" s="67">
        <f t="shared" si="0"/>
        <v>-98791</v>
      </c>
      <c r="E425" s="68">
        <f>'1_c_sz_ melléklet'!C64</f>
        <v>0</v>
      </c>
      <c r="F425" s="56">
        <f t="shared" si="1"/>
        <v>-98791</v>
      </c>
    </row>
    <row r="426" spans="1:6" ht="12.75">
      <c r="A426" s="58" t="s">
        <v>47</v>
      </c>
      <c r="B426" s="67">
        <f>F219+E219+D219+C219+B219+B167+C167+D167+E167+F167+B116+C116+D116+E116+F116+B62+C62+D62+E62+F62+B11+C11+D11+E11+F11</f>
        <v>0</v>
      </c>
      <c r="C426" s="56"/>
      <c r="D426" s="67">
        <f t="shared" si="0"/>
        <v>0</v>
      </c>
      <c r="E426" s="68">
        <f>'1_c_sz_ melléklet'!C65</f>
        <v>16851</v>
      </c>
      <c r="F426" s="56">
        <f t="shared" si="1"/>
        <v>16851</v>
      </c>
    </row>
    <row r="427" spans="1:6" ht="12.75">
      <c r="A427" s="223" t="s">
        <v>48</v>
      </c>
      <c r="B427" s="67">
        <f>F220+E220+D220+C220+B220+B168+C168+D168+E168+F168+B117+C117+D117+E117+F117+B63+C63+D63+E63+F63+B12+C12+D12+E12+F12+B272+C272+D272+E272+F272</f>
        <v>365880</v>
      </c>
      <c r="C427" s="56"/>
      <c r="D427" s="67">
        <f t="shared" si="0"/>
        <v>365880</v>
      </c>
      <c r="E427" s="68">
        <f>'1_c_sz_ melléklet'!C66</f>
        <v>0</v>
      </c>
      <c r="F427" s="56">
        <f t="shared" si="1"/>
        <v>365880</v>
      </c>
    </row>
    <row r="428" spans="1:6" ht="12.75">
      <c r="A428" s="224" t="s">
        <v>168</v>
      </c>
      <c r="B428" s="67">
        <f>F221+E221+D221+C221+B221+B169+C169+D169+E169+F169+B118+C118+D118+E118+F118+B64+C64+D64+E64+F64+B13+C13+D13+E13+F13+B273+C273+D273+E273+F273</f>
        <v>365880</v>
      </c>
      <c r="C428" s="56"/>
      <c r="D428" s="67">
        <f t="shared" si="0"/>
        <v>365880</v>
      </c>
      <c r="E428" s="68">
        <f>'1_c_sz_ melléklet'!C67</f>
        <v>0</v>
      </c>
      <c r="F428" s="56">
        <f t="shared" si="1"/>
        <v>365880</v>
      </c>
    </row>
    <row r="429" spans="1:6" s="110" customFormat="1" ht="12.75">
      <c r="A429" s="61" t="s">
        <v>129</v>
      </c>
      <c r="B429" s="62">
        <f>SUM(B422:B427)</f>
        <v>1373926</v>
      </c>
      <c r="C429" s="62">
        <f>SUM(C422:C427)</f>
        <v>0</v>
      </c>
      <c r="D429" s="62">
        <f>SUM(D422:D427)</f>
        <v>1373926</v>
      </c>
      <c r="E429" s="62">
        <f>SUM(E422:E427)</f>
        <v>1866162</v>
      </c>
      <c r="F429" s="62">
        <f>SUM(F422:F427)</f>
        <v>3240088</v>
      </c>
    </row>
    <row r="430" spans="1:6" ht="8.25" customHeight="1">
      <c r="A430" s="112"/>
      <c r="B430" s="71"/>
      <c r="C430" s="129"/>
      <c r="D430" s="87"/>
      <c r="E430" s="229"/>
      <c r="F430" s="67"/>
    </row>
    <row r="431" spans="1:6" ht="12.75">
      <c r="A431" s="59" t="s">
        <v>51</v>
      </c>
      <c r="B431" s="56"/>
      <c r="C431" s="75"/>
      <c r="D431" s="56"/>
      <c r="E431" s="74"/>
      <c r="F431" s="56"/>
    </row>
    <row r="432" spans="1:6" ht="12.75">
      <c r="A432" s="58" t="s">
        <v>52</v>
      </c>
      <c r="B432" s="67">
        <f>F225+E225+D225+C225+B225+F173+E173+D173+C173+B173+F122+E122+D122+C122+B122+F68+E68+D68+C68+B68+F16+E16+D16+C16+B16+B277+C277+D277+E277+F277+B380+C380+D380+E380+F380+F329</f>
        <v>3933022</v>
      </c>
      <c r="C432" s="75"/>
      <c r="D432" s="56">
        <f>SUM(B432:C432)</f>
        <v>3933022</v>
      </c>
      <c r="E432" s="225">
        <f>'1_c_sz_ melléklet'!C73</f>
        <v>17678</v>
      </c>
      <c r="F432" s="56">
        <f>SUM(D432:E432)</f>
        <v>3950700</v>
      </c>
    </row>
    <row r="433" spans="1:6" ht="12.75">
      <c r="A433" s="58" t="s">
        <v>53</v>
      </c>
      <c r="B433" s="67">
        <f>F226+E226+D226+C226+B226+F174+E174+D174+C174+B174+F123+E123+D123+C123+B123+F69+E69+D69+C69+B69+F17+E17+D17+C17+B17+B278+C278+D278+E278+F278</f>
        <v>106491</v>
      </c>
      <c r="C433" s="75"/>
      <c r="D433" s="56">
        <f>SUM(B433:C433)</f>
        <v>106491</v>
      </c>
      <c r="E433" s="225">
        <f>'1_c_sz_ melléklet'!C74</f>
        <v>2500</v>
      </c>
      <c r="F433" s="56">
        <f>SUM(D433:E433)</f>
        <v>108991</v>
      </c>
    </row>
    <row r="434" spans="1:6" ht="12.75">
      <c r="A434" s="58" t="s">
        <v>54</v>
      </c>
      <c r="B434" s="67">
        <f>F227+E227+D227+C227+B227+F175+E175+D175+C175+B175+F124+E124+D124+C124+B124+F70+E70+D70+C70+B70+F18+E18+D18+C18+B18</f>
        <v>1500</v>
      </c>
      <c r="C434" s="75"/>
      <c r="D434" s="56">
        <f>SUM(B434:C434)</f>
        <v>1500</v>
      </c>
      <c r="E434" s="225">
        <f>'1_c_sz_ melléklet'!C75</f>
        <v>0</v>
      </c>
      <c r="F434" s="56">
        <f>SUM(D434:E434)</f>
        <v>1500</v>
      </c>
    </row>
    <row r="435" spans="1:6" ht="12.75">
      <c r="A435" s="1158" t="s">
        <v>111</v>
      </c>
      <c r="B435" s="67">
        <f>F228+E228+D228+C228+B228+F176+E176+D176+C176+B176+F125+E125+D125+C125+B125+F71+E71+D71+C71+B71+F19+E19+D19+C19+B19</f>
        <v>98791</v>
      </c>
      <c r="C435" s="67"/>
      <c r="D435" s="56">
        <f>SUM(B435:C435)</f>
        <v>98791</v>
      </c>
      <c r="E435" s="225">
        <f>'1_c_sz_ melléklet'!C76</f>
        <v>0</v>
      </c>
      <c r="F435" s="56">
        <f>SUM(D435:E435)</f>
        <v>98791</v>
      </c>
    </row>
    <row r="436" spans="1:6" ht="12.75" customHeight="1" thickBot="1">
      <c r="A436" s="155" t="s">
        <v>1238</v>
      </c>
      <c r="B436" s="82">
        <f>F281+E281+D281+C281+B281+F229+E229+D229+C229+B229+F177+E177+D177+C177+B177+F126+E126+D126+C126+B126+F72+E72+D72+C72+B72+F20+E20+D20+C20+B20</f>
        <v>110114</v>
      </c>
      <c r="C436" s="72"/>
      <c r="D436" s="82">
        <f>C436+B436</f>
        <v>110114</v>
      </c>
      <c r="E436" s="70">
        <f>'1_c_sz_ melléklet'!C77</f>
        <v>0</v>
      </c>
      <c r="F436" s="77">
        <f>SUM(D436:E436)</f>
        <v>110114</v>
      </c>
    </row>
    <row r="437" spans="1:6" s="110" customFormat="1" ht="12.75">
      <c r="A437" s="1159" t="s">
        <v>90</v>
      </c>
      <c r="B437" s="898">
        <f>SUM(B432:B436)</f>
        <v>4249918</v>
      </c>
      <c r="C437" s="898">
        <f>SUM(C432:C436)</f>
        <v>0</v>
      </c>
      <c r="D437" s="898">
        <f>SUM(D432:D436)</f>
        <v>4249918</v>
      </c>
      <c r="E437" s="898">
        <f>SUM(E432:E436)</f>
        <v>20178</v>
      </c>
      <c r="F437" s="899">
        <f>SUM(F432:F436)</f>
        <v>4270096</v>
      </c>
    </row>
    <row r="438" spans="1:6" ht="7.5" customHeight="1">
      <c r="A438" s="115"/>
      <c r="B438" s="82"/>
      <c r="C438" s="70"/>
      <c r="D438" s="82"/>
      <c r="E438" s="72"/>
      <c r="F438" s="82"/>
    </row>
    <row r="439" spans="1:6" ht="12.75">
      <c r="A439" s="115" t="s">
        <v>57</v>
      </c>
      <c r="B439" s="82"/>
      <c r="C439" s="70"/>
      <c r="D439" s="82"/>
      <c r="E439" s="72"/>
      <c r="F439" s="82"/>
    </row>
    <row r="440" spans="1:6" ht="12.75">
      <c r="A440" s="226" t="s">
        <v>58</v>
      </c>
      <c r="B440" s="56">
        <f>F233+E233+D233+C233+B233+F181+E181+D181+C181+B181+F130+E130+D130+C130+B130+F76+E76+D76+C76+B76+F24+E24+D24+C24+B24+B285+C285+D285+E285+F285+B337+C337+D337+E337+F337+B388+C388+D388+E388+F388</f>
        <v>82556</v>
      </c>
      <c r="C440" s="74"/>
      <c r="D440" s="56">
        <f>SUM(B440:C440)</f>
        <v>82556</v>
      </c>
      <c r="E440" s="75">
        <f>'1_c_sz_ melléklet'!C81</f>
        <v>0</v>
      </c>
      <c r="F440" s="56">
        <f>SUM(D440:E440)</f>
        <v>82556</v>
      </c>
    </row>
    <row r="441" spans="1:6" ht="12.75">
      <c r="A441" s="227" t="s">
        <v>59</v>
      </c>
      <c r="B441" s="56">
        <f>F234+E234+D234+C234+B234+F182+E182+D182+C182+B182+F131+E131+D131+C131+B131+F77+E77+D77+C77+B77+F25+E25+D25+C25+B25</f>
        <v>0</v>
      </c>
      <c r="C441" s="70">
        <v>0</v>
      </c>
      <c r="D441" s="56">
        <f>SUM(B441:C441)</f>
        <v>0</v>
      </c>
      <c r="E441" s="75">
        <f>'1_c_sz_ melléklet'!C82</f>
        <v>0</v>
      </c>
      <c r="F441" s="56">
        <f>SUM(D441:E441)</f>
        <v>0</v>
      </c>
    </row>
    <row r="442" spans="1:6" s="110" customFormat="1" ht="12.75">
      <c r="A442" s="61" t="s">
        <v>130</v>
      </c>
      <c r="B442" s="62">
        <f>B440+B441</f>
        <v>82556</v>
      </c>
      <c r="C442" s="62">
        <f>C440+C441</f>
        <v>0</v>
      </c>
      <c r="D442" s="62">
        <f>D440+D441</f>
        <v>82556</v>
      </c>
      <c r="E442" s="62">
        <f>E440+E441</f>
        <v>0</v>
      </c>
      <c r="F442" s="62">
        <f>F440+F441</f>
        <v>82556</v>
      </c>
    </row>
    <row r="443" spans="1:6" ht="6" customHeight="1">
      <c r="A443" s="115"/>
      <c r="B443" s="82"/>
      <c r="C443" s="70"/>
      <c r="D443" s="82"/>
      <c r="E443" s="82"/>
      <c r="F443" s="72"/>
    </row>
    <row r="444" spans="1:6" ht="12.75">
      <c r="A444" s="81" t="s">
        <v>93</v>
      </c>
      <c r="B444" s="67"/>
      <c r="C444" s="225"/>
      <c r="D444" s="67"/>
      <c r="E444" s="67"/>
      <c r="F444" s="113"/>
    </row>
    <row r="445" spans="1:6" ht="12.75">
      <c r="A445" s="73" t="s">
        <v>58</v>
      </c>
      <c r="B445" s="67">
        <f>F238+E238+D238+C238+B238+F186+E186+D186+C186+B186+F135+E135+D135+C135+B135+F81+E81+D81+C81+B81+F29+E29+D29+C29+B29</f>
        <v>237923</v>
      </c>
      <c r="C445" s="225"/>
      <c r="D445" s="67">
        <f>SUM(B445:C445)</f>
        <v>237923</v>
      </c>
      <c r="E445" s="67">
        <f>'1_c_sz_ melléklet'!C86</f>
        <v>0</v>
      </c>
      <c r="F445" s="56">
        <f>SUM(D445:E445)</f>
        <v>237923</v>
      </c>
    </row>
    <row r="446" spans="1:6" ht="12.75">
      <c r="A446" s="228" t="s">
        <v>59</v>
      </c>
      <c r="B446" s="67">
        <f>F239+E239+D239+C239+B239+F187+E187+D187+C187+B187+F136+E136+D136+C136+B136+F82+E82+D82+C82+B82+F30+E30+D30+C30+B30</f>
        <v>96266</v>
      </c>
      <c r="C446" s="70"/>
      <c r="D446" s="67">
        <f>SUM(B446:C446)</f>
        <v>96266</v>
      </c>
      <c r="E446" s="67">
        <f>'1_c_sz_ melléklet'!C87</f>
        <v>0</v>
      </c>
      <c r="F446" s="56">
        <f>SUM(D446:E446)</f>
        <v>96266</v>
      </c>
    </row>
    <row r="447" spans="1:6" s="110" customFormat="1" ht="12.75">
      <c r="A447" s="61" t="s">
        <v>94</v>
      </c>
      <c r="B447" s="62">
        <f>B445+B446</f>
        <v>334189</v>
      </c>
      <c r="C447" s="62">
        <f>C445+C446</f>
        <v>0</v>
      </c>
      <c r="D447" s="62">
        <f>D445+D446</f>
        <v>334189</v>
      </c>
      <c r="E447" s="62">
        <f>E445+E446</f>
        <v>0</v>
      </c>
      <c r="F447" s="62">
        <f>F445+F446</f>
        <v>334189</v>
      </c>
    </row>
    <row r="448" spans="1:6" ht="18.75" customHeight="1">
      <c r="A448" s="63" t="s">
        <v>63</v>
      </c>
      <c r="B448" s="67"/>
      <c r="C448" s="225"/>
      <c r="D448" s="87"/>
      <c r="E448" s="68"/>
      <c r="F448" s="67"/>
    </row>
    <row r="449" spans="1:6" ht="12.75">
      <c r="A449" s="76" t="s">
        <v>95</v>
      </c>
      <c r="B449" s="56">
        <f>F242+E242+D242+C242+B242+F190+E190+D190+C190+B190+F139+E139+D139+C139+B139+F85+E85+D85+C85+B85+F33+E33+D33+C33+B33</f>
        <v>1160</v>
      </c>
      <c r="C449" s="74"/>
      <c r="D449" s="56">
        <f>SUM(B449:C449)</f>
        <v>1160</v>
      </c>
      <c r="E449" s="57">
        <f>'1_c_sz_ melléklet'!C91</f>
        <v>0</v>
      </c>
      <c r="F449" s="56">
        <f>SUM(D449:E449)</f>
        <v>1160</v>
      </c>
    </row>
    <row r="450" spans="1:6" ht="12.75">
      <c r="A450" s="223" t="s">
        <v>131</v>
      </c>
      <c r="B450" s="82">
        <f>F243+E243+D243+C243+B243+F191+E191+D191+C191+B191+F140+E140+D140+C140+B140+F86+E86+D86+C86+B86+F34+E34+D34+C34+B34+B295+C295+D295+E295+F295</f>
        <v>7500</v>
      </c>
      <c r="C450" s="225"/>
      <c r="D450" s="67">
        <f>SUM(B450:C450)</f>
        <v>7500</v>
      </c>
      <c r="E450" s="57">
        <f>'1_c_sz_ melléklet'!C92</f>
        <v>0</v>
      </c>
      <c r="F450" s="56">
        <f>SUM(D450:E450)</f>
        <v>7500</v>
      </c>
    </row>
    <row r="451" spans="1:6" s="110" customFormat="1" ht="12.75">
      <c r="A451" s="61" t="s">
        <v>97</v>
      </c>
      <c r="B451" s="62">
        <f>B449+B450</f>
        <v>8660</v>
      </c>
      <c r="C451" s="62">
        <f>C449+C450</f>
        <v>0</v>
      </c>
      <c r="D451" s="242">
        <f>D449+D450</f>
        <v>8660</v>
      </c>
      <c r="E451" s="62">
        <f>E449+E450</f>
        <v>0</v>
      </c>
      <c r="F451" s="62">
        <f>SUM(F449:F450)</f>
        <v>8660</v>
      </c>
    </row>
    <row r="452" spans="1:6" ht="18" customHeight="1">
      <c r="A452" s="66" t="s">
        <v>67</v>
      </c>
      <c r="B452" s="128"/>
      <c r="C452" s="87"/>
      <c r="D452" s="229"/>
      <c r="E452" s="128"/>
      <c r="F452" s="67"/>
    </row>
    <row r="453" spans="1:6" ht="12.75">
      <c r="A453" s="55" t="s">
        <v>132</v>
      </c>
      <c r="B453" s="225"/>
      <c r="C453" s="67">
        <f>15000-349-438-6000-80-1238-3084-1040-772</f>
        <v>1999</v>
      </c>
      <c r="D453" s="68">
        <f>SUM(B453:C453)</f>
        <v>1999</v>
      </c>
      <c r="E453" s="225">
        <f>'1_c_sz_ melléklet'!C96</f>
        <v>0</v>
      </c>
      <c r="F453" s="56">
        <f>SUM(D453:E453)</f>
        <v>1999</v>
      </c>
    </row>
    <row r="454" spans="1:6" ht="12.75">
      <c r="A454" s="55" t="s">
        <v>133</v>
      </c>
      <c r="B454" s="273"/>
      <c r="C454" s="77">
        <f>'5_sz_ melléklet'!B27</f>
        <v>7517</v>
      </c>
      <c r="D454" s="68">
        <f>SUM(B454:C454)</f>
        <v>7517</v>
      </c>
      <c r="E454" s="225">
        <f>'1_c_sz_ melléklet'!C97</f>
        <v>0</v>
      </c>
      <c r="F454" s="56">
        <f>SUM(D454:E454)</f>
        <v>7517</v>
      </c>
    </row>
    <row r="455" spans="1:6" s="110" customFormat="1" ht="12.75">
      <c r="A455" s="109" t="s">
        <v>70</v>
      </c>
      <c r="B455" s="79">
        <f>B453+B454</f>
        <v>0</v>
      </c>
      <c r="C455" s="79">
        <f>C453+C454</f>
        <v>9516</v>
      </c>
      <c r="D455" s="62">
        <f>D453+D454</f>
        <v>9516</v>
      </c>
      <c r="E455" s="62">
        <f>E453+E454</f>
        <v>0</v>
      </c>
      <c r="F455" s="62">
        <f>F453+F454</f>
        <v>9516</v>
      </c>
    </row>
    <row r="456" spans="1:6" ht="12.75">
      <c r="A456" s="115"/>
      <c r="B456" s="82"/>
      <c r="C456" s="82"/>
      <c r="D456" s="82"/>
      <c r="E456" s="70"/>
      <c r="F456" s="82"/>
    </row>
    <row r="457" spans="1:6" s="110" customFormat="1" ht="27.75" customHeight="1">
      <c r="A457" s="274" t="s">
        <v>71</v>
      </c>
      <c r="B457" s="92">
        <f>B455+B451+B447+B442+B437+B429</f>
        <v>6049249</v>
      </c>
      <c r="C457" s="92">
        <f>C455+C451+C447+C442+C437+C429</f>
        <v>9516</v>
      </c>
      <c r="D457" s="92">
        <f>D455+D451+D447+D442+D437+D429</f>
        <v>6058765</v>
      </c>
      <c r="E457" s="92">
        <f>E455+E451+E447+E442+E437+E429</f>
        <v>1886340</v>
      </c>
      <c r="F457" s="92">
        <f>F455+F451+F447+F442+F437+F429</f>
        <v>7945105</v>
      </c>
    </row>
    <row r="458" spans="1:6" ht="12.75">
      <c r="A458" s="266"/>
      <c r="B458" s="247"/>
      <c r="C458" s="247"/>
      <c r="D458" s="87"/>
      <c r="E458" s="128"/>
      <c r="F458" s="87"/>
    </row>
    <row r="459" spans="1:6" ht="12.75">
      <c r="A459" s="255" t="s">
        <v>99</v>
      </c>
      <c r="B459" s="94"/>
      <c r="C459" s="271"/>
      <c r="D459" s="67"/>
      <c r="E459" s="67"/>
      <c r="F459" s="113"/>
    </row>
    <row r="460" spans="1:6" ht="12.75">
      <c r="A460" s="88" t="s">
        <v>73</v>
      </c>
      <c r="B460" s="248">
        <f>F254+E254+D254+C254+B254+F202+E202+D202+C202+B202+F150+E150+D150+C150+B150+F97+E97+D97+C97+B97+F45+E45+D45+C45+B45</f>
        <v>0</v>
      </c>
      <c r="C460" s="239"/>
      <c r="D460" s="56">
        <f>SUM(B460:C460)</f>
        <v>0</v>
      </c>
      <c r="E460" s="56"/>
      <c r="F460" s="75">
        <f>SUM(D460:E460)</f>
        <v>0</v>
      </c>
    </row>
    <row r="461" spans="1:6" ht="12.75">
      <c r="A461" s="133" t="s">
        <v>100</v>
      </c>
      <c r="B461" s="248">
        <f>F255+E255+D255+C255+B255+F203+E203+D203+C203+B203+F151+E151+D151+C151+B151+F98+E98+D98+C98+B98+F46+E46+D46+C46+B46</f>
        <v>14432</v>
      </c>
      <c r="C461" s="240"/>
      <c r="D461" s="56">
        <f>SUM(B461:C461)</f>
        <v>14432</v>
      </c>
      <c r="E461" s="56"/>
      <c r="F461" s="75">
        <f>SUM(D461:E461)</f>
        <v>14432</v>
      </c>
    </row>
    <row r="462" spans="1:6" s="110" customFormat="1" ht="12.75">
      <c r="A462" s="109" t="s">
        <v>113</v>
      </c>
      <c r="B462" s="62">
        <f>B460+B461</f>
        <v>14432</v>
      </c>
      <c r="C462" s="62">
        <f>C460+C461</f>
        <v>0</v>
      </c>
      <c r="D462" s="62">
        <f>D460+D461</f>
        <v>14432</v>
      </c>
      <c r="E462" s="62">
        <f>E460+E461</f>
        <v>0</v>
      </c>
      <c r="F462" s="62">
        <f>SUM(F460:F461)</f>
        <v>14432</v>
      </c>
    </row>
    <row r="463" spans="1:6" ht="12.75">
      <c r="A463" s="245"/>
      <c r="B463" s="82"/>
      <c r="C463" s="56"/>
      <c r="D463" s="85"/>
      <c r="E463" s="123"/>
      <c r="F463" s="82"/>
    </row>
    <row r="464" spans="1:6" s="110" customFormat="1" ht="12.75">
      <c r="A464" s="243" t="s">
        <v>135</v>
      </c>
      <c r="B464" s="92">
        <f>B457+B462</f>
        <v>6063681</v>
      </c>
      <c r="C464" s="92">
        <f>C457+C462</f>
        <v>9516</v>
      </c>
      <c r="D464" s="92">
        <f>D457+D462</f>
        <v>6073197</v>
      </c>
      <c r="E464" s="92">
        <f>E457+E462</f>
        <v>1886340</v>
      </c>
      <c r="F464" s="92">
        <f>F457+F462</f>
        <v>7959537</v>
      </c>
    </row>
  </sheetData>
  <sheetProtection/>
  <mergeCells count="35">
    <mergeCell ref="A211:F211"/>
    <mergeCell ref="A414:F414"/>
    <mergeCell ref="A416:E416"/>
    <mergeCell ref="A417:F417"/>
    <mergeCell ref="A418:F418"/>
    <mergeCell ref="A157:E157"/>
    <mergeCell ref="A158:F158"/>
    <mergeCell ref="A159:F159"/>
    <mergeCell ref="A208:F208"/>
    <mergeCell ref="A209:E209"/>
    <mergeCell ref="A210:F210"/>
    <mergeCell ref="A54:F54"/>
    <mergeCell ref="A104:F104"/>
    <mergeCell ref="A106:E106"/>
    <mergeCell ref="A107:F107"/>
    <mergeCell ref="A108:F108"/>
    <mergeCell ref="A156:F156"/>
    <mergeCell ref="A260:F260"/>
    <mergeCell ref="A261:E261"/>
    <mergeCell ref="A262:F262"/>
    <mergeCell ref="A263:F263"/>
    <mergeCell ref="A1:E1"/>
    <mergeCell ref="A2:F2"/>
    <mergeCell ref="A3:F3"/>
    <mergeCell ref="A51:F51"/>
    <mergeCell ref="A52:E52"/>
    <mergeCell ref="A53:F53"/>
    <mergeCell ref="A363:F363"/>
    <mergeCell ref="A364:E364"/>
    <mergeCell ref="A365:F365"/>
    <mergeCell ref="A366:F366"/>
    <mergeCell ref="A312:F312"/>
    <mergeCell ref="A313:E313"/>
    <mergeCell ref="A314:F314"/>
    <mergeCell ref="A315:F31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7"/>
  <sheetViews>
    <sheetView zoomScalePageLayoutView="0" workbookViewId="0" topLeftCell="A25">
      <selection activeCell="F36" sqref="F36"/>
    </sheetView>
  </sheetViews>
  <sheetFormatPr defaultColWidth="9.140625" defaultRowHeight="12.75"/>
  <cols>
    <col min="1" max="1" width="35.00390625" style="0" customWidth="1"/>
    <col min="2" max="2" width="14.421875" style="0" customWidth="1"/>
    <col min="3" max="3" width="14.28125" style="0" customWidth="1"/>
    <col min="4" max="4" width="17.421875" style="0" customWidth="1"/>
  </cols>
  <sheetData>
    <row r="1" spans="1:4" ht="12.75">
      <c r="A1" s="1392" t="s">
        <v>169</v>
      </c>
      <c r="B1" s="1392"/>
      <c r="C1" s="1392"/>
      <c r="D1" s="1392"/>
    </row>
    <row r="2" spans="1:4" ht="9" customHeight="1">
      <c r="A2" s="48"/>
      <c r="B2" s="48"/>
      <c r="C2" s="48"/>
      <c r="D2" s="48"/>
    </row>
    <row r="3" spans="1:4" ht="15.75">
      <c r="A3" s="1382" t="s">
        <v>170</v>
      </c>
      <c r="B3" s="1382"/>
      <c r="C3" s="1382"/>
      <c r="D3" s="1382"/>
    </row>
    <row r="4" ht="9" customHeight="1">
      <c r="D4" s="44"/>
    </row>
    <row r="5" spans="1:4" ht="12.75">
      <c r="A5" s="1393" t="s">
        <v>33</v>
      </c>
      <c r="B5" s="1393"/>
      <c r="C5" s="1393"/>
      <c r="D5" s="1393"/>
    </row>
    <row r="6" spans="1:4" ht="30" customHeight="1">
      <c r="A6" s="84" t="s">
        <v>171</v>
      </c>
      <c r="B6" s="50" t="s">
        <v>172</v>
      </c>
      <c r="C6" s="276" t="s">
        <v>173</v>
      </c>
      <c r="D6" s="277" t="s">
        <v>174</v>
      </c>
    </row>
    <row r="7" spans="1:64" s="281" customFormat="1" ht="12.75">
      <c r="A7" s="278" t="s">
        <v>175</v>
      </c>
      <c r="B7" s="1191">
        <f>SUM(B8:B16)</f>
        <v>0</v>
      </c>
      <c r="C7" s="1192">
        <f>SUM(C8:C16)</f>
        <v>82556</v>
      </c>
      <c r="D7" s="1193">
        <f>B7+C7</f>
        <v>82556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</row>
    <row r="8" spans="1:64" ht="12.75">
      <c r="A8" s="58" t="s">
        <v>176</v>
      </c>
      <c r="B8" s="282"/>
      <c r="C8" s="283"/>
      <c r="D8" s="28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2.75">
      <c r="A9" s="223" t="s">
        <v>177</v>
      </c>
      <c r="B9" s="285"/>
      <c r="C9" s="286">
        <f>32489+4128-4128-1533</f>
        <v>30956</v>
      </c>
      <c r="D9" s="287">
        <f>SUM(B9+C9)</f>
        <v>30956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2.75">
      <c r="A10" s="223" t="s">
        <v>178</v>
      </c>
      <c r="B10" s="285"/>
      <c r="C10" s="286"/>
      <c r="D10" s="287">
        <f>C10</f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>
      <c r="A11" s="223" t="s">
        <v>179</v>
      </c>
      <c r="B11" s="285"/>
      <c r="C11" s="286"/>
      <c r="D11" s="284">
        <f aca="true" t="shared" si="0" ref="D11:D18">SUM(B11+C11)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2.75">
      <c r="A12" s="1008" t="s">
        <v>1272</v>
      </c>
      <c r="B12" s="289"/>
      <c r="C12" s="290">
        <v>1238</v>
      </c>
      <c r="D12" s="284">
        <f t="shared" si="0"/>
        <v>1238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2.75">
      <c r="A13" s="288" t="s">
        <v>1273</v>
      </c>
      <c r="B13" s="289"/>
      <c r="C13" s="290">
        <v>1040</v>
      </c>
      <c r="D13" s="284">
        <f t="shared" si="0"/>
        <v>1040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2.75">
      <c r="A14" s="288" t="s">
        <v>1320</v>
      </c>
      <c r="B14" s="289"/>
      <c r="C14" s="290">
        <v>47780</v>
      </c>
      <c r="D14" s="284">
        <f t="shared" si="0"/>
        <v>47780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2.75">
      <c r="A15" s="288" t="s">
        <v>1326</v>
      </c>
      <c r="B15" s="289"/>
      <c r="C15" s="290">
        <v>1533</v>
      </c>
      <c r="D15" s="284">
        <f t="shared" si="0"/>
        <v>1533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12.75">
      <c r="A16" s="288" t="s">
        <v>1170</v>
      </c>
      <c r="B16" s="289"/>
      <c r="C16" s="290">
        <v>9</v>
      </c>
      <c r="D16" s="284">
        <f t="shared" si="0"/>
        <v>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s="281" customFormat="1" ht="12.75">
      <c r="A17" s="278" t="s">
        <v>180</v>
      </c>
      <c r="B17" s="279">
        <v>0</v>
      </c>
      <c r="C17" s="291">
        <v>0</v>
      </c>
      <c r="D17" s="279">
        <f t="shared" si="0"/>
        <v>0</v>
      </c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</row>
    <row r="18" spans="1:64" ht="12.75">
      <c r="A18" s="58" t="s">
        <v>86</v>
      </c>
      <c r="B18" s="282"/>
      <c r="C18" s="283"/>
      <c r="D18" s="292">
        <f t="shared" si="0"/>
        <v>0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4" s="110" customFormat="1" ht="12.75">
      <c r="A19" s="109" t="s">
        <v>181</v>
      </c>
      <c r="B19" s="279">
        <f>B7+B17</f>
        <v>0</v>
      </c>
      <c r="C19" s="291">
        <f>C7+C17</f>
        <v>82556</v>
      </c>
      <c r="D19" s="279">
        <f>D7+D17</f>
        <v>82556</v>
      </c>
    </row>
    <row r="20" ht="8.25" customHeight="1"/>
    <row r="21" spans="1:4" ht="12.75">
      <c r="A21" s="1392" t="s">
        <v>182</v>
      </c>
      <c r="B21" s="1392"/>
      <c r="C21" s="1392"/>
      <c r="D21" s="1392"/>
    </row>
    <row r="22" spans="1:4" ht="9" customHeight="1">
      <c r="A22" s="48"/>
      <c r="B22" s="48"/>
      <c r="C22" s="48"/>
      <c r="D22" s="48"/>
    </row>
    <row r="23" spans="1:4" ht="15.75">
      <c r="A23" s="1382" t="s">
        <v>183</v>
      </c>
      <c r="B23" s="1382"/>
      <c r="C23" s="1382"/>
      <c r="D23" s="1382"/>
    </row>
    <row r="24" ht="7.5" customHeight="1"/>
    <row r="25" spans="1:4" ht="12.75">
      <c r="A25" s="1393" t="s">
        <v>33</v>
      </c>
      <c r="B25" s="1393"/>
      <c r="C25" s="1393"/>
      <c r="D25" s="1393"/>
    </row>
    <row r="26" spans="1:4" ht="30" customHeight="1">
      <c r="A26" s="109" t="s">
        <v>171</v>
      </c>
      <c r="B26" s="61" t="s">
        <v>172</v>
      </c>
      <c r="C26" s="293" t="s">
        <v>173</v>
      </c>
      <c r="D26" s="294" t="s">
        <v>174</v>
      </c>
    </row>
    <row r="27" spans="1:4" s="110" customFormat="1" ht="12.75">
      <c r="A27" s="278" t="s">
        <v>175</v>
      </c>
      <c r="B27" s="62">
        <v>0</v>
      </c>
      <c r="C27" s="295">
        <f>SUM(C28:C46)</f>
        <v>237923</v>
      </c>
      <c r="D27" s="62">
        <f>B27+C27</f>
        <v>237923</v>
      </c>
    </row>
    <row r="28" spans="1:4" ht="25.5">
      <c r="A28" s="296" t="s">
        <v>184</v>
      </c>
      <c r="B28" s="67">
        <v>0</v>
      </c>
      <c r="C28" s="68">
        <f>10000-581</f>
        <v>9419</v>
      </c>
      <c r="D28" s="131">
        <f aca="true" t="shared" si="1" ref="D28:D55">B28+C28</f>
        <v>9419</v>
      </c>
    </row>
    <row r="29" spans="1:4" ht="12" customHeight="1">
      <c r="A29" s="296" t="s">
        <v>185</v>
      </c>
      <c r="B29" s="67"/>
      <c r="C29" s="68">
        <f>9000+1353</f>
        <v>10353</v>
      </c>
      <c r="D29" s="131">
        <f t="shared" si="1"/>
        <v>10353</v>
      </c>
    </row>
    <row r="30" spans="1:4" ht="12" customHeight="1">
      <c r="A30" s="58" t="s">
        <v>186</v>
      </c>
      <c r="B30" s="67">
        <v>0</v>
      </c>
      <c r="C30" s="68">
        <v>3460</v>
      </c>
      <c r="D30" s="131">
        <f t="shared" si="1"/>
        <v>3460</v>
      </c>
    </row>
    <row r="31" spans="1:4" ht="12" customHeight="1">
      <c r="A31" s="58" t="s">
        <v>187</v>
      </c>
      <c r="B31" s="67"/>
      <c r="C31" s="68">
        <f>85482+2011+374</f>
        <v>87867</v>
      </c>
      <c r="D31" s="131">
        <f t="shared" si="1"/>
        <v>87867</v>
      </c>
    </row>
    <row r="32" spans="1:4" ht="12" customHeight="1">
      <c r="A32" s="58" t="s">
        <v>188</v>
      </c>
      <c r="B32" s="67">
        <v>0</v>
      </c>
      <c r="C32" s="68">
        <v>21461</v>
      </c>
      <c r="D32" s="131">
        <f t="shared" si="1"/>
        <v>21461</v>
      </c>
    </row>
    <row r="33" spans="1:4" ht="12" customHeight="1">
      <c r="A33" s="58" t="s">
        <v>189</v>
      </c>
      <c r="B33" s="67">
        <v>0</v>
      </c>
      <c r="C33" s="68">
        <v>3700</v>
      </c>
      <c r="D33" s="131">
        <f t="shared" si="1"/>
        <v>3700</v>
      </c>
    </row>
    <row r="34" spans="1:4" ht="12" customHeight="1">
      <c r="A34" s="58" t="s">
        <v>190</v>
      </c>
      <c r="B34" s="67">
        <v>0</v>
      </c>
      <c r="C34" s="68">
        <v>7215</v>
      </c>
      <c r="D34" s="131">
        <f t="shared" si="1"/>
        <v>7215</v>
      </c>
    </row>
    <row r="35" spans="1:4" ht="12" customHeight="1">
      <c r="A35" s="58" t="s">
        <v>191</v>
      </c>
      <c r="B35" s="67">
        <v>0</v>
      </c>
      <c r="C35" s="68">
        <v>2335</v>
      </c>
      <c r="D35" s="131">
        <f t="shared" si="1"/>
        <v>2335</v>
      </c>
    </row>
    <row r="36" spans="1:4" ht="12" customHeight="1">
      <c r="A36" s="1335" t="s">
        <v>1325</v>
      </c>
      <c r="B36" s="67"/>
      <c r="C36" s="68">
        <v>30</v>
      </c>
      <c r="D36" s="131">
        <f t="shared" si="1"/>
        <v>30</v>
      </c>
    </row>
    <row r="37" spans="1:4" ht="12" customHeight="1">
      <c r="A37" s="223" t="s">
        <v>192</v>
      </c>
      <c r="B37" s="56">
        <v>0</v>
      </c>
      <c r="C37" s="57"/>
      <c r="D37" s="297">
        <f t="shared" si="1"/>
        <v>0</v>
      </c>
    </row>
    <row r="38" spans="1:4" ht="12" customHeight="1">
      <c r="A38" s="223" t="s">
        <v>193</v>
      </c>
      <c r="B38" s="56">
        <v>0</v>
      </c>
      <c r="C38" s="57">
        <v>30000</v>
      </c>
      <c r="D38" s="297">
        <f t="shared" si="1"/>
        <v>30000</v>
      </c>
    </row>
    <row r="39" spans="1:4" ht="12" customHeight="1">
      <c r="A39" s="223" t="s">
        <v>194</v>
      </c>
      <c r="B39" s="56">
        <v>0</v>
      </c>
      <c r="C39" s="57">
        <f>25525+6000+275</f>
        <v>31800</v>
      </c>
      <c r="D39" s="297">
        <f t="shared" si="1"/>
        <v>31800</v>
      </c>
    </row>
    <row r="40" spans="1:4" ht="12" customHeight="1">
      <c r="A40" s="223" t="s">
        <v>195</v>
      </c>
      <c r="B40" s="56"/>
      <c r="C40" s="57">
        <v>200</v>
      </c>
      <c r="D40" s="297">
        <f t="shared" si="1"/>
        <v>200</v>
      </c>
    </row>
    <row r="41" spans="1:4" ht="12" customHeight="1">
      <c r="A41" s="223" t="s">
        <v>196</v>
      </c>
      <c r="B41" s="56">
        <v>0</v>
      </c>
      <c r="C41" s="57">
        <v>277</v>
      </c>
      <c r="D41" s="297">
        <f t="shared" si="1"/>
        <v>277</v>
      </c>
    </row>
    <row r="42" spans="1:4" ht="12" customHeight="1">
      <c r="A42" s="223" t="s">
        <v>197</v>
      </c>
      <c r="B42" s="56">
        <v>0</v>
      </c>
      <c r="C42" s="75">
        <v>2189</v>
      </c>
      <c r="D42" s="297">
        <f t="shared" si="1"/>
        <v>2189</v>
      </c>
    </row>
    <row r="43" spans="1:4" ht="12" customHeight="1">
      <c r="A43" s="223" t="s">
        <v>198</v>
      </c>
      <c r="B43" s="56"/>
      <c r="C43" s="57">
        <f>8921-8639-240</f>
        <v>42</v>
      </c>
      <c r="D43" s="297">
        <f t="shared" si="1"/>
        <v>42</v>
      </c>
    </row>
    <row r="44" spans="1:4" ht="12" customHeight="1">
      <c r="A44" s="223" t="s">
        <v>199</v>
      </c>
      <c r="B44" s="56"/>
      <c r="C44" s="57">
        <v>110</v>
      </c>
      <c r="D44" s="297">
        <f t="shared" si="1"/>
        <v>110</v>
      </c>
    </row>
    <row r="45" spans="1:4" ht="12" customHeight="1">
      <c r="A45" s="1008" t="s">
        <v>1199</v>
      </c>
      <c r="B45" s="56"/>
      <c r="C45" s="57">
        <v>26770</v>
      </c>
      <c r="D45" s="297">
        <f t="shared" si="1"/>
        <v>26770</v>
      </c>
    </row>
    <row r="46" spans="1:4" ht="12" customHeight="1">
      <c r="A46" s="83" t="s">
        <v>200</v>
      </c>
      <c r="B46" s="82"/>
      <c r="C46" s="90">
        <f>1000-275-30</f>
        <v>695</v>
      </c>
      <c r="D46" s="100">
        <f t="shared" si="1"/>
        <v>695</v>
      </c>
    </row>
    <row r="47" spans="1:4" ht="12.75">
      <c r="A47" s="897" t="s">
        <v>201</v>
      </c>
      <c r="B47" s="898">
        <v>0</v>
      </c>
      <c r="C47" s="904">
        <f>SUM(C48:C55)</f>
        <v>96266</v>
      </c>
      <c r="D47" s="899">
        <f t="shared" si="1"/>
        <v>96266</v>
      </c>
    </row>
    <row r="48" spans="1:4" ht="12.75">
      <c r="A48" s="58" t="s">
        <v>202</v>
      </c>
      <c r="B48" s="67">
        <v>0</v>
      </c>
      <c r="C48" s="68">
        <v>30853</v>
      </c>
      <c r="D48" s="131">
        <f t="shared" si="1"/>
        <v>30853</v>
      </c>
    </row>
    <row r="49" spans="1:4" ht="12.75">
      <c r="A49" s="58" t="s">
        <v>203</v>
      </c>
      <c r="B49" s="67"/>
      <c r="C49" s="68">
        <v>21045</v>
      </c>
      <c r="D49" s="131">
        <f t="shared" si="1"/>
        <v>21045</v>
      </c>
    </row>
    <row r="50" spans="1:4" ht="12.75">
      <c r="A50" s="1008" t="s">
        <v>1193</v>
      </c>
      <c r="B50" s="56">
        <v>0</v>
      </c>
      <c r="C50" s="57">
        <v>9338</v>
      </c>
      <c r="D50" s="297">
        <f t="shared" si="1"/>
        <v>9338</v>
      </c>
    </row>
    <row r="51" spans="1:4" ht="12.75">
      <c r="A51" s="288" t="s">
        <v>204</v>
      </c>
      <c r="B51" s="77"/>
      <c r="C51" s="60">
        <v>3815</v>
      </c>
      <c r="D51" s="297">
        <f t="shared" si="1"/>
        <v>3815</v>
      </c>
    </row>
    <row r="52" spans="1:4" ht="12.75">
      <c r="A52" s="288" t="s">
        <v>205</v>
      </c>
      <c r="B52" s="77">
        <v>0</v>
      </c>
      <c r="C52" s="60">
        <v>5000</v>
      </c>
      <c r="D52" s="297">
        <f t="shared" si="1"/>
        <v>5000</v>
      </c>
    </row>
    <row r="53" spans="1:4" ht="12.75">
      <c r="A53" s="298" t="s">
        <v>206</v>
      </c>
      <c r="B53" s="77"/>
      <c r="C53" s="60">
        <v>16942</v>
      </c>
      <c r="D53" s="297">
        <f t="shared" si="1"/>
        <v>16942</v>
      </c>
    </row>
    <row r="54" spans="1:4" ht="12.75">
      <c r="A54" s="288" t="s">
        <v>1194</v>
      </c>
      <c r="B54" s="77"/>
      <c r="C54" s="60">
        <v>8873</v>
      </c>
      <c r="D54" s="297">
        <f t="shared" si="1"/>
        <v>8873</v>
      </c>
    </row>
    <row r="55" spans="1:4" ht="12.75">
      <c r="A55" s="299" t="s">
        <v>207</v>
      </c>
      <c r="B55" s="77"/>
      <c r="C55" s="60">
        <v>400</v>
      </c>
      <c r="D55" s="1194">
        <f t="shared" si="1"/>
        <v>400</v>
      </c>
    </row>
    <row r="56" spans="1:4" ht="12.75">
      <c r="A56" s="109" t="s">
        <v>181</v>
      </c>
      <c r="B56" s="62">
        <f>B27+B47</f>
        <v>0</v>
      </c>
      <c r="C56" s="79">
        <f>C27+C47</f>
        <v>334189</v>
      </c>
      <c r="D56" s="849">
        <f>D27+D47</f>
        <v>334189</v>
      </c>
    </row>
    <row r="57" spans="1:4" s="110" customFormat="1" ht="12.75">
      <c r="A57"/>
      <c r="B57"/>
      <c r="C57"/>
      <c r="D57"/>
    </row>
  </sheetData>
  <sheetProtection/>
  <mergeCells count="6">
    <mergeCell ref="A1:D1"/>
    <mergeCell ref="A3:D3"/>
    <mergeCell ref="A5:D5"/>
    <mergeCell ref="A21:D21"/>
    <mergeCell ref="A23:D23"/>
    <mergeCell ref="A25:D25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5.7109375" style="0" customWidth="1"/>
    <col min="2" max="2" width="19.00390625" style="0" customWidth="1"/>
  </cols>
  <sheetData>
    <row r="2" ht="15">
      <c r="B2" s="300" t="s">
        <v>208</v>
      </c>
    </row>
    <row r="3" ht="15.75">
      <c r="A3" s="46"/>
    </row>
    <row r="4" spans="1:2" ht="15.75">
      <c r="A4" s="1382" t="s">
        <v>209</v>
      </c>
      <c r="B4" s="1382"/>
    </row>
    <row r="5" ht="15.75">
      <c r="A5" s="46"/>
    </row>
    <row r="6" ht="12.75">
      <c r="B6" s="48" t="s">
        <v>210</v>
      </c>
    </row>
    <row r="7" spans="1:2" ht="15.75">
      <c r="A7" s="301" t="s">
        <v>211</v>
      </c>
      <c r="B7" s="302" t="s">
        <v>212</v>
      </c>
    </row>
    <row r="8" spans="1:2" ht="12.75">
      <c r="A8" s="303"/>
      <c r="B8" s="304" t="s">
        <v>39</v>
      </c>
    </row>
    <row r="9" spans="1:2" ht="12.75">
      <c r="A9" s="305" t="s">
        <v>213</v>
      </c>
      <c r="B9" s="252"/>
    </row>
    <row r="10" spans="1:2" ht="12.75">
      <c r="A10" s="107" t="s">
        <v>214</v>
      </c>
      <c r="B10" s="56">
        <f>1000+160</f>
        <v>1160</v>
      </c>
    </row>
    <row r="11" spans="1:2" ht="12.75">
      <c r="A11" s="245"/>
      <c r="B11" s="56"/>
    </row>
    <row r="12" spans="1:2" s="110" customFormat="1" ht="12.75">
      <c r="A12" s="305" t="s">
        <v>215</v>
      </c>
      <c r="B12" s="306">
        <f>SUM(B10:B11)</f>
        <v>1160</v>
      </c>
    </row>
    <row r="13" spans="1:2" ht="12.75">
      <c r="A13" s="245"/>
      <c r="B13" s="83"/>
    </row>
    <row r="14" spans="1:2" ht="12.75">
      <c r="A14" s="305" t="s">
        <v>216</v>
      </c>
      <c r="B14" s="306"/>
    </row>
    <row r="15" spans="1:2" ht="12.75">
      <c r="A15" s="107" t="s">
        <v>217</v>
      </c>
      <c r="B15" s="56">
        <v>5000</v>
      </c>
    </row>
    <row r="16" spans="1:2" ht="12.75">
      <c r="A16" s="882" t="s">
        <v>1122</v>
      </c>
      <c r="B16" s="56">
        <v>2500</v>
      </c>
    </row>
    <row r="17" spans="1:2" ht="12.75">
      <c r="A17" s="107"/>
      <c r="B17" s="56"/>
    </row>
    <row r="18" spans="1:2" ht="12.75">
      <c r="A18" s="305" t="s">
        <v>218</v>
      </c>
      <c r="B18" s="306">
        <f>SUM(B15:B16)</f>
        <v>7500</v>
      </c>
    </row>
    <row r="19" spans="1:2" ht="12.75">
      <c r="A19" s="107"/>
      <c r="B19" s="56"/>
    </row>
    <row r="20" spans="1:2" ht="12.75">
      <c r="A20" s="107"/>
      <c r="B20" s="56"/>
    </row>
    <row r="21" spans="1:2" ht="12.75">
      <c r="A21" s="307"/>
      <c r="B21" s="96"/>
    </row>
    <row r="22" spans="1:2" ht="12.75">
      <c r="A22" s="61" t="s">
        <v>219</v>
      </c>
      <c r="B22" s="62">
        <f>B12+B18</f>
        <v>8660</v>
      </c>
    </row>
    <row r="25" ht="12.75">
      <c r="B25" t="s">
        <v>220</v>
      </c>
    </row>
    <row r="27" spans="1:2" ht="12.75">
      <c r="A27" s="1389" t="s">
        <v>221</v>
      </c>
      <c r="B27" s="1389"/>
    </row>
    <row r="30" ht="12.75">
      <c r="B30" t="s">
        <v>210</v>
      </c>
    </row>
    <row r="31" spans="1:2" ht="30.75" customHeight="1">
      <c r="A31" s="308" t="s">
        <v>211</v>
      </c>
      <c r="B31" s="309" t="s">
        <v>174</v>
      </c>
    </row>
    <row r="32" spans="1:2" ht="12.75">
      <c r="A32" s="310"/>
      <c r="B32" s="311"/>
    </row>
    <row r="33" spans="1:2" ht="12.75">
      <c r="A33" s="310"/>
      <c r="B33" s="311"/>
    </row>
    <row r="34" spans="1:2" ht="12.75">
      <c r="A34" s="310"/>
      <c r="B34" s="311"/>
    </row>
    <row r="35" spans="1:2" ht="12.75">
      <c r="A35" s="312"/>
      <c r="B35" s="313"/>
    </row>
    <row r="36" spans="1:2" ht="12.75">
      <c r="A36" s="314" t="s">
        <v>222</v>
      </c>
      <c r="B36" s="315">
        <v>0</v>
      </c>
    </row>
    <row r="37" spans="1:2" ht="12.75">
      <c r="A37" s="316"/>
      <c r="B37" s="317"/>
    </row>
    <row r="38" spans="1:2" ht="12.75">
      <c r="A38" s="310" t="s">
        <v>173</v>
      </c>
      <c r="B38" s="311"/>
    </row>
    <row r="39" spans="1:2" ht="12.75">
      <c r="A39" s="310" t="s">
        <v>223</v>
      </c>
      <c r="B39" s="318">
        <v>1500</v>
      </c>
    </row>
    <row r="40" spans="1:2" ht="12.75">
      <c r="A40" s="312" t="s">
        <v>224</v>
      </c>
      <c r="B40" s="319"/>
    </row>
    <row r="41" spans="1:2" ht="12.75">
      <c r="A41" s="314" t="s">
        <v>225</v>
      </c>
      <c r="B41" s="320">
        <f>SUM(B39:B40)</f>
        <v>1500</v>
      </c>
    </row>
    <row r="42" spans="1:2" ht="12.75">
      <c r="A42" s="316"/>
      <c r="B42" s="317"/>
    </row>
    <row r="43" spans="1:2" ht="12.75">
      <c r="A43" s="312"/>
      <c r="B43" s="313"/>
    </row>
    <row r="44" spans="1:2" ht="12.75">
      <c r="A44" s="314" t="s">
        <v>226</v>
      </c>
      <c r="B44" s="320">
        <f>B36+B41</f>
        <v>1500</v>
      </c>
    </row>
  </sheetData>
  <sheetProtection/>
  <mergeCells count="2">
    <mergeCell ref="A4:B4"/>
    <mergeCell ref="A27:B2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5">
      <selection activeCell="C37" sqref="C37"/>
    </sheetView>
  </sheetViews>
  <sheetFormatPr defaultColWidth="9.140625" defaultRowHeight="12.75"/>
  <cols>
    <col min="1" max="1" width="39.57421875" style="0" customWidth="1"/>
    <col min="2" max="3" width="14.421875" style="0" customWidth="1"/>
    <col min="4" max="4" width="16.421875" style="0" customWidth="1"/>
  </cols>
  <sheetData>
    <row r="1" spans="1:4" ht="14.25">
      <c r="A1" s="1383" t="s">
        <v>227</v>
      </c>
      <c r="B1" s="1383"/>
      <c r="C1" s="1383"/>
      <c r="D1" s="1383"/>
    </row>
    <row r="2" spans="1:4" ht="15.75">
      <c r="A2" s="1382" t="s">
        <v>228</v>
      </c>
      <c r="B2" s="1382"/>
      <c r="C2" s="1382"/>
      <c r="D2" s="1382"/>
    </row>
    <row r="3" ht="12.75">
      <c r="D3" s="48" t="s">
        <v>33</v>
      </c>
    </row>
    <row r="4" spans="1:4" ht="15.75">
      <c r="A4" s="1270" t="s">
        <v>229</v>
      </c>
      <c r="B4" s="961" t="s">
        <v>35</v>
      </c>
      <c r="C4" s="961" t="s">
        <v>230</v>
      </c>
      <c r="D4" s="1271" t="s">
        <v>212</v>
      </c>
    </row>
    <row r="5" spans="1:4" ht="12.75">
      <c r="A5" s="1272"/>
      <c r="B5" s="52" t="s">
        <v>39</v>
      </c>
      <c r="C5" s="52" t="s">
        <v>39</v>
      </c>
      <c r="D5" s="1273" t="s">
        <v>39</v>
      </c>
    </row>
    <row r="6" spans="1:4" ht="15.75">
      <c r="A6" s="1274" t="s">
        <v>231</v>
      </c>
      <c r="B6" s="323">
        <f>B7+B8</f>
        <v>27130</v>
      </c>
      <c r="C6" s="324">
        <f>C7+C8</f>
        <v>1609722</v>
      </c>
      <c r="D6" s="1275">
        <f>D7+D8</f>
        <v>1636852</v>
      </c>
    </row>
    <row r="7" spans="1:4" ht="15.75">
      <c r="A7" s="1276" t="s">
        <v>232</v>
      </c>
      <c r="B7" s="325">
        <f>'2_a_d_sz_ melléklet'!B11</f>
        <v>27130</v>
      </c>
      <c r="C7" s="325">
        <f>'2_a_d_sz_ melléklet'!C11</f>
        <v>381495</v>
      </c>
      <c r="D7" s="1277">
        <f>SUM(B7:C7)</f>
        <v>408625</v>
      </c>
    </row>
    <row r="8" spans="1:4" s="99" customFormat="1" ht="15.75">
      <c r="A8" s="1278" t="s">
        <v>233</v>
      </c>
      <c r="B8" s="326">
        <f>B9+B10+B11+B12</f>
        <v>0</v>
      </c>
      <c r="C8" s="327">
        <f>C9+C10+C11+C12</f>
        <v>1228227</v>
      </c>
      <c r="D8" s="1279">
        <f>D9+D10+D11+D12</f>
        <v>1228227</v>
      </c>
    </row>
    <row r="9" spans="1:4" ht="15.75">
      <c r="A9" s="1280" t="s">
        <v>234</v>
      </c>
      <c r="B9" s="328">
        <v>0</v>
      </c>
      <c r="C9" s="329">
        <f>'2_a_d_sz_ melléklet'!B48</f>
        <v>652826</v>
      </c>
      <c r="D9" s="1281">
        <f>SUM(C9)</f>
        <v>652826</v>
      </c>
    </row>
    <row r="10" spans="1:4" ht="15.75">
      <c r="A10" s="1282" t="s">
        <v>235</v>
      </c>
      <c r="B10" s="328">
        <v>0</v>
      </c>
      <c r="C10" s="331">
        <f>'2_a_d_sz_ melléklet'!B69</f>
        <v>545884</v>
      </c>
      <c r="D10" s="1283">
        <f>SUM(C10)</f>
        <v>545884</v>
      </c>
    </row>
    <row r="11" spans="1:4" ht="15.75">
      <c r="A11" s="1282" t="s">
        <v>236</v>
      </c>
      <c r="B11" s="328">
        <v>0</v>
      </c>
      <c r="C11" s="331">
        <f>'2_a_d_sz_ melléklet'!B49</f>
        <v>5000</v>
      </c>
      <c r="D11" s="1283">
        <f>SUM(C11)</f>
        <v>5000</v>
      </c>
    </row>
    <row r="12" spans="1:4" ht="15.75">
      <c r="A12" s="1284" t="s">
        <v>237</v>
      </c>
      <c r="B12" s="332">
        <v>0</v>
      </c>
      <c r="C12" s="333">
        <f>'2_a_d_sz_ melléklet'!B50</f>
        <v>24517</v>
      </c>
      <c r="D12" s="1285">
        <f>SUM(C12)</f>
        <v>24517</v>
      </c>
    </row>
    <row r="13" spans="1:4" ht="15.75">
      <c r="A13" s="1274" t="s">
        <v>238</v>
      </c>
      <c r="B13" s="335">
        <f>B14+B21+B26</f>
        <v>361861</v>
      </c>
      <c r="C13" s="336">
        <f>C14+C21+C26</f>
        <v>4579860.994666667</v>
      </c>
      <c r="D13" s="1286">
        <f>SUM(B13:C13)</f>
        <v>4941721.994666667</v>
      </c>
    </row>
    <row r="14" spans="1:4" s="99" customFormat="1" ht="15.75">
      <c r="A14" s="1276" t="s">
        <v>1242</v>
      </c>
      <c r="B14" s="325">
        <f>B15+B16+B17+B18+B19+B20</f>
        <v>0</v>
      </c>
      <c r="C14" s="325">
        <f>C15+C16+C17+C18+C19+C20</f>
        <v>1865279.9946666667</v>
      </c>
      <c r="D14" s="1287">
        <f>D15+D16+D17+D18+D19+D20</f>
        <v>1865279.9946666667</v>
      </c>
    </row>
    <row r="15" spans="1:4" ht="15.75">
      <c r="A15" s="1288" t="s">
        <v>239</v>
      </c>
      <c r="B15" s="328">
        <v>0</v>
      </c>
      <c r="C15" s="328">
        <f>'2 _e_1_sz_melléklet'!B108</f>
        <v>1015583.2976666667</v>
      </c>
      <c r="D15" s="1289">
        <f aca="true" t="shared" si="0" ref="D15:D20">SUM(C15)</f>
        <v>1015583.2976666667</v>
      </c>
    </row>
    <row r="16" spans="1:4" ht="15.75">
      <c r="A16" s="1290" t="s">
        <v>240</v>
      </c>
      <c r="B16" s="328">
        <v>0</v>
      </c>
      <c r="C16" s="332">
        <f>'2_f_h_sz_ melléklet'!D29</f>
        <v>218034</v>
      </c>
      <c r="D16" s="1289">
        <f t="shared" si="0"/>
        <v>218034</v>
      </c>
    </row>
    <row r="17" spans="1:4" ht="15.75">
      <c r="A17" s="1291" t="s">
        <v>241</v>
      </c>
      <c r="B17" s="337">
        <v>0</v>
      </c>
      <c r="C17" s="337">
        <f>'2_f_h_sz_ melléklet'!D30</f>
        <v>322944</v>
      </c>
      <c r="D17" s="1289">
        <f t="shared" si="0"/>
        <v>322944</v>
      </c>
    </row>
    <row r="18" spans="1:4" ht="15.75">
      <c r="A18" s="1292" t="s">
        <v>242</v>
      </c>
      <c r="B18" s="328">
        <v>0</v>
      </c>
      <c r="C18" s="328">
        <f>'2 _e_1_sz_melléklet'!B133</f>
        <v>271148.69700000004</v>
      </c>
      <c r="D18" s="1289">
        <f t="shared" si="0"/>
        <v>271148.69700000004</v>
      </c>
    </row>
    <row r="19" spans="1:4" ht="15.75">
      <c r="A19" s="1293" t="s">
        <v>243</v>
      </c>
      <c r="B19" s="841">
        <v>0</v>
      </c>
      <c r="C19" s="841">
        <f>'2_f_h_sz_ melléklet'!D47</f>
        <v>10951</v>
      </c>
      <c r="D19" s="1294">
        <f t="shared" si="0"/>
        <v>10951</v>
      </c>
    </row>
    <row r="20" spans="1:4" ht="16.5" thickBot="1">
      <c r="A20" s="1295" t="s">
        <v>1241</v>
      </c>
      <c r="B20" s="338"/>
      <c r="C20" s="338">
        <f>'2_f_h_sz_ melléklet'!D31</f>
        <v>26619</v>
      </c>
      <c r="D20" s="1296">
        <f t="shared" si="0"/>
        <v>26619</v>
      </c>
    </row>
    <row r="21" spans="1:4" s="99" customFormat="1" ht="16.5" thickBot="1">
      <c r="A21" s="1162" t="s">
        <v>244</v>
      </c>
      <c r="B21" s="1163">
        <f>B22+B24</f>
        <v>314081</v>
      </c>
      <c r="C21" s="1163">
        <f>C22+C24</f>
        <v>2714581</v>
      </c>
      <c r="D21" s="1164">
        <f>D22+D24</f>
        <v>3028662</v>
      </c>
    </row>
    <row r="22" spans="1:4" ht="15.75">
      <c r="A22" s="1297" t="s">
        <v>245</v>
      </c>
      <c r="B22" s="328">
        <f>'2_f_h_sz_ melléklet'!B62</f>
        <v>314081</v>
      </c>
      <c r="C22" s="328">
        <f>'2_f_h_sz_ melléklet'!C69</f>
        <v>243393</v>
      </c>
      <c r="D22" s="1289">
        <f>SUM(B22:C22)</f>
        <v>557474</v>
      </c>
    </row>
    <row r="23" spans="1:4" ht="15.75">
      <c r="A23" s="1298" t="s">
        <v>246</v>
      </c>
      <c r="B23" s="332">
        <f>'2_k_ sz_ melléklet'!D18</f>
        <v>297519</v>
      </c>
      <c r="C23" s="332">
        <f>'2_k_ sz_ melléklet'!B65</f>
        <v>1475</v>
      </c>
      <c r="D23" s="1289">
        <f>SUM(B23:C23)</f>
        <v>298994</v>
      </c>
    </row>
    <row r="24" spans="1:4" ht="15.75">
      <c r="A24" s="1298" t="s">
        <v>247</v>
      </c>
      <c r="B24" s="337">
        <f>'2_f_h_sz_ melléklet'!B133</f>
        <v>0</v>
      </c>
      <c r="C24" s="337">
        <f>'2_f_h_sz_ melléklet'!C133</f>
        <v>2471188</v>
      </c>
      <c r="D24" s="1299">
        <f>SUM(B24:C24)</f>
        <v>2471188</v>
      </c>
    </row>
    <row r="25" spans="1:4" ht="15.75">
      <c r="A25" s="1300" t="s">
        <v>246</v>
      </c>
      <c r="B25" s="341"/>
      <c r="C25" s="341"/>
      <c r="D25" s="1301"/>
    </row>
    <row r="26" spans="1:4" s="99" customFormat="1" ht="15.75">
      <c r="A26" s="1302" t="s">
        <v>248</v>
      </c>
      <c r="B26" s="325">
        <f>'2_k_ sz_ melléklet'!D21</f>
        <v>47780</v>
      </c>
      <c r="C26" s="325">
        <v>0</v>
      </c>
      <c r="D26" s="1277">
        <f>SUM(B26:C26)</f>
        <v>47780</v>
      </c>
    </row>
    <row r="27" spans="1:4" s="110" customFormat="1" ht="15.75">
      <c r="A27" s="1274" t="s">
        <v>249</v>
      </c>
      <c r="B27" s="323">
        <f>B28+B29+B31+B33</f>
        <v>5752</v>
      </c>
      <c r="C27" s="323">
        <f>C28+C30+C31+C33</f>
        <v>469596</v>
      </c>
      <c r="D27" s="1303">
        <f>D28+D30+D31+D33</f>
        <v>475348</v>
      </c>
    </row>
    <row r="28" spans="1:4" ht="15.75">
      <c r="A28" s="1304" t="s">
        <v>250</v>
      </c>
      <c r="B28" s="338">
        <f>'2_i_j_sz_ mell_'!C20</f>
        <v>1700</v>
      </c>
      <c r="C28" s="338">
        <f>'2_i_j_sz_ mell_'!D20</f>
        <v>52261</v>
      </c>
      <c r="D28" s="1305">
        <f>'2_i_j_sz_ mell_'!E20</f>
        <v>53961</v>
      </c>
    </row>
    <row r="29" spans="1:4" ht="15.75">
      <c r="A29" s="1306" t="s">
        <v>251</v>
      </c>
      <c r="B29" s="334"/>
      <c r="C29" s="334"/>
      <c r="D29" s="1285"/>
    </row>
    <row r="30" spans="1:4" ht="15.75">
      <c r="A30" s="1307" t="s">
        <v>252</v>
      </c>
      <c r="B30" s="330">
        <v>0</v>
      </c>
      <c r="C30" s="330">
        <f>'2_i_j_sz_ mell_'!E34</f>
        <v>195918</v>
      </c>
      <c r="D30" s="1281">
        <f>SUM(C30)</f>
        <v>195918</v>
      </c>
    </row>
    <row r="31" spans="1:4" ht="15.75">
      <c r="A31" s="1308" t="s">
        <v>253</v>
      </c>
      <c r="B31" s="338">
        <v>0</v>
      </c>
      <c r="C31" s="337">
        <f>'2_i_j_sz_ mell_'!E46</f>
        <v>221317</v>
      </c>
      <c r="D31" s="1299">
        <f>SUM(C31)</f>
        <v>221317</v>
      </c>
    </row>
    <row r="32" spans="1:4" ht="15.75">
      <c r="A32" s="1206" t="s">
        <v>254</v>
      </c>
      <c r="B32" s="334"/>
      <c r="C32" s="334"/>
      <c r="D32" s="1285"/>
    </row>
    <row r="33" spans="1:4" ht="15.75">
      <c r="A33" s="1205" t="s">
        <v>255</v>
      </c>
      <c r="B33" s="344">
        <f>'2_k_ sz_ melléklet'!D25</f>
        <v>4052</v>
      </c>
      <c r="C33" s="344">
        <f>'2_k_ sz_ melléklet'!D71</f>
        <v>100</v>
      </c>
      <c r="D33" s="1309">
        <f>SUM(B33:C33)</f>
        <v>4152</v>
      </c>
    </row>
    <row r="34" spans="1:4" s="110" customFormat="1" ht="28.5" customHeight="1">
      <c r="A34" s="1310" t="s">
        <v>256</v>
      </c>
      <c r="B34" s="323">
        <f>B35+B36+B37</f>
        <v>0</v>
      </c>
      <c r="C34" s="323">
        <f>C35+C36+C37</f>
        <v>4358</v>
      </c>
      <c r="D34" s="1303">
        <f>D35+D36+D37</f>
        <v>4358</v>
      </c>
    </row>
    <row r="35" spans="1:4" ht="15.75">
      <c r="A35" s="1311" t="s">
        <v>257</v>
      </c>
      <c r="B35" s="345">
        <v>0</v>
      </c>
      <c r="C35" s="346">
        <f>'2_i_j_sz_ mell_'!E82</f>
        <v>268</v>
      </c>
      <c r="D35" s="1312">
        <f>SUM(B35:C35)</f>
        <v>268</v>
      </c>
    </row>
    <row r="36" spans="1:4" ht="15.75">
      <c r="A36" s="1308" t="s">
        <v>258</v>
      </c>
      <c r="B36" s="337">
        <v>0</v>
      </c>
      <c r="C36" s="331">
        <f>'2_i_j_sz_ mell_'!E83</f>
        <v>4090</v>
      </c>
      <c r="D36" s="1299">
        <f>SUM(B36:C36)</f>
        <v>4090</v>
      </c>
    </row>
    <row r="37" spans="1:4" ht="15.75">
      <c r="A37" s="1308" t="s">
        <v>259</v>
      </c>
      <c r="B37" s="328">
        <v>0</v>
      </c>
      <c r="C37" s="347">
        <v>0</v>
      </c>
      <c r="D37" s="1301">
        <f>SUM(B37:C37)</f>
        <v>0</v>
      </c>
    </row>
    <row r="38" spans="1:4" ht="33" customHeight="1" thickBot="1">
      <c r="A38" s="1313" t="s">
        <v>1136</v>
      </c>
      <c r="B38" s="349">
        <f>B34+B27+B13+B6</f>
        <v>394743</v>
      </c>
      <c r="C38" s="349">
        <f>C34+C27+C13+C6</f>
        <v>6663536.994666667</v>
      </c>
      <c r="D38" s="1314">
        <f>D34+D27+D13+D6</f>
        <v>7058279.994666667</v>
      </c>
    </row>
    <row r="39" spans="1:4" s="110" customFormat="1" ht="16.5" thickBot="1">
      <c r="A39" s="1274" t="s">
        <v>23</v>
      </c>
      <c r="B39" s="323">
        <f>B40</f>
        <v>17862</v>
      </c>
      <c r="C39" s="324">
        <f>C40</f>
        <v>1357030</v>
      </c>
      <c r="D39" s="1303">
        <f>B39+C39</f>
        <v>1374892</v>
      </c>
    </row>
    <row r="40" spans="1:4" ht="15.75">
      <c r="A40" s="1315" t="s">
        <v>260</v>
      </c>
      <c r="B40" s="345">
        <f>B41+B42</f>
        <v>17862</v>
      </c>
      <c r="C40" s="350">
        <f>C41+C42</f>
        <v>1357030</v>
      </c>
      <c r="D40" s="1316">
        <f>B40+C40</f>
        <v>1374892</v>
      </c>
    </row>
    <row r="41" spans="1:4" ht="15.75">
      <c r="A41" s="1308" t="s">
        <v>261</v>
      </c>
      <c r="B41" s="337">
        <f>'2_k_ sz_ melléklet'!D36</f>
        <v>15778</v>
      </c>
      <c r="C41" s="841">
        <f>'2_k_ sz_ melléklet'!D83</f>
        <v>135824</v>
      </c>
      <c r="D41" s="1299">
        <f>B41+C41</f>
        <v>151602</v>
      </c>
    </row>
    <row r="42" spans="1:4" ht="15.75" customHeight="1" thickBot="1">
      <c r="A42" s="1317" t="s">
        <v>262</v>
      </c>
      <c r="B42" s="341">
        <f>'2_k_ sz_ melléklet'!D37</f>
        <v>2084</v>
      </c>
      <c r="C42" s="341">
        <f>'2_k_ sz_ melléklet'!D84</f>
        <v>1221206</v>
      </c>
      <c r="D42" s="1318">
        <f>B42+C42</f>
        <v>1223290</v>
      </c>
    </row>
    <row r="43" spans="1:4" s="110" customFormat="1" ht="16.5" thickBot="1">
      <c r="A43" s="1319" t="s">
        <v>263</v>
      </c>
      <c r="B43" s="351">
        <f>B44+B45</f>
        <v>0</v>
      </c>
      <c r="C43" s="352">
        <f>C44+C45</f>
        <v>229002.00533333328</v>
      </c>
      <c r="D43" s="1320">
        <f>D44+D45</f>
        <v>229002.00533333328</v>
      </c>
    </row>
    <row r="44" spans="1:4" ht="15.75">
      <c r="A44" s="1321" t="s">
        <v>264</v>
      </c>
      <c r="B44" s="345">
        <v>0</v>
      </c>
      <c r="C44" s="354">
        <f>'7_sz_ melléklet'!B25</f>
        <v>229002.00533333328</v>
      </c>
      <c r="D44" s="1322">
        <f>SUM(B44:C44)</f>
        <v>229002.00533333328</v>
      </c>
    </row>
    <row r="45" spans="1:4" ht="15.75">
      <c r="A45" s="970" t="s">
        <v>265</v>
      </c>
      <c r="B45" s="328">
        <f>'2_k_ sz_ melléklet'!D41</f>
        <v>0</v>
      </c>
      <c r="C45" s="337">
        <f>'7_sz_ melléklet'!B50</f>
        <v>0</v>
      </c>
      <c r="D45" s="1323">
        <f>SUM(B45:C45)</f>
        <v>0</v>
      </c>
    </row>
    <row r="46" spans="1:4" s="110" customFormat="1" ht="15.75">
      <c r="A46" s="1106" t="s">
        <v>266</v>
      </c>
      <c r="B46" s="895">
        <f>B43+B38+B39</f>
        <v>412605</v>
      </c>
      <c r="C46" s="895">
        <f>C43+C38+C39</f>
        <v>8249569</v>
      </c>
      <c r="D46" s="1324">
        <f>D43+D38+D39</f>
        <v>8662174</v>
      </c>
    </row>
  </sheetData>
  <sheetProtection/>
  <mergeCells count="2">
    <mergeCell ref="A1:D1"/>
    <mergeCell ref="A2:D2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39">
      <selection activeCell="B67" sqref="B67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3.00390625" style="0" customWidth="1"/>
    <col min="4" max="4" width="13.8515625" style="0" customWidth="1"/>
  </cols>
  <sheetData>
    <row r="1" spans="1:4" ht="15">
      <c r="A1" s="1394" t="s">
        <v>267</v>
      </c>
      <c r="B1" s="1394"/>
      <c r="C1" s="1394"/>
      <c r="D1" s="1394"/>
    </row>
    <row r="2" spans="3:4" ht="9.75" customHeight="1">
      <c r="C2" s="47"/>
      <c r="D2" s="355" t="s">
        <v>268</v>
      </c>
    </row>
    <row r="3" spans="1:4" ht="15.75">
      <c r="A3" s="1382" t="s">
        <v>269</v>
      </c>
      <c r="B3" s="1382"/>
      <c r="C3" s="1382"/>
      <c r="D3" s="1382"/>
    </row>
    <row r="4" ht="12.75">
      <c r="D4" s="48" t="s">
        <v>33</v>
      </c>
    </row>
    <row r="5" spans="1:4" ht="26.25">
      <c r="A5" s="321" t="s">
        <v>229</v>
      </c>
      <c r="B5" s="356" t="s">
        <v>83</v>
      </c>
      <c r="C5" s="357" t="s">
        <v>270</v>
      </c>
      <c r="D5" s="357" t="s">
        <v>174</v>
      </c>
    </row>
    <row r="6" spans="1:4" ht="12.75">
      <c r="A6" s="1051" t="s">
        <v>271</v>
      </c>
      <c r="B6" s="94">
        <f>'2_k_ sz_ melléklet'!D10</f>
        <v>0</v>
      </c>
      <c r="C6" s="247">
        <f>'2_k_ sz_ melléklet'!D57</f>
        <v>10700</v>
      </c>
      <c r="D6" s="247">
        <f>SUM(B6:C6)</f>
        <v>10700</v>
      </c>
    </row>
    <row r="7" spans="1:4" ht="12.75">
      <c r="A7" s="16" t="s">
        <v>272</v>
      </c>
      <c r="B7" s="94">
        <f>'2_k_ sz_ melléklet'!D11</f>
        <v>26350</v>
      </c>
      <c r="C7" s="248">
        <f>'2_k_ sz_ melléklet'!D58</f>
        <v>155396</v>
      </c>
      <c r="D7" s="248">
        <f>SUM(B7:C7)</f>
        <v>181746</v>
      </c>
    </row>
    <row r="8" spans="1:4" ht="12.75">
      <c r="A8" s="1052" t="s">
        <v>273</v>
      </c>
      <c r="B8" s="94">
        <f>'2_k_ sz_ melléklet'!D12</f>
        <v>0</v>
      </c>
      <c r="C8" s="248">
        <f>'2_k_ sz_ melléklet'!D59</f>
        <v>201117</v>
      </c>
      <c r="D8" s="248">
        <f>SUM(B8:C8)</f>
        <v>201117</v>
      </c>
    </row>
    <row r="9" spans="1:4" ht="12.75">
      <c r="A9" s="596" t="s">
        <v>274</v>
      </c>
      <c r="B9" s="94">
        <f>'2_k_ sz_ melléklet'!D13</f>
        <v>730</v>
      </c>
      <c r="C9" s="248">
        <f>'2_k_ sz_ melléklet'!D60</f>
        <v>2513</v>
      </c>
      <c r="D9" s="248">
        <f>SUM(B9:C9)</f>
        <v>3243</v>
      </c>
    </row>
    <row r="10" spans="1:4" ht="12.75">
      <c r="A10" s="1052" t="s">
        <v>275</v>
      </c>
      <c r="B10" s="94">
        <f>'2_k_ sz_ melléklet'!D14</f>
        <v>50</v>
      </c>
      <c r="C10" s="359">
        <f>'2_k_ sz_ melléklet'!D61</f>
        <v>11769</v>
      </c>
      <c r="D10" s="360">
        <f>C10+B10</f>
        <v>11819</v>
      </c>
    </row>
    <row r="11" spans="1:4" ht="13.5" thickBot="1">
      <c r="A11" s="39" t="s">
        <v>276</v>
      </c>
      <c r="B11" s="92">
        <f>SUM(B6:B10)</f>
        <v>27130</v>
      </c>
      <c r="C11" s="295">
        <f>SUM(C6:C10)</f>
        <v>381495</v>
      </c>
      <c r="D11" s="62">
        <f>SUM(D6:D10)</f>
        <v>408625</v>
      </c>
    </row>
    <row r="12" spans="1:4" ht="12.75">
      <c r="A12" s="392"/>
      <c r="B12" s="251"/>
      <c r="C12" s="1072"/>
      <c r="D12" s="1072"/>
    </row>
    <row r="13" spans="1:4" ht="13.5" customHeight="1">
      <c r="A13" s="361"/>
      <c r="B13" s="359"/>
      <c r="C13" s="280"/>
      <c r="D13" s="280"/>
    </row>
    <row r="14" spans="1:4" ht="15">
      <c r="A14" s="1394" t="s">
        <v>277</v>
      </c>
      <c r="B14" s="1394"/>
      <c r="C14" s="1394"/>
      <c r="D14" s="1394"/>
    </row>
    <row r="15" spans="1:4" ht="9" customHeight="1">
      <c r="A15" s="361"/>
      <c r="B15" s="54"/>
      <c r="C15" s="102"/>
      <c r="D15" s="102"/>
    </row>
    <row r="16" spans="1:4" ht="15.75">
      <c r="A16" s="1382" t="s">
        <v>278</v>
      </c>
      <c r="B16" s="1382"/>
      <c r="C16" s="1382"/>
      <c r="D16" s="1382"/>
    </row>
    <row r="17" spans="1:4" ht="12.75">
      <c r="A17" s="361"/>
      <c r="B17" s="54"/>
      <c r="D17" s="48" t="s">
        <v>33</v>
      </c>
    </row>
    <row r="18" spans="1:4" ht="27" thickBot="1">
      <c r="A18" s="1026" t="s">
        <v>229</v>
      </c>
      <c r="B18" s="1027" t="s">
        <v>83</v>
      </c>
      <c r="C18" s="1028" t="s">
        <v>270</v>
      </c>
      <c r="D18" s="1029" t="s">
        <v>174</v>
      </c>
    </row>
    <row r="19" spans="1:4" s="99" customFormat="1" ht="12.75">
      <c r="A19" s="1039" t="s">
        <v>1285</v>
      </c>
      <c r="B19" s="1023">
        <v>50</v>
      </c>
      <c r="C19" s="363"/>
      <c r="D19" s="1031">
        <f aca="true" t="shared" si="0" ref="D19:D31">SUM(B19:C19)</f>
        <v>50</v>
      </c>
    </row>
    <row r="20" spans="1:4" s="99" customFormat="1" ht="12.75">
      <c r="A20" s="1030" t="s">
        <v>1222</v>
      </c>
      <c r="B20" s="1037"/>
      <c r="C20" s="1038"/>
      <c r="D20" s="986"/>
    </row>
    <row r="21" spans="1:4" s="99" customFormat="1" ht="12.75">
      <c r="A21" s="1032" t="s">
        <v>1223</v>
      </c>
      <c r="B21" s="1024"/>
      <c r="C21" s="364">
        <v>400</v>
      </c>
      <c r="D21" s="987">
        <f t="shared" si="0"/>
        <v>400</v>
      </c>
    </row>
    <row r="22" spans="1:4" s="99" customFormat="1" ht="12.75">
      <c r="A22" s="1033" t="s">
        <v>1224</v>
      </c>
      <c r="B22" s="1025"/>
      <c r="C22" s="896"/>
      <c r="D22" s="989"/>
    </row>
    <row r="23" spans="1:4" s="99" customFormat="1" ht="12.75">
      <c r="A23" s="1033" t="s">
        <v>1186</v>
      </c>
      <c r="B23" s="1025"/>
      <c r="C23" s="896">
        <v>500</v>
      </c>
      <c r="D23" s="989">
        <f t="shared" si="0"/>
        <v>500</v>
      </c>
    </row>
    <row r="24" spans="1:4" s="99" customFormat="1" ht="12.75">
      <c r="A24" s="1030" t="s">
        <v>1187</v>
      </c>
      <c r="B24" s="1025"/>
      <c r="C24" s="896">
        <v>500</v>
      </c>
      <c r="D24" s="989">
        <f t="shared" si="0"/>
        <v>500</v>
      </c>
    </row>
    <row r="25" spans="1:4" s="99" customFormat="1" ht="12.75">
      <c r="A25" s="1033" t="s">
        <v>1225</v>
      </c>
      <c r="B25" s="1025"/>
      <c r="C25" s="896">
        <v>7</v>
      </c>
      <c r="D25" s="989">
        <f t="shared" si="0"/>
        <v>7</v>
      </c>
    </row>
    <row r="26" spans="1:4" s="99" customFormat="1" ht="12.75">
      <c r="A26" s="1033" t="s">
        <v>1140</v>
      </c>
      <c r="B26" s="1025"/>
      <c r="C26" s="896">
        <v>120</v>
      </c>
      <c r="D26" s="989">
        <f t="shared" si="0"/>
        <v>120</v>
      </c>
    </row>
    <row r="27" spans="1:4" s="99" customFormat="1" ht="12.75">
      <c r="A27" s="1033" t="s">
        <v>1141</v>
      </c>
      <c r="B27" s="1025"/>
      <c r="C27" s="896">
        <v>445</v>
      </c>
      <c r="D27" s="989">
        <f t="shared" si="0"/>
        <v>445</v>
      </c>
    </row>
    <row r="28" spans="1:4" s="99" customFormat="1" ht="12.75">
      <c r="A28" s="1033" t="s">
        <v>1142</v>
      </c>
      <c r="B28" s="1025"/>
      <c r="C28" s="896">
        <v>200</v>
      </c>
      <c r="D28" s="989">
        <f>SUM(B28:C28)</f>
        <v>200</v>
      </c>
    </row>
    <row r="29" spans="1:4" s="99" customFormat="1" ht="12.75">
      <c r="A29" s="1033"/>
      <c r="B29" s="1025"/>
      <c r="C29" s="896"/>
      <c r="D29" s="989"/>
    </row>
    <row r="30" spans="1:4" s="99" customFormat="1" ht="12.75">
      <c r="A30" s="1033" t="s">
        <v>1259</v>
      </c>
      <c r="B30" s="1043"/>
      <c r="C30" s="1044">
        <v>7643</v>
      </c>
      <c r="D30" s="1045">
        <f t="shared" si="0"/>
        <v>7643</v>
      </c>
    </row>
    <row r="31" spans="1:4" s="99" customFormat="1" ht="12.75">
      <c r="A31" s="1033" t="s">
        <v>1268</v>
      </c>
      <c r="B31" s="1188"/>
      <c r="C31" s="1189">
        <f>869+1085</f>
        <v>1954</v>
      </c>
      <c r="D31" s="1190">
        <f t="shared" si="0"/>
        <v>1954</v>
      </c>
    </row>
    <row r="32" spans="1:4" s="99" customFormat="1" ht="13.5" thickBot="1">
      <c r="A32" s="1030"/>
      <c r="B32" s="1040"/>
      <c r="C32" s="1041"/>
      <c r="D32" s="1042"/>
    </row>
    <row r="33" spans="1:4" ht="26.25" thickBot="1">
      <c r="A33" s="1022" t="s">
        <v>278</v>
      </c>
      <c r="B33" s="1034">
        <f>SUM(B19:B30)</f>
        <v>50</v>
      </c>
      <c r="C33" s="1035">
        <f>SUM(C19:C31)</f>
        <v>11769</v>
      </c>
      <c r="D33" s="1036">
        <f>SUM(D19:D31)</f>
        <v>11819</v>
      </c>
    </row>
    <row r="34" spans="1:4" ht="12.75">
      <c r="A34" s="1073"/>
      <c r="B34" s="1074"/>
      <c r="C34" s="1074"/>
      <c r="D34" s="1074"/>
    </row>
    <row r="35" spans="1:4" ht="13.5" customHeight="1">
      <c r="A35" s="361"/>
      <c r="B35" s="54"/>
      <c r="C35" s="54"/>
      <c r="D35" s="54"/>
    </row>
    <row r="36" spans="1:4" ht="15">
      <c r="A36" s="366"/>
      <c r="B36" s="366" t="s">
        <v>279</v>
      </c>
      <c r="D36" s="43"/>
    </row>
    <row r="37" spans="1:4" ht="9.75" customHeight="1">
      <c r="A37" s="366"/>
      <c r="B37" s="366"/>
      <c r="D37" s="43"/>
    </row>
    <row r="38" spans="1:4" ht="15.75">
      <c r="A38" s="1382" t="s">
        <v>280</v>
      </c>
      <c r="B38" s="1382"/>
      <c r="C38" s="367"/>
      <c r="D38" s="367"/>
    </row>
    <row r="39" spans="1:4" ht="14.25">
      <c r="A39" s="361"/>
      <c r="B39" s="275" t="s">
        <v>79</v>
      </c>
      <c r="C39" s="367"/>
      <c r="D39" s="367"/>
    </row>
    <row r="40" spans="1:4" ht="15.75">
      <c r="A40" s="368" t="s">
        <v>229</v>
      </c>
      <c r="B40" s="50" t="s">
        <v>212</v>
      </c>
      <c r="C40" s="361"/>
      <c r="D40" s="361"/>
    </row>
    <row r="41" spans="1:4" ht="12.75">
      <c r="A41" s="307"/>
      <c r="B41" s="52" t="s">
        <v>281</v>
      </c>
      <c r="C41" s="361"/>
      <c r="D41" s="361"/>
    </row>
    <row r="42" spans="1:4" ht="12.75">
      <c r="A42" s="180" t="s">
        <v>282</v>
      </c>
      <c r="B42" s="87">
        <f>115000+6868</f>
        <v>121868</v>
      </c>
      <c r="C42" s="54"/>
      <c r="D42" s="54"/>
    </row>
    <row r="43" spans="1:4" ht="12.75">
      <c r="A43" s="180" t="s">
        <v>283</v>
      </c>
      <c r="B43" s="67">
        <v>0</v>
      </c>
      <c r="C43" s="54"/>
      <c r="D43" s="54"/>
    </row>
    <row r="44" spans="1:4" ht="12.75">
      <c r="A44" s="180" t="s">
        <v>284</v>
      </c>
      <c r="B44" s="67">
        <v>0</v>
      </c>
      <c r="C44" s="54"/>
      <c r="D44" s="54"/>
    </row>
    <row r="45" spans="1:4" ht="12.75">
      <c r="A45" s="16" t="s">
        <v>285</v>
      </c>
      <c r="B45" s="56">
        <f>18000+6791</f>
        <v>24791</v>
      </c>
      <c r="C45" s="54"/>
      <c r="D45" s="54"/>
    </row>
    <row r="46" spans="1:4" ht="26.25" customHeight="1">
      <c r="A46" s="1048" t="s">
        <v>286</v>
      </c>
      <c r="B46" s="369">
        <f>470000+16221+18529</f>
        <v>504750</v>
      </c>
      <c r="C46" s="370"/>
      <c r="D46" s="370"/>
    </row>
    <row r="47" spans="1:4" ht="25.5" customHeight="1">
      <c r="A47" s="1048" t="s">
        <v>287</v>
      </c>
      <c r="B47" s="371">
        <v>1417</v>
      </c>
      <c r="C47" s="370"/>
      <c r="D47" s="370"/>
    </row>
    <row r="48" spans="1:4" ht="12.75">
      <c r="A48" s="18" t="s">
        <v>288</v>
      </c>
      <c r="B48" s="252">
        <f>SUM(B42:B47)</f>
        <v>652826</v>
      </c>
      <c r="C48" s="370"/>
      <c r="D48" s="370"/>
    </row>
    <row r="49" spans="1:4" ht="12.75">
      <c r="A49" s="1049" t="s">
        <v>289</v>
      </c>
      <c r="B49" s="62">
        <v>5000</v>
      </c>
      <c r="C49" s="54"/>
      <c r="D49" s="54"/>
    </row>
    <row r="50" spans="1:4" ht="12.75">
      <c r="A50" s="1050" t="s">
        <v>290</v>
      </c>
      <c r="B50" s="372">
        <v>24517</v>
      </c>
      <c r="C50" s="54"/>
      <c r="D50" s="54"/>
    </row>
    <row r="51" spans="1:4" ht="13.5" thickBot="1">
      <c r="A51" s="1049" t="s">
        <v>291</v>
      </c>
      <c r="B51" s="373">
        <v>1000</v>
      </c>
      <c r="C51" s="54"/>
      <c r="D51" s="54"/>
    </row>
    <row r="52" spans="1:4" ht="12.75">
      <c r="A52" s="1046"/>
      <c r="B52" s="54"/>
      <c r="C52" s="54"/>
      <c r="D52" s="54"/>
    </row>
    <row r="53" spans="1:4" ht="12.75">
      <c r="A53" s="1046"/>
      <c r="B53" s="54"/>
      <c r="C53" s="54"/>
      <c r="D53" s="54"/>
    </row>
    <row r="54" spans="1:4" ht="12.75">
      <c r="A54" s="1046"/>
      <c r="B54" s="54"/>
      <c r="C54" s="54"/>
      <c r="D54" s="54"/>
    </row>
    <row r="55" spans="1:4" ht="12.75">
      <c r="A55" s="1046"/>
      <c r="B55" s="54"/>
      <c r="C55" s="54"/>
      <c r="D55" s="54"/>
    </row>
    <row r="56" spans="1:4" ht="12.75">
      <c r="A56" s="1046"/>
      <c r="B56" s="54"/>
      <c r="C56" s="54"/>
      <c r="D56" s="54"/>
    </row>
    <row r="57" spans="1:4" ht="12.75">
      <c r="A57" s="1046"/>
      <c r="B57" s="54"/>
      <c r="C57" s="54"/>
      <c r="D57" s="54"/>
    </row>
    <row r="58" spans="1:4" ht="15">
      <c r="A58" s="361"/>
      <c r="B58" s="374" t="s">
        <v>292</v>
      </c>
      <c r="C58" s="54"/>
      <c r="D58" s="54"/>
    </row>
    <row r="59" spans="1:4" ht="9.75" customHeight="1">
      <c r="A59" s="361"/>
      <c r="B59" s="374"/>
      <c r="C59" s="54"/>
      <c r="D59" s="54"/>
    </row>
    <row r="60" spans="1:2" ht="15.75">
      <c r="A60" s="1382" t="s">
        <v>293</v>
      </c>
      <c r="B60" s="1382"/>
    </row>
    <row r="61" spans="1:4" ht="15" thickBot="1">
      <c r="A61" s="361"/>
      <c r="B61" s="275" t="s">
        <v>79</v>
      </c>
      <c r="C61" s="367"/>
      <c r="D61" s="367"/>
    </row>
    <row r="62" spans="1:4" ht="26.25">
      <c r="A62" s="368" t="s">
        <v>229</v>
      </c>
      <c r="B62" s="277" t="s">
        <v>174</v>
      </c>
      <c r="C62" s="367"/>
      <c r="D62" s="367"/>
    </row>
    <row r="63" spans="1:4" ht="12.75">
      <c r="A63" s="617" t="s">
        <v>294</v>
      </c>
      <c r="B63" s="87">
        <v>201552</v>
      </c>
      <c r="C63" s="361"/>
      <c r="D63" s="361"/>
    </row>
    <row r="64" spans="1:4" ht="12.75">
      <c r="A64" s="16" t="s">
        <v>295</v>
      </c>
      <c r="B64" s="67">
        <v>247307</v>
      </c>
      <c r="C64" s="54"/>
      <c r="D64" s="54"/>
    </row>
    <row r="65" spans="1:4" ht="12.75">
      <c r="A65" s="180" t="s">
        <v>296</v>
      </c>
      <c r="B65" s="67"/>
      <c r="C65" s="54"/>
      <c r="D65" s="54"/>
    </row>
    <row r="66" spans="1:4" ht="12.75">
      <c r="A66" s="180" t="s">
        <v>297</v>
      </c>
      <c r="B66" s="67">
        <f>90000+7025</f>
        <v>97025</v>
      </c>
      <c r="C66" s="54"/>
      <c r="D66" s="54"/>
    </row>
    <row r="67" spans="1:4" ht="12.75">
      <c r="A67" s="16" t="s">
        <v>298</v>
      </c>
      <c r="B67" s="56">
        <v>0</v>
      </c>
      <c r="C67" s="54"/>
      <c r="D67" s="54"/>
    </row>
    <row r="68" spans="1:4" ht="12.75">
      <c r="A68" s="1047" t="s">
        <v>299</v>
      </c>
      <c r="B68" s="360">
        <v>0</v>
      </c>
      <c r="C68" s="54"/>
      <c r="D68" s="54"/>
    </row>
    <row r="69" spans="1:4" ht="12.75">
      <c r="A69" s="39" t="s">
        <v>300</v>
      </c>
      <c r="B69" s="62">
        <f>SUM(B63:B68)</f>
        <v>545884</v>
      </c>
      <c r="C69" s="370"/>
      <c r="D69" s="370"/>
    </row>
    <row r="70" spans="3:4" ht="12.75">
      <c r="C70" s="54"/>
      <c r="D70" s="54"/>
    </row>
  </sheetData>
  <sheetProtection/>
  <mergeCells count="6">
    <mergeCell ref="A1:D1"/>
    <mergeCell ref="A3:D3"/>
    <mergeCell ref="A14:D14"/>
    <mergeCell ref="A16:D16"/>
    <mergeCell ref="A38:B38"/>
    <mergeCell ref="A60:B60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Mezőkövesd</cp:lastModifiedBy>
  <cp:lastPrinted>2011-03-17T16:24:42Z</cp:lastPrinted>
  <dcterms:created xsi:type="dcterms:W3CDTF">2010-04-12T12:24:45Z</dcterms:created>
  <dcterms:modified xsi:type="dcterms:W3CDTF">2011-03-17T16:40:42Z</dcterms:modified>
  <cp:category/>
  <cp:version/>
  <cp:contentType/>
  <cp:contentStatus/>
</cp:coreProperties>
</file>