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9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_f_h_sz_ melléklet" sheetId="10" r:id="rId10"/>
    <sheet name="2_i_j_sz_ mell_" sheetId="11" r:id="rId11"/>
    <sheet name="2_k_ sz_ melléklet" sheetId="12" r:id="rId12"/>
    <sheet name="2_l_sz_ melléklet" sheetId="13" r:id="rId13"/>
    <sheet name="2_m_n_sz_ melléklet" sheetId="14" r:id="rId14"/>
    <sheet name="3_sz_ melléklet" sheetId="15" r:id="rId15"/>
    <sheet name="4_sz_ melléklet" sheetId="16" r:id="rId16"/>
    <sheet name="5_sz_ melléklet" sheetId="17" r:id="rId17"/>
    <sheet name="6_sz_ melléklet" sheetId="18" r:id="rId18"/>
    <sheet name="7_sz_ melléklet" sheetId="19" r:id="rId19"/>
    <sheet name="8_sz_ melléklet" sheetId="20" r:id="rId20"/>
    <sheet name="9_sz_ melléklet" sheetId="21" r:id="rId21"/>
    <sheet name="10_ sz_ melléklet" sheetId="22" r:id="rId22"/>
    <sheet name="11_sz_ melléklet" sheetId="23" r:id="rId23"/>
    <sheet name="12_sz_ melléklet" sheetId="24" r:id="rId24"/>
    <sheet name="13_sz_ melléklet" sheetId="25" r:id="rId25"/>
    <sheet name="14_15_sz_ melléklet" sheetId="26" r:id="rId26"/>
    <sheet name="16_17_sz_ melléklet" sheetId="27" r:id="rId27"/>
    <sheet name="18_19_ sz_ melléklet" sheetId="28" r:id="rId28"/>
    <sheet name="20_ sz_ melléklet" sheetId="29" r:id="rId29"/>
    <sheet name="1_ sz_ tájékoztató" sheetId="30" r:id="rId30"/>
    <sheet name="2_ sz_ tájékoztató" sheetId="31" r:id="rId31"/>
    <sheet name="3_ sz_ tájékoztató" sheetId="32" r:id="rId32"/>
    <sheet name="2_e_1_sz_ melléklet" sheetId="33" r:id="rId33"/>
  </sheets>
  <externalReferences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<sst xmlns="http://schemas.openxmlformats.org/spreadsheetml/2006/main" count="1949" uniqueCount="1111">
  <si>
    <t>1. sz. melléklet</t>
  </si>
  <si>
    <t>Költségvetés mérlege</t>
  </si>
  <si>
    <t>2009.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</si>
  <si>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</si>
  <si>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</si>
  <si>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</si>
  <si>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</si>
  <si>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</si>
  <si>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</si>
  <si>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</si>
  <si>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</si>
  <si>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</si>
  <si>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</si>
  <si>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</si>
  <si>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</si>
  <si>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</si>
  <si>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</si>
  <si>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Pénzforgalom nélküli bevételek</t>
  </si>
  <si>
    <t>V. Nyújtott kölcsönök</t>
  </si>
  <si>
    <t>VI. Tartalékok</t>
  </si>
  <si>
    <t xml:space="preserve">      Általános tartalék</t>
  </si>
  <si>
    <t xml:space="preserve">      Céltartalék</t>
  </si>
  <si>
    <t xml:space="preserve">           Ebből: Államháztartási tartalék</t>
  </si>
  <si>
    <t>Költségvetési bevételek összesen</t>
  </si>
  <si>
    <t>Költségvetési kiadások összesen</t>
  </si>
  <si>
    <t>VI. Hitelfelvétel</t>
  </si>
  <si>
    <t>VII. Hiteltörlesztés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</si>
  <si>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</si>
  <si>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</si>
  <si>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</si>
  <si>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</si>
  <si>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</si>
  <si>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</si>
  <si>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2009.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</si>
  <si>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</si>
  <si>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</si>
  <si>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</si>
  <si>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</si>
  <si>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</si>
  <si>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</si>
  <si>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</si>
  <si>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</si>
  <si>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</si>
  <si>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</si>
  <si>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</si>
  <si>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</si>
  <si>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</si>
  <si>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</si>
  <si>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</si>
  <si>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</si>
  <si>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</si>
  <si>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</si>
  <si>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</si>
  <si>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</si>
  <si>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</si>
  <si>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</si>
  <si>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</si>
  <si>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</si>
  <si>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</si>
  <si>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</si>
  <si>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</si>
  <si>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</si>
  <si>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</si>
  <si>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</si>
  <si>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</si>
  <si>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</si>
  <si>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</si>
  <si>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</si>
  <si>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</si>
  <si>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</si>
  <si>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</si>
  <si>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</si>
  <si>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</si>
  <si>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</si>
  <si>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</si>
  <si>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</si>
  <si>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</si>
  <si>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</si>
  <si>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</si>
  <si>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</si>
  <si>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2009.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</si>
  <si>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</si>
  <si>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</si>
  <si>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</si>
  <si>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</si>
  <si>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</si>
  <si>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</si>
  <si>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</si>
  <si>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</si>
  <si>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</si>
  <si>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</si>
  <si>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</si>
  <si>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</si>
  <si>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</si>
  <si>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</si>
  <si>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</si>
  <si>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</si>
  <si>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</si>
  <si>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</si>
  <si>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</si>
  <si>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</si>
  <si>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</si>
  <si>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</si>
  <si>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</si>
  <si>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</si>
  <si>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(részben-önállóan gazdálkodó) intézmények  </t>
  </si>
  <si>
    <t xml:space="preserve">2009. évi költségvetési kiadásielőirányzatai  </t>
  </si>
  <si>
    <t>Város-gondnokság</t>
  </si>
  <si>
    <t>Városi Óvoda</t>
  </si>
  <si>
    <t>MÁAMIPSZ</t>
  </si>
  <si>
    <t>Könyvtár</t>
  </si>
  <si>
    <t>Városi Bölcsőde</t>
  </si>
  <si>
    <t>4. Hosszúlej. hitelek kamata</t>
  </si>
  <si>
    <t>VII. Hitel törlesztés</t>
  </si>
  <si>
    <t xml:space="preserve">1/c. sz. melléklet </t>
  </si>
  <si>
    <t>KIADÁSOK                     JOGCÍMEI</t>
  </si>
  <si>
    <t>Városi Sport-csarnok</t>
  </si>
  <si>
    <t>Szent L. Gimnázium</t>
  </si>
  <si>
    <t>Széchenyi I. Szakképz.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</si>
  <si>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</si>
  <si>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</si>
  <si>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</si>
  <si>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</si>
  <si>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</si>
  <si>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2009. évi költségvetési kiadási</t>
  </si>
  <si>
    <t xml:space="preserve">   előirányzatai  feladatonként</t>
  </si>
  <si>
    <t>KIADÁSOK JOGCÍMEI</t>
  </si>
  <si>
    <t>Épület-fenntartás</t>
  </si>
  <si>
    <t>Helyi közutak felúj.</t>
  </si>
  <si>
    <t>Helyi közutak üzem.</t>
  </si>
  <si>
    <t>TISZK</t>
  </si>
  <si>
    <t>Ingatlan haszn.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</si>
  <si>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</si>
  <si>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</si>
  <si>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</si>
  <si>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</si>
  <si>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</si>
  <si>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</si>
  <si>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</si>
  <si>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</si>
  <si>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</si>
  <si>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Gyámhiv. Okmányi.</t>
  </si>
  <si>
    <t>Önkorm. Ig. tev.</t>
  </si>
  <si>
    <t>Kisebbségi önkorm.</t>
  </si>
  <si>
    <t>Önkorm. ellátó tev.</t>
  </si>
  <si>
    <t>Szakmai kiseg.tev.</t>
  </si>
  <si>
    <t xml:space="preserve">   Ebből: felh. Hitel kamata</t>
  </si>
  <si>
    <t>Ebből:-Társadalom-, szociálp. kiad.</t>
  </si>
  <si>
    <t xml:space="preserve">1/d.. sz. melléklet </t>
  </si>
  <si>
    <t>Városgazd Szolg.</t>
  </si>
  <si>
    <t>Települési Vízellátás</t>
  </si>
  <si>
    <t>Köz-világítás</t>
  </si>
  <si>
    <t>Oktatási célok</t>
  </si>
  <si>
    <t>Fogorvosi ellátás</t>
  </si>
  <si>
    <t xml:space="preserve">   Ebből:felh. Hitel kamata</t>
  </si>
  <si>
    <t xml:space="preserve"> - Ebből:Társadalom-, szociálp. kiad.</t>
  </si>
  <si>
    <t>Iskolaeü. Ellátás</t>
  </si>
  <si>
    <t>Rendsz. pénzb.szoc.</t>
  </si>
  <si>
    <t>Rendsz. gyermekv.</t>
  </si>
  <si>
    <t>Munkanélk Ellátások</t>
  </si>
  <si>
    <t>Eseti pénzb. szoc.</t>
  </si>
  <si>
    <t>Ebből:felh. Hitel kamata</t>
  </si>
  <si>
    <t>Eseti pénzb. gyerm.véd</t>
  </si>
  <si>
    <t>Szennyvíz-elvezetés</t>
  </si>
  <si>
    <t>Kulturális sport</t>
  </si>
  <si>
    <t>Múzeumi tev.</t>
  </si>
  <si>
    <t>Fürdő-strandszolg.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</si>
  <si>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</si>
  <si>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</si>
  <si>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</si>
  <si>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</si>
  <si>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</si>
  <si>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</si>
  <si>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</si>
  <si>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</si>
  <si>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</si>
  <si>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</si>
  <si>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</si>
  <si>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</si>
  <si>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</si>
  <si>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</si>
  <si>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</si>
  <si>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</si>
  <si>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</si>
  <si>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</si>
  <si>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</si>
  <si>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</si>
  <si>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</si>
  <si>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</si>
  <si>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</si>
  <si>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</si>
  <si>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</si>
  <si>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</si>
  <si>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</si>
  <si>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</si>
  <si>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</si>
  <si>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</si>
  <si>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</si>
  <si>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</si>
  <si>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</si>
  <si>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</si>
  <si>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</si>
  <si>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Örmény Kisebbségi Önk.-Társ. Sz.</t>
  </si>
  <si>
    <t xml:space="preserve">          - Víziközmű társ. Működésére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</si>
  <si>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</si>
  <si>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</si>
  <si>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</si>
  <si>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</si>
  <si>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</si>
  <si>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Önerős gázépítő közösség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</si>
  <si>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</si>
  <si>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</si>
  <si>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</si>
  <si>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</si>
  <si>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</si>
  <si>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</si>
  <si>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</si>
  <si>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</si>
  <si>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</si>
  <si>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</si>
  <si>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</si>
  <si>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</si>
  <si>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</si>
  <si>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</si>
  <si>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</si>
  <si>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</si>
  <si>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</si>
  <si>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</si>
  <si>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</si>
  <si>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</si>
  <si>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</si>
  <si>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</si>
  <si>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</si>
  <si>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2009.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</si>
  <si>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</si>
  <si>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</si>
  <si>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</si>
  <si>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</si>
  <si>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</si>
  <si>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</si>
  <si>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</si>
  <si>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</si>
  <si>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</si>
  <si>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</si>
  <si>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(1.1..+1.5)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</si>
  <si>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</si>
  <si>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</si>
  <si>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</si>
  <si>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</si>
  <si>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</si>
  <si>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</si>
  <si>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</si>
  <si>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</si>
  <si>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</si>
  <si>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</si>
  <si>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</si>
  <si>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</si>
  <si>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</si>
  <si>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</si>
  <si>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</si>
  <si>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</si>
  <si>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</si>
  <si>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</si>
  <si>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</si>
  <si>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</si>
  <si>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</si>
  <si>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V. Pénzforgalom nélküli bevételek </t>
  </si>
  <si>
    <t xml:space="preserve">1. Előző évi pénzmaradvány igénybevétele </t>
  </si>
  <si>
    <t xml:space="preserve">       Ebből: működési célú</t>
  </si>
  <si>
    <t>KÖLTSÉGVETÉSI BEVÉTELEK       ÖSSZESEN(I…+VI.)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</si>
  <si>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</si>
  <si>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</si>
  <si>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</si>
  <si>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</si>
  <si>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</si>
  <si>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</si>
  <si>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</si>
  <si>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</si>
  <si>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</si>
  <si>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</si>
  <si>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</si>
  <si>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</si>
  <si>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</si>
  <si>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</si>
  <si>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</si>
  <si>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</si>
  <si>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</si>
  <si>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SZISZI  ISK. pártólói tagdíj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</si>
  <si>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</si>
  <si>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</si>
  <si>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</si>
  <si>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</si>
  <si>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</si>
  <si>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</si>
  <si>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</si>
  <si>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</si>
  <si>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</si>
  <si>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</si>
  <si>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</si>
  <si>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</si>
  <si>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</si>
  <si>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</si>
  <si>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</si>
  <si>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</si>
  <si>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</si>
  <si>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</si>
  <si>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</si>
  <si>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>2.2.5. Luxusadó</t>
  </si>
  <si>
    <t xml:space="preserve">2.2.6. Termőföld bérbeadásából származó jöv.adó </t>
  </si>
  <si>
    <t xml:space="preserve">2.2.7. Átengedett egyéb központi adók </t>
  </si>
  <si>
    <t xml:space="preserve">I/2.2. Átengedett központi adók összesen </t>
  </si>
  <si>
    <t xml:space="preserve">      2/f. sz. melléklet</t>
  </si>
  <si>
    <t xml:space="preserve">II/1.2. Központosított előirányzatok részletezése </t>
  </si>
  <si>
    <t xml:space="preserve">BEVÉTELEK JOGCÍMEI </t>
  </si>
  <si>
    <t>Kisebbségi Önkormányzat tám. - Cigány</t>
  </si>
  <si>
    <t xml:space="preserve">                                               - Örmény</t>
  </si>
  <si>
    <t>közműfejlesztési hozzájárulás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</si>
  <si>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</si>
  <si>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</si>
  <si>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</si>
  <si>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</si>
  <si>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</si>
  <si>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</si>
  <si>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</si>
  <si>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</si>
  <si>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</si>
  <si>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</si>
  <si>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</si>
  <si>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</si>
  <si>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</si>
  <si>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</si>
  <si>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</si>
  <si>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</si>
  <si>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</si>
  <si>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</si>
  <si>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 xml:space="preserve">          - Tűzoltóság -Munkaügyi Központtól</t>
  </si>
  <si>
    <t xml:space="preserve">          - Könyvtár mozgókönyvt.fa. Többcélútól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</si>
  <si>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</si>
  <si>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</si>
  <si>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</si>
  <si>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</si>
  <si>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</si>
  <si>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</si>
  <si>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</si>
  <si>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</si>
  <si>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Prémium évesek ktg. Megtér.</t>
  </si>
  <si>
    <t xml:space="preserve">          </t>
  </si>
  <si>
    <t>2.2. Felhalmozási bevételek összesen</t>
  </si>
  <si>
    <t>Önkorm. Pályázatokra: Mező F. kazán</t>
  </si>
  <si>
    <t xml:space="preserve">                                  Szennyvízcsat. Hál. </t>
  </si>
  <si>
    <t xml:space="preserve">                                  Bárdos L.tagisk. Akadálym.</t>
  </si>
  <si>
    <t xml:space="preserve">                                  Gyula u. rendelő Akadálym.</t>
  </si>
  <si>
    <t xml:space="preserve">                                  Bayer R. koll. Akadálym.</t>
  </si>
  <si>
    <t xml:space="preserve">                                  Városi Rendelői. Akadálym.</t>
  </si>
  <si>
    <t xml:space="preserve">                                  I. sz. tagóv. Akadálym.</t>
  </si>
  <si>
    <t xml:space="preserve">                                  Anna köz 13. tájház.</t>
  </si>
  <si>
    <t xml:space="preserve">                                  Piac-BM önerő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</si>
  <si>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</si>
  <si>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</si>
  <si>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</si>
  <si>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</si>
  <si>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</si>
  <si>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</si>
  <si>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</si>
  <si>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</si>
  <si>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</si>
  <si>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</si>
  <si>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</si>
  <si>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</si>
  <si>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</si>
  <si>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</si>
  <si>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</si>
  <si>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</si>
  <si>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BEVÉTELEK JOGCÍMEI</t>
  </si>
  <si>
    <t>Önkorm. vagyon bérbeadás (Zsóry víz,-csat.+egyéb saj. Bev.+szeméttel.)</t>
  </si>
  <si>
    <t>Önkormányzati lakás értékesités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</si>
  <si>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</si>
  <si>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</si>
  <si>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</si>
  <si>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</si>
  <si>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</si>
  <si>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</si>
  <si>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</si>
  <si>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</si>
  <si>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</si>
  <si>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</si>
  <si>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</si>
  <si>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</si>
  <si>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</si>
  <si>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</si>
  <si>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</si>
  <si>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</si>
  <si>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</si>
  <si>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</si>
  <si>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</si>
  <si>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</si>
  <si>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</si>
  <si>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</si>
  <si>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</si>
  <si>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2009.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</si>
  <si>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</si>
  <si>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</si>
  <si>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</si>
  <si>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</si>
  <si>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</si>
  <si>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</si>
  <si>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</si>
  <si>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</si>
  <si>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</si>
  <si>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</si>
  <si>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1. Előző évi pénzmaradvány igénybevétele</t>
  </si>
  <si>
    <t xml:space="preserve">      Ebből: működési célú</t>
  </si>
  <si>
    <t xml:space="preserve">                felhalmozási célú</t>
  </si>
  <si>
    <t>V. Pénzforgalom nélküli bevételek össz.</t>
  </si>
  <si>
    <t>Intézményi bevételek összesen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</si>
  <si>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</si>
  <si>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</si>
  <si>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</si>
  <si>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</si>
  <si>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</si>
  <si>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</si>
  <si>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</si>
  <si>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(részben önállóan gazdálkodó) költségvetési intézmények </t>
  </si>
  <si>
    <t>2009. évi költségvetési bevételei</t>
  </si>
  <si>
    <t>Városi Könyvtár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</si>
  <si>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</si>
  <si>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</si>
  <si>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</si>
  <si>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</si>
  <si>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</si>
  <si>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</si>
  <si>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</si>
  <si>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</si>
  <si>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</si>
  <si>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</si>
  <si>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</si>
  <si>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</si>
  <si>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</si>
  <si>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</si>
  <si>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</si>
  <si>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</si>
  <si>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</si>
  <si>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</si>
  <si>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</si>
  <si>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</si>
  <si>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</si>
  <si>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</si>
  <si>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</si>
  <si>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</si>
  <si>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2009. évi előirányzat</t>
  </si>
  <si>
    <t>Szent László Gimnázium - taniroda felújítás</t>
  </si>
  <si>
    <t>Ös s z e s e n:</t>
  </si>
  <si>
    <t>2008. évben indult Csokonai-Radnóti út</t>
  </si>
  <si>
    <t>Bajcsy Zs. Út</t>
  </si>
  <si>
    <t>Díszburkolat bővítés</t>
  </si>
  <si>
    <t xml:space="preserve">          Útfelújítás összesen</t>
  </si>
  <si>
    <t>Játszóterek felújítása</t>
  </si>
  <si>
    <t>Mező F. tagiskola kazánfelújítás</t>
  </si>
  <si>
    <t xml:space="preserve">         Önkormányzati ingatlanok felújítása össz.(önkorm.ig.)</t>
  </si>
  <si>
    <t>Víz-,csatorna felujitás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</si>
  <si>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</si>
  <si>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</si>
  <si>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</si>
  <si>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</si>
  <si>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</si>
  <si>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</si>
  <si>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</si>
  <si>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</si>
  <si>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video-endoszkóp beszerzése</t>
  </si>
  <si>
    <t>Ö s s z e s e n :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</si>
  <si>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</si>
  <si>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</si>
  <si>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</si>
  <si>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</si>
  <si>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>Ö s s z e s e n:</t>
  </si>
  <si>
    <t xml:space="preserve">Polgármesteri Hivatal  </t>
  </si>
  <si>
    <t xml:space="preserve">          -    fénymásoló beszerzés /óvoda/</t>
  </si>
  <si>
    <t xml:space="preserve">          -   Bárdos L. tagiskola akadálymentesítés</t>
  </si>
  <si>
    <t xml:space="preserve">          -   Gyula úti orvosi rend. Akadálymentesítés</t>
  </si>
  <si>
    <t xml:space="preserve">          -   Bayer R. Kollég. Akadálymentesítés</t>
  </si>
  <si>
    <t xml:space="preserve">          -   Városi Rendelőint. Akadálymentesítés</t>
  </si>
  <si>
    <t xml:space="preserve">          -   I. sz. tagóvoda Akadálymentesítés</t>
  </si>
  <si>
    <t xml:space="preserve">          -   Belosztály  krónikus egység fejl.</t>
  </si>
  <si>
    <t xml:space="preserve">              Városgazd. Szolg. mindösszesen</t>
  </si>
  <si>
    <t>Klementina közvilágítás</t>
  </si>
  <si>
    <t xml:space="preserve">              Közvilágítási feladatok összesen</t>
  </si>
  <si>
    <t>Zsóry fejlesztés garancia terhére</t>
  </si>
  <si>
    <t>Zsóry fejlesztés műszaki ellenőri díjai</t>
  </si>
  <si>
    <t xml:space="preserve">                  Fürdő és Strandszolg. Összesen</t>
  </si>
  <si>
    <t xml:space="preserve">             Önkormányzati igazgatás összesen</t>
  </si>
  <si>
    <t>Szennyvízcsatorna tervei</t>
  </si>
  <si>
    <t xml:space="preserve">             Szennyvízcsatorna fejlesztési feladatok összesen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</si>
  <si>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</si>
  <si>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</si>
  <si>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</si>
  <si>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</si>
  <si>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2009.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</si>
  <si>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</si>
  <si>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</si>
  <si>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</si>
  <si>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</si>
  <si>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</si>
  <si>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</si>
  <si>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</si>
  <si>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</si>
  <si>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</si>
  <si>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</si>
  <si>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</si>
  <si>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kötvény kamatkiadásának fedezetére tartalék</t>
  </si>
  <si>
    <t xml:space="preserve">Felhalmozási céltartalék összesen: </t>
  </si>
  <si>
    <t xml:space="preserve">Céltartalék mindösszesen: </t>
  </si>
  <si>
    <t xml:space="preserve">  Felhalmozási céltartalék  (hitelkamatok változására 3885eft, Tüo. Gk. vás. 25mó, egyéb pály. Önerő 17mó, kötvény  Kamat kiadás tartaléka 140mó)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</si>
  <si>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</si>
  <si>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</si>
  <si>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</si>
  <si>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</si>
  <si>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</si>
  <si>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</si>
  <si>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</si>
  <si>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</si>
  <si>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</si>
  <si>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Városgondnokság</t>
  </si>
  <si>
    <t>Bölcsőde</t>
  </si>
  <si>
    <t xml:space="preserve">Városi  Sportcsarnok és Szabadidőközpont </t>
  </si>
  <si>
    <t>Létszámkeret összesen</t>
  </si>
  <si>
    <t>7. sz. melléklet</t>
  </si>
  <si>
    <t>I. Működési célú bevételek és kiadások mérlege</t>
  </si>
  <si>
    <t>K i a d á s</t>
  </si>
  <si>
    <t>2009.évi előir.</t>
  </si>
  <si>
    <t>2009.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</si>
  <si>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</si>
  <si>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</si>
  <si>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</si>
  <si>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</si>
  <si>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</si>
  <si>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Dologi kiadások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</si>
  <si>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</si>
  <si>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</si>
  <si>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</si>
  <si>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Arial CE"/>
        <family val="2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</si>
  <si>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</si>
  <si>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</si>
  <si>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</si>
  <si>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</si>
  <si>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</si>
  <si>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</si>
  <si>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Pénzmaradv.igénybevétele</t>
  </si>
  <si>
    <t>Ellátottak pénzbeni jutt.</t>
  </si>
  <si>
    <t>Luxusadó 20%-a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</si>
  <si>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</si>
  <si>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</si>
  <si>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</si>
  <si>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</si>
  <si>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</si>
  <si>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</si>
  <si>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</si>
  <si>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</si>
  <si>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</si>
  <si>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</si>
  <si>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</si>
  <si>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</si>
  <si>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</si>
  <si>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</si>
  <si>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</si>
  <si>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</si>
  <si>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</si>
  <si>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</si>
  <si>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</si>
  <si>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</si>
  <si>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</si>
  <si>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</si>
  <si>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</si>
  <si>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Pénzmaradvány igénybevétel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</si>
  <si>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</si>
  <si>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</si>
  <si>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</si>
  <si>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</si>
  <si>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</si>
  <si>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Magánszem.komm.adója 100 %</t>
  </si>
  <si>
    <t>b./ céltartalék</t>
  </si>
  <si>
    <t>Magánsz.építm.és telekadó 20 %</t>
  </si>
  <si>
    <t>Értékesített tárgyie.áfabefiz.</t>
  </si>
  <si>
    <t>Támogatás értékű kiadás</t>
  </si>
  <si>
    <t>Felhalm.kiad.ÁFA visszatér.</t>
  </si>
  <si>
    <t>Költségvetési bevét.össz.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</si>
  <si>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</si>
  <si>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</si>
  <si>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</si>
  <si>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</si>
  <si>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</si>
  <si>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</si>
  <si>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</si>
  <si>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</si>
  <si>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</si>
  <si>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</si>
  <si>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</si>
  <si>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</si>
  <si>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2010. év</t>
  </si>
  <si>
    <t>2011.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</si>
  <si>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</si>
  <si>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</si>
  <si>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</si>
  <si>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</si>
  <si>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</si>
  <si>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</si>
  <si>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</si>
  <si>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</si>
  <si>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</si>
  <si>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</si>
  <si>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</si>
  <si>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</si>
  <si>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</si>
  <si>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</si>
  <si>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</si>
  <si>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</si>
  <si>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</si>
  <si>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</si>
  <si>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</si>
  <si>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</si>
  <si>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</si>
  <si>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</si>
  <si>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</si>
  <si>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</si>
  <si>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</si>
  <si>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</si>
  <si>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</si>
  <si>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</si>
  <si>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</si>
  <si>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</si>
  <si>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</si>
  <si>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</si>
  <si>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</si>
  <si>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</si>
  <si>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</si>
  <si>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</si>
  <si>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</si>
  <si>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</si>
  <si>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</si>
  <si>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</si>
  <si>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</si>
  <si>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</si>
  <si>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</si>
  <si>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</si>
  <si>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</si>
  <si>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</si>
  <si>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</si>
  <si>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</si>
  <si>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</si>
  <si>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</si>
  <si>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</si>
  <si>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</si>
  <si>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</si>
  <si>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2009.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</si>
  <si>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</si>
  <si>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</si>
  <si>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</si>
  <si>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</si>
  <si>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</si>
  <si>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</si>
  <si>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</si>
  <si>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</si>
  <si>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</si>
  <si>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</si>
  <si>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</si>
  <si>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</si>
  <si>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</si>
  <si>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</si>
  <si>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</si>
  <si>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</si>
  <si>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</si>
  <si>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</si>
  <si>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</si>
  <si>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</si>
  <si>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</si>
  <si>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2009.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</si>
  <si>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</si>
  <si>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</si>
  <si>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</si>
  <si>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</si>
  <si>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2009. évi költségvetése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</si>
  <si>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</si>
  <si>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</si>
  <si>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</si>
  <si>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</si>
  <si>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</si>
  <si>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</si>
  <si>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</si>
  <si>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</si>
  <si>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</si>
  <si>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</si>
  <si>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</si>
  <si>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</si>
  <si>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</si>
  <si>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</si>
  <si>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</si>
  <si>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</si>
  <si>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</si>
  <si>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</si>
  <si>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</si>
  <si>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</si>
  <si>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</si>
  <si>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</si>
  <si>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</si>
  <si>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</si>
  <si>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</si>
  <si>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</si>
  <si>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</si>
  <si>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</si>
  <si>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</si>
  <si>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</si>
  <si>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</si>
  <si>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</si>
  <si>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2009.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</si>
  <si>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</si>
  <si>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</si>
  <si>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</si>
  <si>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</si>
  <si>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</si>
  <si>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</si>
  <si>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</si>
  <si>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</si>
  <si>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</si>
  <si>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</si>
  <si>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</si>
  <si>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</si>
  <si>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</si>
  <si>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</si>
  <si>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</si>
  <si>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</si>
  <si>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</si>
  <si>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</si>
  <si>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</si>
  <si>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</si>
  <si>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</si>
  <si>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</si>
  <si>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</si>
  <si>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</si>
  <si>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</si>
  <si>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</si>
  <si>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</si>
  <si>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</si>
  <si>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</si>
  <si>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</si>
  <si>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</si>
  <si>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</si>
  <si>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2009. évben induló beruh.</t>
  </si>
  <si>
    <t>Zsóry fürdő      2005.</t>
  </si>
  <si>
    <t>Fennálló hitel, kötvénytart.  2009. I. 1-jén</t>
  </si>
  <si>
    <t>2009. évi hitelfelvét.</t>
  </si>
  <si>
    <t>Hitel vissza-fizetési köt.</t>
  </si>
  <si>
    <t>Mindössz.</t>
  </si>
  <si>
    <t>13.sz. melléklet</t>
  </si>
  <si>
    <t>K I M U T A T Á S</t>
  </si>
  <si>
    <t>Mezőkövesd város önkormányzata által 2009.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</si>
  <si>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</si>
  <si>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</si>
  <si>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</si>
  <si>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</si>
  <si>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</si>
  <si>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</si>
  <si>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</si>
  <si>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</si>
  <si>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2009.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</si>
  <si>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</si>
  <si>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</si>
  <si>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</si>
  <si>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</si>
  <si>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54/2004. (XII.16.) ÖK. sz. rend. 7. § (2) bek. 25 %-os kedv. </t>
  </si>
  <si>
    <t xml:space="preserve">Adókedvezmény, mentesség gépjárműadónál: </t>
  </si>
  <si>
    <t>1991. évi LXXXII. tv. Mozgáskorl. mentesség +költségvetési szervek egyházak, stb.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</si>
  <si>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</si>
  <si>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</si>
  <si>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7.§.(2) bekezdése alapján azt a vállalkozót</t>
  </si>
  <si>
    <t xml:space="preserve">akinek a vállalozási szintű adóalapja nem haladja meg az 1 millió Ft-ot 25%-os mértékű adókedvezmény </t>
  </si>
  <si>
    <t>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</si>
  <si>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</si>
  <si>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</si>
  <si>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</si>
  <si>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2009. évre tervezett változásáról</t>
  </si>
  <si>
    <t xml:space="preserve">M e g n e v e z é s </t>
  </si>
  <si>
    <t>Kv-i elsz.</t>
  </si>
  <si>
    <t>Nyitó pénzkészlet 2009. január 1-jén</t>
  </si>
  <si>
    <t xml:space="preserve">Összes bevétel tervezett összege </t>
  </si>
  <si>
    <t xml:space="preserve">Összes kiadás tervezett összege </t>
  </si>
  <si>
    <t>Záró pénzkészlet tervezett összege 2009.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</si>
  <si>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</si>
  <si>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</si>
  <si>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</si>
  <si>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2009.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</si>
  <si>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</si>
  <si>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</si>
  <si>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</si>
  <si>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</si>
  <si>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</si>
  <si>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</si>
  <si>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</si>
  <si>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</si>
  <si>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</si>
  <si>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</si>
  <si>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</si>
  <si>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</si>
  <si>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</si>
  <si>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</si>
  <si>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</si>
  <si>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</si>
  <si>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</si>
  <si>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</si>
  <si>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</si>
  <si>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</si>
  <si>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</si>
  <si>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2009.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</si>
  <si>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</si>
  <si>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</si>
  <si>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</si>
  <si>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</si>
  <si>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</si>
  <si>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</si>
  <si>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</si>
  <si>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</si>
  <si>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</si>
  <si>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</si>
  <si>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</si>
  <si>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</si>
  <si>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</si>
  <si>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</si>
  <si>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</si>
  <si>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</si>
  <si>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</si>
  <si>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</si>
  <si>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</si>
  <si>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</si>
  <si>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</si>
  <si>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</si>
  <si>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2009.január 1-jén </t>
  </si>
  <si>
    <t>Összes bevétel összege</t>
  </si>
  <si>
    <t>Összes kiadás összege</t>
  </si>
  <si>
    <t xml:space="preserve">Záró pénzkészlet 2009. dec. 31-én </t>
  </si>
  <si>
    <t>20.sz. melléklet</t>
  </si>
  <si>
    <t>Több éves kihatással járó döntések számszerűsítése</t>
  </si>
  <si>
    <t>Mköv. Szennyv. A. támogatására Ny-i vár.r.</t>
  </si>
  <si>
    <t>Ö S S Z E S E N :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</si>
  <si>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</si>
  <si>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</si>
  <si>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2007-2008-2009. években felhasználási kötöttség nélkül</t>
  </si>
  <si>
    <t>megillető normatív támogatás</t>
  </si>
  <si>
    <t>eFt</t>
  </si>
  <si>
    <t>Jogcím megnevezése</t>
  </si>
  <si>
    <t>2007.tény</t>
  </si>
  <si>
    <t>2008.tény</t>
  </si>
  <si>
    <t>2009.terv</t>
  </si>
  <si>
    <t>Települési, igazgatási, kommunális feladatok</t>
  </si>
  <si>
    <r>
      <t xml:space="preserve">  (17603*1380) </t>
    </r>
    <r>
      <rPr>
        <sz val="10"/>
        <rFont val="Arial"/>
        <family val="2"/>
      </rPr>
      <t>(17520*1430)</t>
    </r>
    <r>
      <rPr>
        <b/>
        <sz val="10"/>
        <rFont val="Arial CE"/>
        <family val="2"/>
      </rPr>
      <t>17389*1057</t>
    </r>
  </si>
  <si>
    <t>Települési sportfeladatok támog. 17389*500</t>
  </si>
  <si>
    <r>
      <t xml:space="preserve">Körjegyz. műk alaphzj. </t>
    </r>
    <r>
      <rPr>
        <i/>
        <sz val="9"/>
        <rFont val="Arial CE"/>
        <family val="2"/>
      </rPr>
      <t>(12*370000) (12*370000)</t>
    </r>
    <r>
      <rPr>
        <b/>
        <sz val="9"/>
        <rFont val="Arial CE"/>
        <family val="2"/>
      </rPr>
      <t>12*300000</t>
    </r>
  </si>
  <si>
    <t>Üdülőhelyi feladatok</t>
  </si>
  <si>
    <r>
      <t xml:space="preserve">   </t>
    </r>
    <r>
      <rPr>
        <sz val="10"/>
        <rFont val="Arial CE"/>
        <family val="2"/>
      </rPr>
      <t>(12.000.000*2) (14.000.000*</t>
    </r>
    <r>
      <rPr>
        <i/>
        <sz val="10"/>
        <rFont val="Arial CE"/>
        <family val="2"/>
      </rPr>
      <t>2)</t>
    </r>
    <r>
      <rPr>
        <b/>
        <i/>
        <sz val="10"/>
        <rFont val="Arial CE"/>
        <family val="2"/>
      </rPr>
      <t>16.000.000*2</t>
    </r>
  </si>
  <si>
    <t>Bentlakásos és átmeneti elh. nyújtó intézményi ellátás</t>
  </si>
  <si>
    <r>
      <t xml:space="preserve">    </t>
    </r>
    <r>
      <rPr>
        <sz val="10"/>
        <rFont val="Arial CE"/>
        <family val="2"/>
      </rPr>
      <t>(55*700000)</t>
    </r>
  </si>
  <si>
    <t>Nappali szociális intézeti ellátás (30*150.000)</t>
  </si>
  <si>
    <r>
      <t xml:space="preserve">Bölcsődei ellátás   </t>
    </r>
    <r>
      <rPr>
        <sz val="10"/>
        <rFont val="Arial CE"/>
        <family val="2"/>
      </rPr>
      <t xml:space="preserve">(48*547.000) (56*547000) </t>
    </r>
    <r>
      <rPr>
        <b/>
        <sz val="10"/>
        <rFont val="Arial CE"/>
        <family val="2"/>
      </rPr>
      <t>56*540150</t>
    </r>
  </si>
  <si>
    <r>
      <t xml:space="preserve">Ingyenes bölcsődei étk. </t>
    </r>
    <r>
      <rPr>
        <sz val="10"/>
        <rFont val="Arial CE"/>
        <family val="2"/>
      </rPr>
      <t>(6*50000)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(10*50000)</t>
    </r>
    <r>
      <rPr>
        <b/>
        <sz val="10"/>
        <rFont val="Arial CE"/>
        <family val="2"/>
      </rPr>
      <t xml:space="preserve"> 19*65000</t>
    </r>
  </si>
  <si>
    <r>
      <t xml:space="preserve">Óvodai nev.alaphzj </t>
    </r>
    <r>
      <rPr>
        <sz val="8"/>
        <rFont val="Arial CE"/>
        <family val="2"/>
      </rPr>
      <t>(453*199.000)(</t>
    </r>
    <r>
      <rPr>
        <i/>
        <sz val="8"/>
        <rFont val="Arial CE"/>
        <family val="2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</si>
  <si>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</si>
  <si>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10"/>
        <rFont val="Arial CE"/>
        <family val="2"/>
      </rPr>
      <t>-</t>
    </r>
    <r>
      <rPr>
        <sz val="10"/>
        <rFont val="Arial CE"/>
        <family val="2"/>
      </rPr>
      <t>nevelési év 111*2550000*8/12</t>
    </r>
  </si>
  <si>
    <t>Óvodai nev. alaphzj.(2007.szept.1-től  8,3*2550000*4/12 1.nev.év.) 2-3-nevelési év 358*2550000*8/13</t>
  </si>
  <si>
    <r>
      <t xml:space="preserve">Óvodai nev. alaphzj.(2007.szept.1-től  8,3*2550000*4/12 1.nev.év.) 1-2 nevelési év </t>
    </r>
    <r>
      <rPr>
        <sz val="8"/>
        <rFont val="Arial CE"/>
        <family val="2"/>
      </rPr>
      <t>(105*2550000*4/12)</t>
    </r>
  </si>
  <si>
    <t>Óvodai nev. alaphzj.(2007.szept.1-től  8,3*2550000*4/12 1.nev.év.)3-nevelési év 350*2550000*4/12</t>
  </si>
  <si>
    <t xml:space="preserve">Óvodai nev. alaphzj.1-3-nevelési év </t>
  </si>
  <si>
    <t>Alaphzj.2007.szept.1-től 32,4*2550000*4/12 2-3.nev.év.</t>
  </si>
  <si>
    <t>Óvodai gyógyped.ellát.</t>
  </si>
  <si>
    <t>beszéd, enyhe ért.fogy.pszichés fejl.zavar integrált nev. 3*417600*8/12</t>
  </si>
  <si>
    <t>beszéd, enyhe ért.fogy.integrált nev. 1*192000*4/12</t>
  </si>
  <si>
    <r>
      <t>Isk.okt.alaph.1-4évf.</t>
    </r>
    <r>
      <rPr>
        <b/>
        <i/>
        <sz val="8"/>
        <rFont val="Arial CE"/>
        <family val="2"/>
      </rPr>
      <t>(</t>
    </r>
    <r>
      <rPr>
        <sz val="8"/>
        <rFont val="Arial CE"/>
        <family val="2"/>
      </rPr>
      <t>491*204.000(</t>
    </r>
    <r>
      <rPr>
        <b/>
        <i/>
        <sz val="8"/>
        <rFont val="Arial CE"/>
        <family val="2"/>
      </rPr>
      <t>)</t>
    </r>
    <r>
      <rPr>
        <sz val="8"/>
        <rFont val="Arial CE"/>
        <family val="2"/>
      </rPr>
      <t>453*204.000*8/12)</t>
    </r>
  </si>
  <si>
    <t>Isk.okt.alaph.1évf.132*2550000*8/12</t>
  </si>
  <si>
    <t>Isk.okt.alaph.2-3évf.260*2550000*8/12</t>
  </si>
  <si>
    <t>Isk.okt.alaph.4évf.173*2550000*8/12</t>
  </si>
  <si>
    <t>Isk.okt.alaph.1-2.évf.269*2550000*4/12</t>
  </si>
  <si>
    <t>Isk.okt.alaph.3évf.118*2550000*4/12</t>
  </si>
  <si>
    <t>Isk.okt.alaph.4évf.139*2550000*4/12</t>
  </si>
  <si>
    <t>Isk.okt.alaph.1-2.évf. (2009)</t>
  </si>
  <si>
    <t>Isk.okt.alaph.3évf. (2009)</t>
  </si>
  <si>
    <t>Isk.okt.alaph.4évf. (2009)</t>
  </si>
  <si>
    <t>Alaphzj.2007.szept.1-től 6,1*2550000*4/12  1.évf.</t>
  </si>
  <si>
    <t>Alaphzj.2007.szept.1-től 14,4*2550000*4/12  2-3.évf.</t>
  </si>
  <si>
    <t>Alaphzj.2007.szept.1-től 10,1*2550000*4/12  4.évf.</t>
  </si>
  <si>
    <t>sajátos nev.ig. 1-4.név (testi, érzékszervi, autista, értelmi fogy.) 2*603,200*8/12</t>
  </si>
  <si>
    <t>beszéd, enyhe ért.fogy.pszichés fejl.zavar integrált nev.      1-4. Évf.8*417600*8/12</t>
  </si>
  <si>
    <t>beszéd, enyhe ért.fogy.pszichés fejl.zavar integrált nev.      1-4. Évf. külön szerv. Csopr. 13*371200*8/12</t>
  </si>
  <si>
    <t>sajátos nev.ig. 1-4.név (testi, érzékszervi, autista, értelmi fogy.) 1*384000*4/12</t>
  </si>
  <si>
    <t>beszéd, enyhe ért.fogy. integrált nev.      1-4. Évf. külön szerv. Csopr. 8*192000*4/12</t>
  </si>
  <si>
    <t>beszéd, enyhe ért.fogy. integrált nev. többivel     1-4. Évf. 5*192000*4/13</t>
  </si>
  <si>
    <t>2009. terv</t>
  </si>
  <si>
    <r>
      <t>Isk.okt.alaph.5-8.évf. (</t>
    </r>
    <r>
      <rPr>
        <sz val="10"/>
        <rFont val="Arial CE"/>
        <family val="2"/>
      </rPr>
      <t>578*212000*8/12)</t>
    </r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</si>
  <si>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</si>
  <si>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</si>
  <si>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</si>
  <si>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</t>
  </si>
  <si>
    <t>Iskolai okt.7-8. Évfolyam (330*2550000*4/12)</t>
  </si>
  <si>
    <t>Iskolai okt.5-6. Évfolyam (2009)</t>
  </si>
  <si>
    <t>Iskolai okt.7. Évfolyam (2009)</t>
  </si>
  <si>
    <t>Iskolai okt.8. Évfolyam (2009)</t>
  </si>
  <si>
    <t>Alaphzj.2007.szept.1-től 9,4*2550000*4/12 5.évf.</t>
  </si>
  <si>
    <t>Alaphzj.2007.szept.1-től  13,7*2550000*4/12 6.évf.</t>
  </si>
  <si>
    <t>Alaphzj.2007.szept.1-től 25,9*2550000*4/12 7-8évf.</t>
  </si>
  <si>
    <t>sajátos nev.ig. 5-8.név (testi, érzékszervi, autista, értelmi fogy.) 4*603,200*8/12</t>
  </si>
  <si>
    <t>beszéd, enyhe ért.fogy.pszichés fejl.zavar integrált nev.      5-8. Évf.11*417600*8/12</t>
  </si>
  <si>
    <t>beszéd, enyhe ért.fogy.pszichés fejl.zavar integrált nev.      5-8. Évf. külön szerv. Csopr. 21*371200*8/12</t>
  </si>
  <si>
    <t>sajátos nev.ig. 5-8.név (testi, érzékszervi, autista, értelmi fogy.) 4*384000*4/12</t>
  </si>
  <si>
    <t>beszéd, enyhe ért.fogy. integrált nev. többivel     5-8. Évf. 5*192000*4/13</t>
  </si>
  <si>
    <t>beszéd, enyhe ért.fogy.integrált nev.      5-8. Évf. külön szerv. Csopr. 22*192000*4/12</t>
  </si>
  <si>
    <t>sajátos.nev.igényű tan.nev.okt.2*240000*4/12</t>
  </si>
  <si>
    <t>sajátos.nev.igényű tan.nev.okt.(2009)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</si>
  <si>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</si>
  <si>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</si>
  <si>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</si>
  <si>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</si>
  <si>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tan.(2009)</t>
  </si>
  <si>
    <t>Viselkedés fejlődésének organikus okokra vissza nem vez.tartós és súlyos rendell. Miatt sajátos nev.ig. tan. 30*144000*4/12</t>
  </si>
  <si>
    <r>
      <t>Isk.okt.9-13 évf(</t>
    </r>
    <r>
      <rPr>
        <i/>
        <sz val="8"/>
        <rFont val="Arial CE"/>
        <family val="2"/>
      </rPr>
      <t>1255*262000*8/12)</t>
    </r>
  </si>
  <si>
    <t>Alaphzj.2007.szept.1-től 31,6*2550000*4/12 9.évf.</t>
  </si>
  <si>
    <t>Alaphzj.2007.szept.1-től 33,2*2550000*4/12 10.évf.</t>
  </si>
  <si>
    <t>Alaphzj.2007.szept.1-től 54,5*2550000*4/12 11-13.évf.</t>
  </si>
  <si>
    <t>Isk. okt. 9. Évf.341*2550000*8/12</t>
  </si>
  <si>
    <t>Isk. okt. 10. Évf.362*2550000*8/12</t>
  </si>
  <si>
    <t>Isk. okt.11-139. Évf.508*2550000*8/12</t>
  </si>
  <si>
    <t>Isk.okt.9-10. Évf. 730*2550000*4/12</t>
  </si>
  <si>
    <t>Isk.okt.9-10. Évf. (2009)</t>
  </si>
  <si>
    <t>Isk.okt.11-13. Évf. 549*2550000*4/12</t>
  </si>
  <si>
    <t>Isk.okt.11. Évf.(2009)</t>
  </si>
  <si>
    <t>Isk.okt.12-13. Évf. (2009)</t>
  </si>
  <si>
    <r>
      <t>Isk.szak</t>
    </r>
    <r>
      <rPr>
        <sz val="8"/>
        <rFont val="Arial CE"/>
        <family val="2"/>
      </rPr>
      <t>.(szakm.elm)(</t>
    </r>
    <r>
      <rPr>
        <i/>
        <sz val="8"/>
        <rFont val="Arial CE"/>
        <family val="2"/>
      </rPr>
      <t>305*210000*8/12)</t>
    </r>
  </si>
  <si>
    <t>Alaphzj.2007.szept.1-től 13,7*2550000*4/12 (felzárkózt. 9. Évf., szakisk. 1/11évf., szakközisk. 1/13évf.)</t>
  </si>
  <si>
    <t>Alaphzj.2007.szept.1-től 10,4*2550000*4/12 ( szakisk. 1/12évf., szakközisk. 1/14évf.)</t>
  </si>
  <si>
    <t>Isk. szak. Szakmai elm. Okt.9. Éfv.185*2550000*8/12</t>
  </si>
  <si>
    <t>Isk. szak. Szakmai elm. Okt.10-11-12. Éfv.136*2550000*8/12</t>
  </si>
  <si>
    <t>Isk.szak.szakm.elm.okt. 9.évf-10.évf. 315*2550000*4/12</t>
  </si>
  <si>
    <t>Isk.szak.szakm.elm.okt. 11.évf-12.évf. 35*2550000*4/12</t>
  </si>
  <si>
    <r>
      <t>Isk. gyak. Okt.9-10.évf (121*40000) (</t>
    </r>
    <r>
      <rPr>
        <i/>
        <sz val="10"/>
        <rFont val="Arial CE"/>
        <family val="2"/>
      </rPr>
      <t>215*40000*8/12)</t>
    </r>
  </si>
  <si>
    <r>
      <t>Isk. gyak. Okt.9-10.évf (121*40000) (</t>
    </r>
    <r>
      <rPr>
        <i/>
        <sz val="10"/>
        <rFont val="Arial CE"/>
        <family val="2"/>
      </rPr>
      <t>205*40000*4/12)</t>
    </r>
  </si>
  <si>
    <t>Isk.szak(szakm.gyak)(12*112000) (6*112000*4/12)</t>
  </si>
  <si>
    <t>Isk.szak(szakm.gyak)(2009)</t>
  </si>
  <si>
    <r>
      <t>Isk.szak. (szak.gyak.) (</t>
    </r>
    <r>
      <rPr>
        <sz val="10"/>
        <rFont val="Arial CE"/>
        <family val="2"/>
      </rPr>
      <t>71*156800) (77*156800*8/12)</t>
    </r>
  </si>
  <si>
    <r>
      <t>Isk.szak. (szak.gyak.)</t>
    </r>
    <r>
      <rPr>
        <i/>
        <sz val="10"/>
        <rFont val="Arial CE"/>
        <family val="2"/>
      </rPr>
      <t xml:space="preserve"> (</t>
    </r>
    <r>
      <rPr>
        <sz val="10"/>
        <rFont val="Arial CE"/>
        <family val="2"/>
      </rPr>
      <t>75*156800*4/12)</t>
    </r>
  </si>
  <si>
    <r>
      <t>Isk.szak(szakm gyak)(</t>
    </r>
    <r>
      <rPr>
        <sz val="10"/>
        <rFont val="Arial CE"/>
        <family val="2"/>
      </rPr>
      <t>156*22,400) (121*22400*8/12)</t>
    </r>
  </si>
  <si>
    <r>
      <t>Isk.szak(szakm gyak)(</t>
    </r>
    <r>
      <rPr>
        <sz val="10"/>
        <rFont val="Arial CE"/>
        <family val="2"/>
      </rPr>
      <t>120*22400*4/12)</t>
    </r>
  </si>
  <si>
    <r>
      <t>Iskol.szak. záró évf. képz. (</t>
    </r>
    <r>
      <rPr>
        <sz val="10"/>
        <rFont val="Arial CE"/>
        <family val="2"/>
      </rPr>
      <t>46*67200) (63*67200*8/12)</t>
    </r>
  </si>
  <si>
    <r>
      <t xml:space="preserve">Iskol.szak. záró évf. képz. </t>
    </r>
    <r>
      <rPr>
        <sz val="10"/>
        <rFont val="Arial CE"/>
        <family val="2"/>
      </rPr>
      <t xml:space="preserve"> (60*67200*4/12)</t>
    </r>
  </si>
  <si>
    <r>
      <t xml:space="preserve">Gyógypedagógiai nev. visszahely. </t>
    </r>
    <r>
      <rPr>
        <b/>
        <sz val="10"/>
        <rFont val="Arial CE"/>
        <family val="2"/>
      </rPr>
      <t>1*144000*8/12</t>
    </r>
    <r>
      <rPr>
        <sz val="10"/>
        <rFont val="Arial"/>
        <family val="2"/>
      </rPr>
      <t xml:space="preserve"> </t>
    </r>
  </si>
  <si>
    <t xml:space="preserve">Gyógyped.ell.1-4.oszt.alap </t>
  </si>
  <si>
    <t xml:space="preserve">gyógyped. Ell. 1-4.oszt. kieg </t>
  </si>
  <si>
    <t xml:space="preserve">Gyógyped. Ell. 5-8.oszt. Alap </t>
  </si>
  <si>
    <t xml:space="preserve">gyógyped. Ell. 5-8.oszt. kieg </t>
  </si>
  <si>
    <r>
      <t>Korai fejl gond.</t>
    </r>
    <r>
      <rPr>
        <i/>
        <sz val="10"/>
        <rFont val="Arial CE"/>
        <family val="2"/>
      </rPr>
      <t>( 5*240.000) (10*240000)</t>
    </r>
  </si>
  <si>
    <r>
      <t xml:space="preserve">Fejlesztő felkészítés </t>
    </r>
    <r>
      <rPr>
        <sz val="10"/>
        <rFont val="Arial CE"/>
        <family val="2"/>
      </rPr>
      <t>(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3*325000)(2*325000)</t>
    </r>
  </si>
  <si>
    <r>
      <t>Alapf.műv.zenem.ág.(295*105000)</t>
    </r>
    <r>
      <rPr>
        <b/>
        <sz val="9"/>
        <rFont val="Arial CE"/>
        <family val="2"/>
      </rPr>
      <t xml:space="preserve"> (</t>
    </r>
    <r>
      <rPr>
        <sz val="9"/>
        <rFont val="Arial CE"/>
        <family val="2"/>
      </rPr>
      <t>252*105000*8/12)</t>
    </r>
  </si>
  <si>
    <r>
      <t>Képzőm, táncm (144*50000*8/12/8*6)</t>
    </r>
    <r>
      <rPr>
        <i/>
        <sz val="8"/>
        <rFont val="Arial CE"/>
        <family val="2"/>
      </rPr>
      <t xml:space="preserve"> (152*40000*8/12)</t>
    </r>
  </si>
  <si>
    <t>Alapf.zeneműv. 275*2550000*4/12</t>
  </si>
  <si>
    <t>Képző, taáncműv.okt. 152*2500000*4/12</t>
  </si>
  <si>
    <t>Képző .min.int.zene 275*51000*4/12</t>
  </si>
  <si>
    <t>Képző .min.int.zene (2009)</t>
  </si>
  <si>
    <t>Képző.min.int.képző 152*20000*4/12</t>
  </si>
  <si>
    <t>Képző.min.int.képző (2009)</t>
  </si>
  <si>
    <r>
      <t>Bentl kollég ell(</t>
    </r>
    <r>
      <rPr>
        <sz val="10"/>
        <rFont val="Arial CE"/>
        <family val="2"/>
      </rPr>
      <t>103*318.000)99*318000) 78*318000*8/12</t>
    </r>
  </si>
  <si>
    <r>
      <t>Bentl kollég ell</t>
    </r>
    <r>
      <rPr>
        <sz val="10"/>
        <rFont val="Arial CE"/>
        <family val="2"/>
      </rPr>
      <t xml:space="preserve"> 78*2550000*4/12</t>
    </r>
  </si>
  <si>
    <r>
      <t>Kollég.lakhatási feltételek megt</t>
    </r>
    <r>
      <rPr>
        <sz val="8"/>
        <rFont val="Arial CE"/>
        <family val="2"/>
      </rPr>
      <t>.(78*186000*4/12)</t>
    </r>
    <r>
      <rPr>
        <b/>
        <sz val="9"/>
        <rFont val="Arial CE"/>
        <family val="2"/>
      </rPr>
      <t>72*186000*8/12</t>
    </r>
  </si>
  <si>
    <r>
      <t>Kollég.lakhatási feltételek megt</t>
    </r>
    <r>
      <rPr>
        <sz val="8"/>
        <rFont val="Arial CE"/>
        <family val="2"/>
      </rPr>
      <t xml:space="preserve">. </t>
    </r>
    <r>
      <rPr>
        <b/>
        <sz val="8"/>
        <rFont val="Arial CE"/>
        <family val="2"/>
      </rPr>
      <t>72*177000*4/12</t>
    </r>
  </si>
  <si>
    <r>
      <t>Ált.Isk. napk. Fogl.(</t>
    </r>
    <r>
      <rPr>
        <sz val="10"/>
        <rFont val="Arial CE"/>
        <family val="2"/>
      </rPr>
      <t>375*23000) 534*23000*8/12)</t>
    </r>
  </si>
  <si>
    <t>Ált.isk.napk. 1-4.évf. 391*2550000*4/12</t>
  </si>
  <si>
    <t>Ált.isk.napk. 5-8.évf. 140*2550000*4/12</t>
  </si>
  <si>
    <t>Ált.isk.napk. 1-4.évf. (2009)</t>
  </si>
  <si>
    <t>Ált.isk.napk. 5-8.évf. (2009)</t>
  </si>
  <si>
    <r>
      <t>Különl.helyz.lévő tan.(</t>
    </r>
    <r>
      <rPr>
        <i/>
        <sz val="10"/>
        <rFont val="Arial CE"/>
        <family val="2"/>
      </rPr>
      <t>50*20500*8/12)</t>
    </r>
  </si>
  <si>
    <r>
      <t>roma kisebbségi okt. magyar nyelven (</t>
    </r>
    <r>
      <rPr>
        <i/>
        <sz val="10"/>
        <rFont val="Arial CE"/>
        <family val="2"/>
      </rPr>
      <t>14*45000)</t>
    </r>
  </si>
  <si>
    <r>
      <t>Nyelvi felkészítő tanf.</t>
    </r>
    <r>
      <rPr>
        <sz val="10"/>
        <rFont val="Arial CE"/>
        <family val="2"/>
      </rPr>
      <t>61*71500 49*71500*8/12</t>
    </r>
  </si>
  <si>
    <r>
      <t>Nyelvi felkészítő tanf.(</t>
    </r>
    <r>
      <rPr>
        <sz val="10"/>
        <rFont val="Arial CE"/>
        <family val="2"/>
      </rPr>
      <t>35*71500*4/12)</t>
    </r>
  </si>
  <si>
    <t xml:space="preserve"> Kedvezményes étkeztetés  óvoda (173*550009</t>
  </si>
  <si>
    <t xml:space="preserve">                                         ált. iskola (235*55000)</t>
  </si>
  <si>
    <t xml:space="preserve">                                         középisk, szakközép (75*55000)</t>
  </si>
  <si>
    <t xml:space="preserve">                                         gimnázium</t>
  </si>
  <si>
    <t xml:space="preserve">                                         szakközépiskola</t>
  </si>
  <si>
    <t xml:space="preserve">                                         kollégium (44*55000)</t>
  </si>
  <si>
    <t xml:space="preserve"> kieg.hzj. Rsz-es gyvt. Kedv. Részesülő 5.éf. Áltisk.ingy.étk. (27*16000)</t>
  </si>
  <si>
    <t>50%-os tér.d. (óvóda, isk,.koll. Tartós beteg, )50*55000</t>
  </si>
  <si>
    <t>50%-os tér.d.(óvóda, isk,.koll. 3 és több gyerm.)255*55000</t>
  </si>
  <si>
    <t>50%-os tér.d.( 5.évf-tól isk. okt. szakk.rensz. Gyvt.)300*55000</t>
  </si>
  <si>
    <t xml:space="preserve"> 100%-os tér díj.kedv.óvod (103*55000)</t>
  </si>
  <si>
    <r>
      <t xml:space="preserve"> 100%-os tér díj.kedv.1-4 évf. rendsz. Gyvt. (150</t>
    </r>
    <r>
      <rPr>
        <i/>
        <sz val="10"/>
        <rFont val="Arial CE"/>
        <family val="2"/>
      </rPr>
      <t>*55000)</t>
    </r>
  </si>
  <si>
    <r>
      <t xml:space="preserve">Bejáró tan.1-4. Évf. ( </t>
    </r>
    <r>
      <rPr>
        <sz val="10"/>
        <rFont val="Arial CE"/>
        <family val="2"/>
      </rPr>
      <t>38*15.000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38*15000*8/12</t>
    </r>
  </si>
  <si>
    <r>
      <t xml:space="preserve">                5-8. Évf.( </t>
    </r>
    <r>
      <rPr>
        <sz val="10"/>
        <rFont val="Arial CE"/>
        <family val="2"/>
      </rPr>
      <t>86*15.000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55*15000*8/12</t>
    </r>
  </si>
  <si>
    <r>
      <t xml:space="preserve">                óvodás (</t>
    </r>
    <r>
      <rPr>
        <sz val="10"/>
        <rFont val="Arial CE"/>
        <family val="2"/>
      </rPr>
      <t>4*15.000)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7*15000*8/12</t>
    </r>
  </si>
  <si>
    <r>
      <t xml:space="preserve">                9-13. Évf.</t>
    </r>
    <r>
      <rPr>
        <sz val="10"/>
        <rFont val="Arial CE"/>
        <family val="2"/>
      </rPr>
      <t>609*15000</t>
    </r>
  </si>
  <si>
    <r>
      <t xml:space="preserve">                iskolai szak.(178*9800) (</t>
    </r>
    <r>
      <rPr>
        <sz val="10"/>
        <rFont val="Arial CE"/>
        <family val="2"/>
      </rPr>
      <t>149*15.000) 178*15000</t>
    </r>
  </si>
  <si>
    <r>
      <t xml:space="preserve">Bejáró tanuló (805*15000*8/12) </t>
    </r>
    <r>
      <rPr>
        <b/>
        <sz val="10"/>
        <rFont val="Arial CE"/>
        <family val="2"/>
      </rPr>
      <t>901*18000*8/12</t>
    </r>
  </si>
  <si>
    <r>
      <t xml:space="preserve">Bejáró tanuló (820*18000*4/12) </t>
    </r>
    <r>
      <rPr>
        <b/>
        <sz val="10"/>
        <rFont val="Arial CE"/>
        <family val="2"/>
      </rPr>
      <t>926*18000*4/12</t>
    </r>
  </si>
  <si>
    <r>
      <t xml:space="preserve">Intfent. társ. ált. isk.(50*45000) </t>
    </r>
    <r>
      <rPr>
        <sz val="10"/>
        <rFont val="Arial CE"/>
        <family val="2"/>
      </rPr>
      <t>63*45.000) 162*45000*8/12</t>
    </r>
  </si>
  <si>
    <r>
      <t>Intfent. társ. ált. isk. bejáró1-4 évf. 29*45000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68*45000*4/12</t>
    </r>
  </si>
  <si>
    <r>
      <t>Intfent. társ. ált. isk. bejáró5. Évf.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(23*45000*4/12)</t>
    </r>
    <r>
      <rPr>
        <b/>
        <sz val="8"/>
        <rFont val="Arial CE"/>
        <family val="2"/>
      </rPr>
      <t>21*45000*8/12</t>
    </r>
  </si>
  <si>
    <r>
      <t>Intfent. társ. ált. isk. bejáró6-8. Évf</t>
    </r>
    <r>
      <rPr>
        <b/>
        <i/>
        <sz val="10"/>
        <rFont val="Arial CE"/>
        <family val="2"/>
      </rPr>
      <t>.</t>
    </r>
    <r>
      <rPr>
        <sz val="8"/>
        <rFont val="Arial CE"/>
        <family val="2"/>
      </rPr>
      <t>(68*45000*4/12)69*45000*8/12</t>
    </r>
  </si>
  <si>
    <t>Intfent. társ. ált. isk. bejáró1-4 évf.(2009)</t>
  </si>
  <si>
    <t>Intfent. társ. ált. isk. bejáró5-6. Évf. (2009)</t>
  </si>
  <si>
    <t>Intfent. társ. ált. isk. bejáró7-8. Évf.(2009)</t>
  </si>
  <si>
    <r>
      <t>Helyi közm.közgy felad.(17603*1135)(17520*1135)</t>
    </r>
    <r>
      <rPr>
        <b/>
        <sz val="9"/>
        <rFont val="Arial CE"/>
        <family val="2"/>
      </rPr>
      <t>17389*1061</t>
    </r>
  </si>
  <si>
    <r>
      <t>Lakott területtel kapcs feladatok</t>
    </r>
    <r>
      <rPr>
        <sz val="10"/>
        <rFont val="Arial CE"/>
        <family val="2"/>
      </rPr>
      <t xml:space="preserve">( 44*3800) (44*3800) </t>
    </r>
    <r>
      <rPr>
        <b/>
        <sz val="10"/>
        <rFont val="Arial CE"/>
        <family val="2"/>
      </rPr>
      <t>44*3088</t>
    </r>
  </si>
  <si>
    <t>Körzeti igazgatási feladatok</t>
  </si>
  <si>
    <t xml:space="preserve"> -körzetközpont</t>
  </si>
  <si>
    <r>
      <t xml:space="preserve"> -okmányir.munkaáll.(36252x 504)(39886*513)</t>
    </r>
    <r>
      <rPr>
        <b/>
        <sz val="10"/>
        <rFont val="Arial CE"/>
        <family val="2"/>
      </rPr>
      <t xml:space="preserve"> 39886*324</t>
    </r>
  </si>
  <si>
    <r>
      <t xml:space="preserve"> - körzetközpontnak gyám. ügy.felad (45326*280) </t>
    </r>
    <r>
      <rPr>
        <b/>
        <sz val="10"/>
        <rFont val="Arial CE"/>
        <family val="2"/>
      </rPr>
      <t>45326*270</t>
    </r>
  </si>
  <si>
    <r>
      <t xml:space="preserve"> - körzetközpontnak ép. ügy.felad alap hzj.(45301*50)</t>
    </r>
    <r>
      <rPr>
        <b/>
        <sz val="10"/>
        <rFont val="Arial CE"/>
        <family val="2"/>
      </rPr>
      <t>45301*70</t>
    </r>
  </si>
  <si>
    <r>
      <t xml:space="preserve"> - körzetközpontnak ép. ügy.felad kieg.hzj(479 *7700)</t>
    </r>
    <r>
      <rPr>
        <b/>
        <sz val="10"/>
        <rFont val="Arial CE"/>
        <family val="2"/>
      </rPr>
      <t>479*7737</t>
    </r>
  </si>
  <si>
    <t>Pénzbeni és termész. szoc. és gyerm.jóléti ellátások*********</t>
  </si>
  <si>
    <t>A lakáshoz jutás és a lakásfent. Felad. Ellátásához***********</t>
  </si>
  <si>
    <t>Szoc.és gyermekj.alaphzj.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</si>
  <si>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</si>
  <si>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</si>
  <si>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(11*92500)</t>
    </r>
    <r>
      <rPr>
        <b/>
        <sz val="9"/>
        <rFont val="Arial CE"/>
        <family val="2"/>
      </rPr>
      <t xml:space="preserve"> 70*90050</t>
    </r>
  </si>
  <si>
    <r>
      <t>Szoc.étkezés 2008-ban új ellátott nyugdíjmin.150%-300% közötti jöv (11*82000)</t>
    </r>
    <r>
      <rPr>
        <b/>
        <sz val="9"/>
        <rFont val="Arial CE"/>
        <family val="2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</si>
  <si>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Arial CE"/>
        <family val="2"/>
      </rPr>
      <t>10*63250</t>
    </r>
  </si>
  <si>
    <t xml:space="preserve">Házi segítségnyújtás (18*104800)20*111500) </t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</si>
  <si>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</si>
  <si>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</si>
  <si>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</si>
  <si>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 xml:space="preserve">Tanulók tank vás támog. </t>
  </si>
  <si>
    <r>
      <t>Kiegészítő tám. ingyenes tankönyvell</t>
    </r>
    <r>
      <rPr>
        <sz val="8"/>
        <rFont val="Arial CE"/>
        <family val="2"/>
      </rPr>
      <t xml:space="preserve"> (1289*10000)(1227*10000)</t>
    </r>
  </si>
  <si>
    <t xml:space="preserve">     1-4. évfolyam </t>
  </si>
  <si>
    <t xml:space="preserve">     5-8. Évfolyam </t>
  </si>
  <si>
    <t xml:space="preserve">    9-13 évfolyamon </t>
  </si>
  <si>
    <t xml:space="preserve">    nappali szakképz.tan. 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</si>
  <si>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</si>
  <si>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</si>
  <si>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</si>
  <si>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</si>
  <si>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</si>
  <si>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</si>
  <si>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Arial CE"/>
        <family val="2"/>
      </rPr>
      <t>(2800*1000)</t>
    </r>
    <r>
      <rPr>
        <b/>
        <i/>
        <sz val="10"/>
        <rFont val="Arial CE"/>
        <family val="2"/>
      </rPr>
      <t>1704*1000</t>
    </r>
  </si>
  <si>
    <t xml:space="preserve">Minőségfejlesztési feladatok           </t>
  </si>
  <si>
    <r>
      <t>Ped. szakm.szolg.(3281x720)( 3210*720).2099</t>
    </r>
    <r>
      <rPr>
        <b/>
        <i/>
        <sz val="10"/>
        <rFont val="Arial CE"/>
        <family val="2"/>
      </rPr>
      <t>*720*8/12</t>
    </r>
  </si>
  <si>
    <r>
      <t>Hozzájár.tömegkfelad(</t>
    </r>
    <r>
      <rPr>
        <sz val="10"/>
        <rFont val="Arial CE"/>
        <family val="2"/>
      </rPr>
      <t>17603*515)(17520*515)</t>
    </r>
    <r>
      <rPr>
        <b/>
        <sz val="10"/>
        <rFont val="Arial CE"/>
        <family val="2"/>
      </rPr>
      <t>17389*515</t>
    </r>
  </si>
  <si>
    <t>Felhasználási kötöttség nélküli normatív hozzájárulás</t>
  </si>
  <si>
    <t>2007-2008-2009. évi normatív  KÖTÖTT  felhasználású támogatások</t>
  </si>
  <si>
    <t>Önk. által szervezett közcélú foglalk. Támogatása********</t>
  </si>
  <si>
    <r>
      <t>Ped.szaksz.</t>
    </r>
    <r>
      <rPr>
        <sz val="8"/>
        <rFont val="Arial CE"/>
        <family val="2"/>
      </rPr>
      <t>( 8*1.020.000</t>
    </r>
    <r>
      <rPr>
        <i/>
        <sz val="8"/>
        <rFont val="Arial CE"/>
        <family val="2"/>
      </rPr>
      <t>)</t>
    </r>
    <r>
      <rPr>
        <sz val="8"/>
        <rFont val="Arial CE"/>
        <family val="2"/>
      </rPr>
      <t>(7*1020000)</t>
    </r>
    <r>
      <rPr>
        <b/>
        <sz val="8"/>
        <rFont val="Arial CE"/>
        <family val="2"/>
      </rPr>
      <t>8*1100000*8/12+8*970000*4/12</t>
    </r>
  </si>
  <si>
    <r>
      <t>Ped.szakv.tovább</t>
    </r>
    <r>
      <rPr>
        <sz val="8"/>
        <rFont val="Arial CE"/>
        <family val="2"/>
      </rPr>
      <t xml:space="preserve">(308*11700) </t>
    </r>
    <r>
      <rPr>
        <sz val="7"/>
        <rFont val="Arial CE"/>
        <family val="2"/>
      </rPr>
      <t>(303*11700)</t>
    </r>
    <r>
      <rPr>
        <b/>
        <sz val="7"/>
        <rFont val="Arial CE"/>
        <family val="2"/>
      </rPr>
      <t xml:space="preserve"> 301*11700*8/12+296*11700*4/12</t>
    </r>
  </si>
  <si>
    <r>
      <t>Szoc.továbbk szakv.(</t>
    </r>
    <r>
      <rPr>
        <sz val="10"/>
        <rFont val="Arial CE"/>
        <family val="2"/>
      </rPr>
      <t>38*9400) (18*9400)</t>
    </r>
    <r>
      <rPr>
        <b/>
        <sz val="10"/>
        <rFont val="Arial CE"/>
        <family val="2"/>
      </rPr>
      <t>18*9400</t>
    </r>
  </si>
  <si>
    <t>Diáksport támogatása</t>
  </si>
  <si>
    <t>Helyi önkormányzati hivatásos tűzoltóságok támogatása</t>
  </si>
  <si>
    <t xml:space="preserve">Személyi juttatáshoz </t>
  </si>
  <si>
    <r>
      <t>a./ készenl.szolg.( 59*3917582</t>
    </r>
    <r>
      <rPr>
        <i/>
        <sz val="10"/>
        <rFont val="Arial CE"/>
        <family val="2"/>
      </rPr>
      <t xml:space="preserve">) </t>
    </r>
    <r>
      <rPr>
        <sz val="10"/>
        <rFont val="Arial CE"/>
        <family val="2"/>
      </rPr>
      <t xml:space="preserve">(62*3920172) </t>
    </r>
    <r>
      <rPr>
        <b/>
        <sz val="10"/>
        <rFont val="Arial CE"/>
        <family val="2"/>
      </rPr>
      <t>66*3813425</t>
    </r>
  </si>
  <si>
    <r>
      <t>a./ tűzoltólakt.üzem.(1083*4717)(1083*4717)</t>
    </r>
    <r>
      <rPr>
        <b/>
        <sz val="10"/>
        <rFont val="Arial CE"/>
        <family val="2"/>
      </rPr>
      <t>1083*4897</t>
    </r>
  </si>
  <si>
    <r>
      <t>b./ járm. üzem, karb(84855*115) (84548*115)</t>
    </r>
    <r>
      <rPr>
        <b/>
        <sz val="10"/>
        <rFont val="Arial CE"/>
        <family val="2"/>
      </rPr>
      <t xml:space="preserve"> 87133*138</t>
    </r>
  </si>
  <si>
    <t>c./ különleges szerek kötelező műszaki felülvizsgálata, javítása</t>
  </si>
  <si>
    <r>
      <t xml:space="preserve">     (3*500.000)(3*500000) </t>
    </r>
    <r>
      <rPr>
        <b/>
        <sz val="10"/>
        <rFont val="Arial CE"/>
        <family val="2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</si>
  <si>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</si>
  <si>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</si>
  <si>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</si>
  <si>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</si>
  <si>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</si>
  <si>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</si>
  <si>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</si>
  <si>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</si>
  <si>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</si>
  <si>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</si>
  <si>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-Mező Ferenc Tagidkola energ.korsz</t>
  </si>
  <si>
    <t xml:space="preserve">              -Szennyvíz-csat.hálózat felj.</t>
  </si>
  <si>
    <t xml:space="preserve">              -Bárdos Lajos Tagiskola akadálym.</t>
  </si>
  <si>
    <t xml:space="preserve">              -Gyula úti orvosi rend. akadálym.</t>
  </si>
  <si>
    <t xml:space="preserve">              -Bayer Koll. akadálymentesítés</t>
  </si>
  <si>
    <t xml:space="preserve">              -Városi Rendelő akadályment</t>
  </si>
  <si>
    <t xml:space="preserve">              -I.sz. Tagóvoda akadályment</t>
  </si>
  <si>
    <t>Fejlesztési hitel (önkorm. saját forrás)</t>
  </si>
  <si>
    <t>Önkormányzati sajátforrás</t>
  </si>
  <si>
    <t>Bevételek összesen:</t>
  </si>
  <si>
    <t>Kiadások:</t>
  </si>
  <si>
    <t xml:space="preserve">              -Mező Ferenc Tagiskola energ.korsz</t>
  </si>
  <si>
    <t>Kiadás összesen:</t>
  </si>
  <si>
    <t>3. sz. tájékoztató</t>
  </si>
  <si>
    <t>Út - híd keret</t>
  </si>
  <si>
    <t>eFt-ban</t>
  </si>
  <si>
    <t>Dologi jellegű kiadások</t>
  </si>
  <si>
    <t xml:space="preserve">  2008. évi áthúzódó út-járda karb.</t>
  </si>
  <si>
    <t xml:space="preserve">  2009.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</si>
  <si>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</si>
  <si>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</si>
  <si>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</si>
  <si>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</si>
  <si>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</si>
  <si>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</si>
  <si>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</si>
  <si>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</si>
  <si>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</si>
  <si>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</si>
  <si>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2/e/1. sz. melléklet</t>
  </si>
  <si>
    <t>II/1.1. Normatív állami hozzájárulás részletezése</t>
  </si>
  <si>
    <t>Települési, igazgatási, kommunális feladatok 17389*1057</t>
  </si>
  <si>
    <t>Üdülőhelyi feladatok 16.000.000*2</t>
  </si>
  <si>
    <r>
      <t>Bölcsődei ellátás  (47x462.900 Ft) (</t>
    </r>
    <r>
      <rPr>
        <sz val="10"/>
        <rFont val="Arial CE"/>
        <family val="2"/>
      </rPr>
      <t>48*460.000)56*540150</t>
    </r>
  </si>
  <si>
    <r>
      <t>Ingyenes bölcsődei étk. (15fő*31500 )</t>
    </r>
    <r>
      <rPr>
        <sz val="10"/>
        <rFont val="Arial CE"/>
        <family val="2"/>
      </rPr>
      <t>(15*50.000)19*65000</t>
    </r>
  </si>
  <si>
    <t>II/1.1. Normatív állami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</si>
  <si>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</si>
  <si>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</si>
  <si>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</si>
  <si>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</si>
  <si>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8*970000</t>
  </si>
  <si>
    <t>Pedagógus szakvizsga és továbbképzés (303*11700</t>
  </si>
  <si>
    <t>Szociális továbbképzés szakvizsga   18 x 9.400 Ft</t>
  </si>
  <si>
    <t>Személyi juttatáshoz (59*3774700) 59*</t>
  </si>
  <si>
    <r>
      <t xml:space="preserve">a./ készenl.szolg.(59*3603785)( </t>
    </r>
    <r>
      <rPr>
        <sz val="10"/>
        <rFont val="Arial CE"/>
        <family val="2"/>
      </rPr>
      <t>59*3917582</t>
    </r>
    <r>
      <rPr>
        <b/>
        <i/>
        <sz val="10"/>
        <rFont val="Arial CE"/>
        <family val="2"/>
      </rPr>
      <t>) 66*3813425</t>
    </r>
  </si>
  <si>
    <r>
      <t>a./ tűzoltólakt.üzem.(</t>
    </r>
    <r>
      <rPr>
        <b/>
        <i/>
        <sz val="10"/>
        <rFont val="Arial CE"/>
        <family val="2"/>
      </rPr>
      <t>1083*4717)</t>
    </r>
    <r>
      <rPr>
        <sz val="10"/>
        <rFont val="Arial CE"/>
        <family val="2"/>
      </rPr>
      <t>1083*4717)</t>
    </r>
    <r>
      <rPr>
        <b/>
        <sz val="10"/>
        <rFont val="Arial CE"/>
        <family val="2"/>
      </rPr>
      <t>1083*4717</t>
    </r>
  </si>
  <si>
    <r>
      <t>b./ járm. üzem, karb(</t>
    </r>
    <r>
      <rPr>
        <sz val="10"/>
        <rFont val="Arial CE"/>
        <family val="2"/>
      </rPr>
      <t xml:space="preserve"> 86678*115</t>
    </r>
    <r>
      <rPr>
        <b/>
        <i/>
        <sz val="10"/>
        <rFont val="Arial CE"/>
        <family val="2"/>
      </rPr>
      <t>)8</t>
    </r>
    <r>
      <rPr>
        <sz val="10"/>
        <rFont val="Arial CE"/>
        <family val="2"/>
      </rPr>
      <t xml:space="preserve">4855*115) </t>
    </r>
    <r>
      <rPr>
        <b/>
        <sz val="10"/>
        <rFont val="Arial CE"/>
        <family val="2"/>
      </rPr>
      <t>87133*138</t>
    </r>
  </si>
  <si>
    <r>
      <t xml:space="preserve">     (2x500.000) (</t>
    </r>
    <r>
      <rPr>
        <sz val="10"/>
        <rFont val="Arial CE"/>
        <family val="2"/>
      </rPr>
      <t>2*500.000</t>
    </r>
    <r>
      <rPr>
        <b/>
        <i/>
        <sz val="10"/>
        <rFont val="Arial CE"/>
        <family val="2"/>
      </rPr>
      <t>)3*500000</t>
    </r>
  </si>
  <si>
    <t xml:space="preserve">e./ irodaszer, inform.eszk  (58*32380) (59x34893) </t>
  </si>
  <si>
    <t>1. 4. Kötött normatív támog. Össz.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</si>
</sst>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96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9" fillId="0" borderId="11" xfId="0" applyFont="1" applyBorder="1" applyAlignment="1">
      <alignment/>
    </xf>
    <xf numFmtId="3" fontId="0" fillId="0" borderId="18" xfId="0" applyNumberForma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29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4" fillId="0" borderId="2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29" fillId="0" borderId="30" xfId="0" applyFont="1" applyBorder="1" applyAlignment="1">
      <alignment/>
    </xf>
    <xf numFmtId="3" fontId="0" fillId="0" borderId="13" xfId="0" applyNumberFormat="1" applyBorder="1" applyAlignment="1">
      <alignment/>
    </xf>
    <xf numFmtId="0" fontId="29" fillId="0" borderId="31" xfId="0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32" xfId="0" applyFont="1" applyBorder="1" applyAlignment="1">
      <alignment/>
    </xf>
    <xf numFmtId="0" fontId="14" fillId="0" borderId="24" xfId="0" applyFont="1" applyBorder="1" applyAlignment="1">
      <alignment/>
    </xf>
    <xf numFmtId="3" fontId="0" fillId="0" borderId="0" xfId="0" applyNumberFormat="1" applyBorder="1" applyAlignment="1">
      <alignment/>
    </xf>
    <xf numFmtId="0" fontId="29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29" fillId="24" borderId="33" xfId="0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4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1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27" xfId="0" applyFont="1" applyBorder="1" applyAlignment="1">
      <alignment/>
    </xf>
    <xf numFmtId="0" fontId="23" fillId="0" borderId="0" xfId="0" applyFont="1" applyAlignment="1">
      <alignment/>
    </xf>
    <xf numFmtId="3" fontId="0" fillId="0" borderId="35" xfId="0" applyNumberFormat="1" applyBorder="1" applyAlignment="1">
      <alignment/>
    </xf>
    <xf numFmtId="0" fontId="29" fillId="0" borderId="32" xfId="0" applyFont="1" applyBorder="1" applyAlignment="1">
      <alignment/>
    </xf>
    <xf numFmtId="3" fontId="0" fillId="0" borderId="36" xfId="0" applyNumberFormat="1" applyBorder="1" applyAlignment="1">
      <alignment/>
    </xf>
    <xf numFmtId="0" fontId="31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7" xfId="0" applyFont="1" applyFill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Fill="1" applyBorder="1" applyAlignment="1">
      <alignment/>
    </xf>
    <xf numFmtId="0" fontId="29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29" fillId="0" borderId="24" xfId="0" applyFont="1" applyBorder="1" applyAlignment="1">
      <alignment/>
    </xf>
    <xf numFmtId="3" fontId="0" fillId="0" borderId="27" xfId="0" applyNumberFormat="1" applyBorder="1" applyAlignment="1">
      <alignment/>
    </xf>
    <xf numFmtId="0" fontId="29" fillId="24" borderId="30" xfId="0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29" fillId="24" borderId="27" xfId="0" applyFont="1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Border="1" applyAlignment="1">
      <alignment/>
    </xf>
    <xf numFmtId="3" fontId="23" fillId="0" borderId="35" xfId="0" applyNumberFormat="1" applyFont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29" fillId="24" borderId="27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7" xfId="0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3" fillId="0" borderId="38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3" fontId="0" fillId="0" borderId="33" xfId="0" applyNumberForma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29" fillId="0" borderId="15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/>
    </xf>
    <xf numFmtId="0" fontId="14" fillId="0" borderId="50" xfId="0" applyFont="1" applyBorder="1" applyAlignment="1">
      <alignment/>
    </xf>
    <xf numFmtId="0" fontId="29" fillId="24" borderId="30" xfId="0" applyFon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9" fillId="24" borderId="38" xfId="0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24" borderId="31" xfId="0" applyFont="1" applyFill="1" applyBorder="1" applyAlignment="1">
      <alignment/>
    </xf>
    <xf numFmtId="3" fontId="0" fillId="24" borderId="31" xfId="0" applyNumberFormat="1" applyFill="1" applyBorder="1" applyAlignment="1">
      <alignment/>
    </xf>
    <xf numFmtId="0" fontId="29" fillId="0" borderId="50" xfId="0" applyFont="1" applyBorder="1" applyAlignment="1">
      <alignment/>
    </xf>
    <xf numFmtId="3" fontId="0" fillId="24" borderId="37" xfId="0" applyNumberFormat="1" applyFill="1" applyBorder="1" applyAlignment="1">
      <alignment/>
    </xf>
    <xf numFmtId="3" fontId="23" fillId="0" borderId="16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31" fillId="0" borderId="11" xfId="0" applyNumberFormat="1" applyFont="1" applyBorder="1" applyAlignment="1">
      <alignment/>
    </xf>
    <xf numFmtId="0" fontId="0" fillId="0" borderId="22" xfId="0" applyBorder="1" applyAlignment="1">
      <alignment/>
    </xf>
    <xf numFmtId="0" fontId="29" fillId="24" borderId="51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9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0" fillId="0" borderId="35" xfId="0" applyFont="1" applyBorder="1" applyAlignment="1">
      <alignment horizontal="center" wrapText="1"/>
    </xf>
    <xf numFmtId="3" fontId="23" fillId="0" borderId="15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0" borderId="51" xfId="0" applyFont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0" fontId="29" fillId="24" borderId="31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29" fillId="0" borderId="34" xfId="0" applyFont="1" applyBorder="1" applyAlignment="1">
      <alignment/>
    </xf>
    <xf numFmtId="3" fontId="0" fillId="24" borderId="32" xfId="0" applyNumberFormat="1" applyFill="1" applyBorder="1" applyAlignment="1">
      <alignment/>
    </xf>
    <xf numFmtId="0" fontId="33" fillId="0" borderId="15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9" fillId="24" borderId="27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9" fillId="0" borderId="41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43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9" fillId="0" borderId="4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3" fontId="23" fillId="0" borderId="4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34" fillId="0" borderId="0" xfId="0" applyFont="1" applyAlignment="1">
      <alignment horizontal="right"/>
    </xf>
    <xf numFmtId="0" fontId="2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9" fillId="0" borderId="16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0" fillId="0" borderId="38" xfId="0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34" xfId="0" applyBorder="1" applyAlignment="1">
      <alignment/>
    </xf>
    <xf numFmtId="3" fontId="0" fillId="0" borderId="46" xfId="0" applyNumberFormat="1" applyBorder="1" applyAlignment="1">
      <alignment/>
    </xf>
    <xf numFmtId="3" fontId="23" fillId="0" borderId="55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8" xfId="0" applyBorder="1" applyAlignment="1">
      <alignment/>
    </xf>
    <xf numFmtId="0" fontId="29" fillId="0" borderId="40" xfId="0" applyFont="1" applyBorder="1" applyAlignment="1">
      <alignment/>
    </xf>
    <xf numFmtId="3" fontId="35" fillId="24" borderId="13" xfId="0" applyNumberFormat="1" applyFont="1" applyFill="1" applyBorder="1" applyAlignment="1">
      <alignment/>
    </xf>
    <xf numFmtId="3" fontId="35" fillId="24" borderId="28" xfId="0" applyNumberFormat="1" applyFont="1" applyFill="1" applyBorder="1" applyAlignment="1">
      <alignment/>
    </xf>
    <xf numFmtId="0" fontId="36" fillId="0" borderId="27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164" fontId="36" fillId="0" borderId="30" xfId="0" applyNumberFormat="1" applyFont="1" applyBorder="1" applyAlignment="1">
      <alignment/>
    </xf>
    <xf numFmtId="3" fontId="37" fillId="24" borderId="13" xfId="0" applyNumberFormat="1" applyFont="1" applyFill="1" applyBorder="1" applyAlignment="1">
      <alignment/>
    </xf>
    <xf numFmtId="3" fontId="37" fillId="24" borderId="28" xfId="0" applyNumberFormat="1" applyFont="1" applyFill="1" applyBorder="1" applyAlignment="1">
      <alignment/>
    </xf>
    <xf numFmtId="164" fontId="36" fillId="0" borderId="31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64" fontId="36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24" borderId="27" xfId="0" applyNumberFormat="1" applyFont="1" applyFill="1" applyBorder="1" applyAlignment="1">
      <alignment/>
    </xf>
    <xf numFmtId="3" fontId="35" fillId="24" borderId="13" xfId="0" applyNumberFormat="1" applyFont="1" applyFill="1" applyBorder="1" applyAlignment="1">
      <alignment/>
    </xf>
    <xf numFmtId="0" fontId="31" fillId="0" borderId="31" xfId="0" applyFont="1" applyBorder="1" applyAlignment="1">
      <alignment/>
    </xf>
    <xf numFmtId="0" fontId="31" fillId="0" borderId="37" xfId="0" applyFont="1" applyBorder="1" applyAlignment="1">
      <alignment/>
    </xf>
    <xf numFmtId="164" fontId="31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31" fillId="0" borderId="24" xfId="0" applyFont="1" applyBorder="1" applyAlignment="1">
      <alignment/>
    </xf>
    <xf numFmtId="164" fontId="31" fillId="0" borderId="37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45" xfId="0" applyFont="1" applyBorder="1" applyAlignment="1">
      <alignment/>
    </xf>
    <xf numFmtId="3" fontId="37" fillId="0" borderId="16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40" xfId="0" applyNumberFormat="1" applyFont="1" applyBorder="1" applyAlignment="1">
      <alignment/>
    </xf>
    <xf numFmtId="0" fontId="29" fillId="0" borderId="27" xfId="0" applyFont="1" applyBorder="1" applyAlignment="1">
      <alignment wrapText="1"/>
    </xf>
    <xf numFmtId="3" fontId="35" fillId="0" borderId="13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14" fillId="24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3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30" xfId="0" applyFont="1" applyBorder="1" applyAlignment="1">
      <alignment/>
    </xf>
    <xf numFmtId="0" fontId="14" fillId="24" borderId="37" xfId="0" applyFon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21" xfId="0" applyNumberFormat="1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7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38" fillId="0" borderId="0" xfId="0" applyFont="1" applyAlignment="1">
      <alignment/>
    </xf>
    <xf numFmtId="0" fontId="14" fillId="24" borderId="45" xfId="0" applyFont="1" applyFill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0" fillId="0" borderId="43" xfId="0" applyBorder="1" applyAlignment="1">
      <alignment/>
    </xf>
    <xf numFmtId="3" fontId="0" fillId="0" borderId="27" xfId="0" applyNumberForma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7" xfId="0" applyNumberFormat="1" applyBorder="1" applyAlignment="1">
      <alignment/>
    </xf>
    <xf numFmtId="3" fontId="23" fillId="0" borderId="28" xfId="0" applyNumberFormat="1" applyFont="1" applyBorder="1" applyAlignment="1">
      <alignment/>
    </xf>
    <xf numFmtId="0" fontId="0" fillId="0" borderId="42" xfId="0" applyBorder="1" applyAlignment="1">
      <alignment horizontal="right"/>
    </xf>
    <xf numFmtId="164" fontId="23" fillId="0" borderId="2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3" fillId="0" borderId="30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0" fontId="0" fillId="0" borderId="29" xfId="0" applyBorder="1" applyAlignment="1">
      <alignment horizontal="left"/>
    </xf>
    <xf numFmtId="3" fontId="0" fillId="0" borderId="5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wrapText="1"/>
    </xf>
    <xf numFmtId="3" fontId="29" fillId="0" borderId="13" xfId="0" applyNumberFormat="1" applyFont="1" applyBorder="1" applyAlignment="1">
      <alignment horizontal="right" vertical="center"/>
    </xf>
    <xf numFmtId="3" fontId="29" fillId="0" borderId="43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wrapText="1"/>
    </xf>
    <xf numFmtId="0" fontId="28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/>
    </xf>
    <xf numFmtId="3" fontId="28" fillId="0" borderId="17" xfId="0" applyNumberFormat="1" applyFont="1" applyBorder="1" applyAlignment="1">
      <alignment/>
    </xf>
    <xf numFmtId="3" fontId="29" fillId="0" borderId="11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center"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27" fillId="0" borderId="38" xfId="0" applyFont="1" applyBorder="1" applyAlignment="1">
      <alignment/>
    </xf>
    <xf numFmtId="3" fontId="29" fillId="0" borderId="16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7" fillId="0" borderId="27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41" fillId="0" borderId="31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39" xfId="0" applyFont="1" applyBorder="1" applyAlignment="1">
      <alignment/>
    </xf>
    <xf numFmtId="3" fontId="42" fillId="0" borderId="31" xfId="0" applyNumberFormat="1" applyFont="1" applyBorder="1" applyAlignment="1">
      <alignment horizontal="right"/>
    </xf>
    <xf numFmtId="3" fontId="42" fillId="0" borderId="3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3" fontId="28" fillId="0" borderId="45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3" fillId="0" borderId="0" xfId="0" applyFont="1" applyBorder="1" applyAlignment="1">
      <alignment wrapText="1"/>
    </xf>
    <xf numFmtId="3" fontId="28" fillId="0" borderId="39" xfId="0" applyNumberFormat="1" applyFont="1" applyBorder="1" applyAlignment="1">
      <alignment horizontal="right" vertical="center"/>
    </xf>
    <xf numFmtId="3" fontId="28" fillId="0" borderId="52" xfId="0" applyNumberFormat="1" applyFont="1" applyBorder="1" applyAlignment="1">
      <alignment horizontal="right" vertical="center"/>
    </xf>
    <xf numFmtId="3" fontId="0" fillId="24" borderId="35" xfId="0" applyNumberFormat="1" applyFill="1" applyBorder="1" applyAlignment="1">
      <alignment/>
    </xf>
    <xf numFmtId="3" fontId="14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29" fillId="0" borderId="28" xfId="0" applyNumberFormat="1" applyFont="1" applyBorder="1" applyAlignment="1">
      <alignment/>
    </xf>
    <xf numFmtId="0" fontId="44" fillId="0" borderId="32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1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3" fontId="0" fillId="24" borderId="4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44" fillId="0" borderId="36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0" fontId="44" fillId="0" borderId="21" xfId="0" applyFont="1" applyBorder="1" applyAlignment="1">
      <alignment/>
    </xf>
    <xf numFmtId="3" fontId="44" fillId="0" borderId="40" xfId="0" applyNumberFormat="1" applyFont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0" fillId="0" borderId="3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4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3" fontId="14" fillId="0" borderId="13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0" fontId="0" fillId="0" borderId="31" xfId="0" applyBorder="1" applyAlignment="1">
      <alignment/>
    </xf>
    <xf numFmtId="3" fontId="14" fillId="0" borderId="14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" fontId="29" fillId="0" borderId="21" xfId="0" applyNumberFormat="1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3" fontId="44" fillId="0" borderId="2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9" fillId="0" borderId="0" xfId="0" applyFont="1" applyAlignment="1">
      <alignment/>
    </xf>
    <xf numFmtId="0" fontId="46" fillId="0" borderId="0" xfId="0" applyFont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/>
    </xf>
    <xf numFmtId="3" fontId="28" fillId="0" borderId="14" xfId="0" applyNumberFormat="1" applyFont="1" applyBorder="1" applyAlignment="1">
      <alignment horizontal="right" vertical="center" wrapText="1"/>
    </xf>
    <xf numFmtId="0" fontId="38" fillId="0" borderId="22" xfId="0" applyFont="1" applyBorder="1" applyAlignment="1">
      <alignment horizontal="left" vertical="center"/>
    </xf>
    <xf numFmtId="3" fontId="28" fillId="0" borderId="21" xfId="0" applyNumberFormat="1" applyFont="1" applyBorder="1" applyAlignment="1">
      <alignment horizontal="right" vertical="center" wrapText="1"/>
    </xf>
    <xf numFmtId="0" fontId="14" fillId="0" borderId="37" xfId="0" applyFont="1" applyBorder="1" applyAlignment="1">
      <alignment horizontal="left" vertical="center"/>
    </xf>
    <xf numFmtId="3" fontId="28" fillId="0" borderId="12" xfId="0" applyNumberFormat="1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/>
    </xf>
    <xf numFmtId="3" fontId="27" fillId="0" borderId="13" xfId="0" applyNumberFormat="1" applyFont="1" applyBorder="1" applyAlignment="1">
      <alignment horizontal="right" vertical="center" wrapText="1"/>
    </xf>
    <xf numFmtId="0" fontId="27" fillId="0" borderId="22" xfId="0" applyFont="1" applyBorder="1" applyAlignment="1">
      <alignment horizontal="left" vertical="center"/>
    </xf>
    <xf numFmtId="3" fontId="27" fillId="0" borderId="21" xfId="0" applyNumberFormat="1" applyFont="1" applyBorder="1" applyAlignment="1">
      <alignment horizontal="right" vertical="center" wrapText="1"/>
    </xf>
    <xf numFmtId="0" fontId="27" fillId="0" borderId="22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3" fontId="28" fillId="0" borderId="14" xfId="40" applyNumberFormat="1" applyFont="1" applyFill="1" applyBorder="1" applyAlignment="1" applyProtection="1">
      <alignment horizontal="right" vertical="center"/>
      <protection/>
    </xf>
    <xf numFmtId="0" fontId="28" fillId="0" borderId="24" xfId="0" applyFont="1" applyBorder="1" applyAlignment="1">
      <alignment vertical="center" wrapText="1"/>
    </xf>
    <xf numFmtId="3" fontId="28" fillId="0" borderId="11" xfId="40" applyNumberFormat="1" applyFont="1" applyFill="1" applyBorder="1" applyAlignment="1" applyProtection="1">
      <alignment horizontal="right" vertical="center"/>
      <protection/>
    </xf>
    <xf numFmtId="0" fontId="27" fillId="0" borderId="24" xfId="0" applyFont="1" applyBorder="1" applyAlignment="1">
      <alignment vertical="center"/>
    </xf>
    <xf numFmtId="3" fontId="27" fillId="0" borderId="11" xfId="40" applyNumberFormat="1" applyFont="1" applyFill="1" applyBorder="1" applyAlignment="1" applyProtection="1">
      <alignment horizontal="right" vertical="center"/>
      <protection/>
    </xf>
    <xf numFmtId="0" fontId="29" fillId="0" borderId="37" xfId="0" applyFont="1" applyBorder="1" applyAlignment="1">
      <alignment vertical="center"/>
    </xf>
    <xf numFmtId="3" fontId="27" fillId="0" borderId="12" xfId="40" applyNumberFormat="1" applyFont="1" applyFill="1" applyBorder="1" applyAlignment="1" applyProtection="1">
      <alignment horizontal="right" vertical="center"/>
      <protection/>
    </xf>
    <xf numFmtId="0" fontId="27" fillId="0" borderId="37" xfId="0" applyFont="1" applyBorder="1" applyAlignment="1">
      <alignment vertical="center"/>
    </xf>
    <xf numFmtId="3" fontId="27" fillId="0" borderId="16" xfId="40" applyNumberFormat="1" applyFont="1" applyFill="1" applyBorder="1" applyAlignment="1" applyProtection="1">
      <alignment horizontal="right" vertical="center"/>
      <protection/>
    </xf>
    <xf numFmtId="3" fontId="27" fillId="0" borderId="13" xfId="40" applyNumberFormat="1" applyFont="1" applyFill="1" applyBorder="1" applyAlignment="1" applyProtection="1">
      <alignment horizontal="right" vertical="center"/>
      <protection/>
    </xf>
    <xf numFmtId="0" fontId="27" fillId="0" borderId="30" xfId="0" applyFont="1" applyBorder="1" applyAlignment="1">
      <alignment vertical="center"/>
    </xf>
    <xf numFmtId="3" fontId="27" fillId="0" borderId="15" xfId="4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0" fontId="27" fillId="0" borderId="2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right"/>
    </xf>
    <xf numFmtId="0" fontId="45" fillId="0" borderId="32" xfId="0" applyFont="1" applyBorder="1" applyAlignment="1">
      <alignment/>
    </xf>
    <xf numFmtId="166" fontId="14" fillId="0" borderId="14" xfId="40" applyNumberFormat="1" applyFont="1" applyFill="1" applyBorder="1" applyAlignment="1" applyProtection="1">
      <alignment horizontal="right"/>
      <protection/>
    </xf>
    <xf numFmtId="3" fontId="14" fillId="0" borderId="11" xfId="40" applyNumberFormat="1" applyFont="1" applyFill="1" applyBorder="1" applyAlignment="1" applyProtection="1">
      <alignment horizontal="right"/>
      <protection/>
    </xf>
    <xf numFmtId="3" fontId="14" fillId="0" borderId="12" xfId="40" applyNumberFormat="1" applyFont="1" applyFill="1" applyBorder="1" applyAlignment="1" applyProtection="1">
      <alignment horizontal="right"/>
      <protection/>
    </xf>
    <xf numFmtId="3" fontId="29" fillId="0" borderId="13" xfId="40" applyNumberFormat="1" applyFont="1" applyFill="1" applyBorder="1" applyAlignment="1" applyProtection="1">
      <alignment horizontal="right"/>
      <protection/>
    </xf>
    <xf numFmtId="3" fontId="29" fillId="0" borderId="14" xfId="40" applyNumberFormat="1" applyFont="1" applyFill="1" applyBorder="1" applyAlignment="1" applyProtection="1">
      <alignment horizontal="right"/>
      <protection/>
    </xf>
    <xf numFmtId="0" fontId="45" fillId="0" borderId="24" xfId="0" applyFont="1" applyBorder="1" applyAlignment="1">
      <alignment/>
    </xf>
    <xf numFmtId="0" fontId="14" fillId="0" borderId="37" xfId="0" applyFont="1" applyBorder="1" applyAlignment="1">
      <alignment/>
    </xf>
    <xf numFmtId="3" fontId="14" fillId="0" borderId="14" xfId="40" applyNumberFormat="1" applyFont="1" applyFill="1" applyBorder="1" applyAlignment="1" applyProtection="1">
      <alignment horizontal="right"/>
      <protection/>
    </xf>
    <xf numFmtId="3" fontId="29" fillId="0" borderId="21" xfId="40" applyNumberFormat="1" applyFont="1" applyFill="1" applyBorder="1" applyAlignment="1" applyProtection="1">
      <alignment horizontal="right"/>
      <protection/>
    </xf>
    <xf numFmtId="3" fontId="29" fillId="0" borderId="13" xfId="40" applyNumberFormat="1" applyFont="1" applyFill="1" applyBorder="1" applyAlignment="1" applyProtection="1">
      <alignment/>
      <protection/>
    </xf>
    <xf numFmtId="3" fontId="29" fillId="0" borderId="14" xfId="40" applyNumberFormat="1" applyFont="1" applyFill="1" applyBorder="1" applyAlignment="1" applyProtection="1">
      <alignment/>
      <protection/>
    </xf>
    <xf numFmtId="3" fontId="14" fillId="0" borderId="11" xfId="40" applyNumberFormat="1" applyFont="1" applyFill="1" applyBorder="1" applyAlignment="1" applyProtection="1">
      <alignment/>
      <protection/>
    </xf>
    <xf numFmtId="0" fontId="14" fillId="0" borderId="22" xfId="0" applyFont="1" applyFill="1" applyBorder="1" applyAlignment="1">
      <alignment/>
    </xf>
    <xf numFmtId="3" fontId="14" fillId="0" borderId="14" xfId="40" applyNumberFormat="1" applyFont="1" applyFill="1" applyBorder="1" applyAlignment="1" applyProtection="1">
      <alignment/>
      <protection/>
    </xf>
    <xf numFmtId="3" fontId="29" fillId="0" borderId="11" xfId="40" applyNumberFormat="1" applyFont="1" applyFill="1" applyBorder="1" applyAlignment="1" applyProtection="1">
      <alignment/>
      <protection/>
    </xf>
    <xf numFmtId="0" fontId="14" fillId="0" borderId="24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3" fontId="14" fillId="0" borderId="29" xfId="40" applyNumberFormat="1" applyFont="1" applyFill="1" applyBorder="1" applyAlignment="1" applyProtection="1">
      <alignment/>
      <protection/>
    </xf>
    <xf numFmtId="3" fontId="29" fillId="0" borderId="13" xfId="40" applyNumberFormat="1" applyFont="1" applyFill="1" applyBorder="1" applyAlignment="1" applyProtection="1">
      <alignment vertical="center"/>
      <protection/>
    </xf>
    <xf numFmtId="0" fontId="29" fillId="0" borderId="22" xfId="0" applyFont="1" applyBorder="1" applyAlignment="1">
      <alignment vertical="center"/>
    </xf>
    <xf numFmtId="3" fontId="29" fillId="0" borderId="21" xfId="40" applyNumberFormat="1" applyFont="1" applyFill="1" applyBorder="1" applyAlignment="1" applyProtection="1">
      <alignment vertical="center"/>
      <protection/>
    </xf>
    <xf numFmtId="3" fontId="29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wrapText="1"/>
    </xf>
    <xf numFmtId="0" fontId="46" fillId="0" borderId="32" xfId="0" applyFont="1" applyBorder="1" applyAlignment="1">
      <alignment/>
    </xf>
    <xf numFmtId="0" fontId="27" fillId="0" borderId="14" xfId="0" applyFont="1" applyBorder="1" applyAlignment="1">
      <alignment horizontal="center" wrapText="1"/>
    </xf>
    <xf numFmtId="0" fontId="28" fillId="0" borderId="32" xfId="0" applyFont="1" applyBorder="1" applyAlignment="1">
      <alignment/>
    </xf>
    <xf numFmtId="3" fontId="28" fillId="0" borderId="14" xfId="0" applyNumberFormat="1" applyFont="1" applyBorder="1" applyAlignment="1">
      <alignment horizontal="right" wrapText="1"/>
    </xf>
    <xf numFmtId="0" fontId="28" fillId="0" borderId="24" xfId="0" applyFont="1" applyBorder="1" applyAlignment="1">
      <alignment wrapText="1"/>
    </xf>
    <xf numFmtId="3" fontId="28" fillId="0" borderId="11" xfId="40" applyNumberFormat="1" applyFont="1" applyFill="1" applyBorder="1" applyAlignment="1" applyProtection="1">
      <alignment/>
      <protection/>
    </xf>
    <xf numFmtId="3" fontId="28" fillId="0" borderId="12" xfId="40" applyNumberFormat="1" applyFont="1" applyFill="1" applyBorder="1" applyAlignment="1" applyProtection="1">
      <alignment/>
      <protection/>
    </xf>
    <xf numFmtId="0" fontId="28" fillId="0" borderId="22" xfId="0" applyFont="1" applyBorder="1" applyAlignment="1">
      <alignment wrapText="1"/>
    </xf>
    <xf numFmtId="3" fontId="28" fillId="0" borderId="21" xfId="40" applyNumberFormat="1" applyFont="1" applyFill="1" applyBorder="1" applyAlignment="1" applyProtection="1">
      <alignment/>
      <protection/>
    </xf>
    <xf numFmtId="0" fontId="27" fillId="0" borderId="27" xfId="0" applyFont="1" applyBorder="1" applyAlignment="1">
      <alignment wrapText="1"/>
    </xf>
    <xf numFmtId="3" fontId="27" fillId="0" borderId="13" xfId="40" applyNumberFormat="1" applyFont="1" applyFill="1" applyBorder="1" applyAlignment="1" applyProtection="1">
      <alignment/>
      <protection/>
    </xf>
    <xf numFmtId="0" fontId="28" fillId="0" borderId="32" xfId="0" applyFont="1" applyBorder="1" applyAlignment="1">
      <alignment wrapText="1"/>
    </xf>
    <xf numFmtId="3" fontId="28" fillId="0" borderId="14" xfId="40" applyNumberFormat="1" applyFont="1" applyFill="1" applyBorder="1" applyAlignment="1" applyProtection="1">
      <alignment/>
      <protection/>
    </xf>
    <xf numFmtId="0" fontId="46" fillId="0" borderId="24" xfId="0" applyFont="1" applyBorder="1" applyAlignment="1">
      <alignment wrapText="1"/>
    </xf>
    <xf numFmtId="3" fontId="47" fillId="0" borderId="11" xfId="40" applyNumberFormat="1" applyFont="1" applyFill="1" applyBorder="1" applyAlignment="1" applyProtection="1">
      <alignment/>
      <protection/>
    </xf>
    <xf numFmtId="3" fontId="27" fillId="0" borderId="13" xfId="0" applyNumberFormat="1" applyFont="1" applyBorder="1" applyAlignment="1">
      <alignment/>
    </xf>
    <xf numFmtId="0" fontId="37" fillId="0" borderId="58" xfId="0" applyFont="1" applyBorder="1" applyAlignment="1">
      <alignment horizontal="left" wrapText="1"/>
    </xf>
    <xf numFmtId="0" fontId="27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167" fontId="28" fillId="0" borderId="25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167" fontId="28" fillId="0" borderId="26" xfId="0" applyNumberFormat="1" applyFont="1" applyBorder="1" applyAlignment="1">
      <alignment horizontal="right"/>
    </xf>
    <xf numFmtId="167" fontId="27" fillId="0" borderId="28" xfId="0" applyNumberFormat="1" applyFont="1" applyBorder="1" applyAlignment="1">
      <alignment horizontal="right"/>
    </xf>
    <xf numFmtId="0" fontId="14" fillId="0" borderId="0" xfId="54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29" fillId="0" borderId="10" xfId="54" applyFont="1" applyBorder="1" applyAlignment="1" applyProtection="1">
      <alignment horizontal="center" vertical="center" wrapText="1"/>
      <protection/>
    </xf>
    <xf numFmtId="0" fontId="29" fillId="0" borderId="36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Protection="1">
      <alignment/>
      <protection/>
    </xf>
    <xf numFmtId="3" fontId="14" fillId="0" borderId="11" xfId="54" applyNumberFormat="1" applyBorder="1" applyProtection="1">
      <alignment/>
      <protection/>
    </xf>
    <xf numFmtId="3" fontId="14" fillId="0" borderId="36" xfId="54" applyNumberFormat="1" applyBorder="1" applyProtection="1">
      <alignment/>
      <protection/>
    </xf>
    <xf numFmtId="3" fontId="14" fillId="0" borderId="14" xfId="54" applyNumberFormat="1" applyBorder="1" applyProtection="1">
      <alignment/>
      <protection/>
    </xf>
    <xf numFmtId="0" fontId="39" fillId="0" borderId="14" xfId="54" applyFont="1" applyBorder="1" applyProtection="1">
      <alignment/>
      <protection/>
    </xf>
    <xf numFmtId="0" fontId="14" fillId="0" borderId="11" xfId="54" applyFont="1" applyBorder="1" applyProtection="1">
      <alignment/>
      <protection/>
    </xf>
    <xf numFmtId="0" fontId="14" fillId="0" borderId="21" xfId="54" applyFont="1" applyFill="1" applyBorder="1" applyProtection="1">
      <alignment/>
      <protection/>
    </xf>
    <xf numFmtId="3" fontId="14" fillId="0" borderId="25" xfId="54" applyNumberFormat="1" applyBorder="1" applyProtection="1">
      <alignment/>
      <protection/>
    </xf>
    <xf numFmtId="0" fontId="29" fillId="0" borderId="16" xfId="54" applyFont="1" applyBorder="1" applyProtection="1">
      <alignment/>
      <protection/>
    </xf>
    <xf numFmtId="3" fontId="29" fillId="0" borderId="16" xfId="54" applyNumberFormat="1" applyFont="1" applyBorder="1" applyProtection="1">
      <alignment/>
      <protection/>
    </xf>
    <xf numFmtId="3" fontId="29" fillId="0" borderId="40" xfId="54" applyNumberFormat="1" applyFont="1" applyBorder="1" applyProtection="1">
      <alignment/>
      <protection/>
    </xf>
    <xf numFmtId="0" fontId="29" fillId="0" borderId="54" xfId="54" applyFont="1" applyBorder="1" applyProtection="1">
      <alignment/>
      <protection/>
    </xf>
    <xf numFmtId="3" fontId="29" fillId="0" borderId="59" xfId="54" applyNumberFormat="1" applyFont="1" applyBorder="1" applyProtection="1">
      <alignment/>
      <protection/>
    </xf>
    <xf numFmtId="0" fontId="29" fillId="0" borderId="59" xfId="54" applyFont="1" applyBorder="1" applyProtection="1">
      <alignment/>
      <protection/>
    </xf>
    <xf numFmtId="3" fontId="29" fillId="0" borderId="28" xfId="54" applyNumberFormat="1" applyFont="1" applyBorder="1" applyProtection="1">
      <alignment/>
      <protection/>
    </xf>
    <xf numFmtId="0" fontId="14" fillId="0" borderId="10" xfId="54" applyBorder="1" applyProtection="1">
      <alignment/>
      <protection/>
    </xf>
    <xf numFmtId="3" fontId="14" fillId="0" borderId="10" xfId="54" applyNumberFormat="1" applyBorder="1" applyProtection="1">
      <alignment/>
      <protection/>
    </xf>
    <xf numFmtId="0" fontId="29" fillId="0" borderId="29" xfId="54" applyFont="1" applyBorder="1" applyProtection="1">
      <alignment/>
      <protection/>
    </xf>
    <xf numFmtId="3" fontId="29" fillId="0" borderId="29" xfId="54" applyNumberFormat="1" applyFont="1" applyBorder="1" applyProtection="1">
      <alignment/>
      <protection/>
    </xf>
    <xf numFmtId="0" fontId="29" fillId="0" borderId="13" xfId="54" applyFont="1" applyBorder="1" applyAlignment="1" applyProtection="1">
      <alignment vertical="center"/>
      <protection/>
    </xf>
    <xf numFmtId="0" fontId="29" fillId="0" borderId="28" xfId="54" applyFont="1" applyBorder="1" applyAlignment="1" applyProtection="1">
      <alignment horizontal="center" vertical="center" wrapText="1"/>
      <protection/>
    </xf>
    <xf numFmtId="0" fontId="14" fillId="0" borderId="36" xfId="54" applyFont="1" applyBorder="1" applyProtection="1">
      <alignment/>
      <protection/>
    </xf>
    <xf numFmtId="0" fontId="14" fillId="0" borderId="25" xfId="54" applyFont="1" applyBorder="1" applyProtection="1">
      <alignment/>
      <protection/>
    </xf>
    <xf numFmtId="0" fontId="14" fillId="0" borderId="11" xfId="54" applyFont="1" applyBorder="1" applyAlignment="1" applyProtection="1">
      <alignment wrapText="1"/>
      <protection/>
    </xf>
    <xf numFmtId="0" fontId="14" fillId="0" borderId="12" xfId="54" applyFont="1" applyBorder="1" applyProtection="1">
      <alignment/>
      <protection/>
    </xf>
    <xf numFmtId="0" fontId="29" fillId="0" borderId="27" xfId="54" applyFont="1" applyBorder="1" applyProtection="1">
      <alignment/>
      <protection/>
    </xf>
    <xf numFmtId="3" fontId="29" fillId="0" borderId="13" xfId="54" applyNumberFormat="1" applyFont="1" applyBorder="1" applyProtection="1">
      <alignment/>
      <protection/>
    </xf>
    <xf numFmtId="0" fontId="29" fillId="0" borderId="13" xfId="54" applyFont="1" applyBorder="1" applyProtection="1">
      <alignment/>
      <protection/>
    </xf>
    <xf numFmtId="0" fontId="14" fillId="0" borderId="22" xfId="54" applyFont="1" applyBorder="1" applyProtection="1">
      <alignment/>
      <protection/>
    </xf>
    <xf numFmtId="3" fontId="14" fillId="0" borderId="21" xfId="54" applyNumberFormat="1" applyFont="1" applyBorder="1" applyProtection="1">
      <alignment/>
      <protection/>
    </xf>
    <xf numFmtId="0" fontId="29" fillId="0" borderId="15" xfId="54" applyFont="1" applyBorder="1" applyProtection="1">
      <alignment/>
      <protection/>
    </xf>
    <xf numFmtId="3" fontId="14" fillId="0" borderId="23" xfId="54" applyNumberFormat="1" applyBorder="1" applyProtection="1">
      <alignment/>
      <protection/>
    </xf>
    <xf numFmtId="0" fontId="14" fillId="0" borderId="27" xfId="54" applyFont="1" applyBorder="1" applyProtection="1">
      <alignment/>
      <protection/>
    </xf>
    <xf numFmtId="3" fontId="14" fillId="0" borderId="13" xfId="54" applyNumberFormat="1" applyFont="1" applyBorder="1" applyProtection="1">
      <alignment/>
      <protection/>
    </xf>
    <xf numFmtId="0" fontId="14" fillId="0" borderId="13" xfId="54" applyFont="1" applyBorder="1" applyProtection="1">
      <alignment/>
      <protection/>
    </xf>
    <xf numFmtId="3" fontId="14" fillId="0" borderId="28" xfId="54" applyNumberFormat="1" applyFont="1" applyBorder="1" applyProtection="1">
      <alignment/>
      <protection/>
    </xf>
    <xf numFmtId="0" fontId="29" fillId="0" borderId="32" xfId="54" applyFont="1" applyBorder="1" applyProtection="1">
      <alignment/>
      <protection/>
    </xf>
    <xf numFmtId="3" fontId="29" fillId="0" borderId="14" xfId="54" applyNumberFormat="1" applyFont="1" applyBorder="1" applyProtection="1">
      <alignment/>
      <protection/>
    </xf>
    <xf numFmtId="0" fontId="29" fillId="0" borderId="10" xfId="54" applyFont="1" applyBorder="1" applyProtection="1">
      <alignment/>
      <protection/>
    </xf>
    <xf numFmtId="3" fontId="29" fillId="0" borderId="36" xfId="54" applyNumberFormat="1" applyFont="1" applyBorder="1" applyProtection="1">
      <alignment/>
      <protection/>
    </xf>
    <xf numFmtId="0" fontId="29" fillId="0" borderId="24" xfId="54" applyFont="1" applyBorder="1" applyProtection="1">
      <alignment/>
      <protection/>
    </xf>
    <xf numFmtId="3" fontId="29" fillId="0" borderId="11" xfId="54" applyNumberFormat="1" applyFont="1" applyBorder="1" applyProtection="1">
      <alignment/>
      <protection/>
    </xf>
    <xf numFmtId="0" fontId="29" fillId="0" borderId="11" xfId="54" applyFont="1" applyBorder="1" applyProtection="1">
      <alignment/>
      <protection/>
    </xf>
    <xf numFmtId="3" fontId="29" fillId="0" borderId="25" xfId="54" applyNumberFormat="1" applyFont="1" applyBorder="1" applyProtection="1">
      <alignment/>
      <protection/>
    </xf>
    <xf numFmtId="0" fontId="29" fillId="0" borderId="45" xfId="54" applyFont="1" applyBorder="1" applyProtection="1">
      <alignment/>
      <protection/>
    </xf>
    <xf numFmtId="3" fontId="29" fillId="0" borderId="52" xfId="54" applyNumberFormat="1" applyFont="1" applyBorder="1" applyProtection="1">
      <alignment/>
      <protection/>
    </xf>
    <xf numFmtId="0" fontId="48" fillId="0" borderId="0" xfId="0" applyFont="1" applyAlignment="1">
      <alignment horizontal="right"/>
    </xf>
    <xf numFmtId="0" fontId="49" fillId="0" borderId="30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27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49" fillId="0" borderId="31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8" xfId="0" applyFont="1" applyBorder="1" applyAlignment="1">
      <alignment/>
    </xf>
    <xf numFmtId="3" fontId="49" fillId="0" borderId="16" xfId="0" applyNumberFormat="1" applyFont="1" applyBorder="1" applyAlignment="1">
      <alignment/>
    </xf>
    <xf numFmtId="0" fontId="48" fillId="24" borderId="27" xfId="0" applyFont="1" applyFill="1" applyBorder="1" applyAlignment="1">
      <alignment/>
    </xf>
    <xf numFmtId="3" fontId="48" fillId="24" borderId="13" xfId="0" applyNumberFormat="1" applyFont="1" applyFill="1" applyBorder="1" applyAlignment="1">
      <alignment/>
    </xf>
    <xf numFmtId="0" fontId="49" fillId="0" borderId="31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9" fillId="0" borderId="28" xfId="0" applyNumberFormat="1" applyFont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45" xfId="0" applyFont="1" applyBorder="1" applyAlignment="1">
      <alignment/>
    </xf>
    <xf numFmtId="0" fontId="48" fillId="24" borderId="38" xfId="0" applyFont="1" applyFill="1" applyBorder="1" applyAlignment="1">
      <alignment/>
    </xf>
    <xf numFmtId="3" fontId="48" fillId="24" borderId="16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29" fillId="0" borderId="2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50" fillId="0" borderId="0" xfId="0" applyFont="1" applyAlignment="1">
      <alignment/>
    </xf>
    <xf numFmtId="0" fontId="28" fillId="0" borderId="32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0" fontId="37" fillId="0" borderId="32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20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 wrapText="1"/>
    </xf>
    <xf numFmtId="3" fontId="37" fillId="0" borderId="11" xfId="40" applyNumberFormat="1" applyFont="1" applyFill="1" applyBorder="1" applyAlignment="1" applyProtection="1">
      <alignment vertical="center" wrapText="1"/>
      <protection/>
    </xf>
    <xf numFmtId="3" fontId="37" fillId="0" borderId="17" xfId="40" applyNumberFormat="1" applyFont="1" applyFill="1" applyBorder="1" applyAlignment="1" applyProtection="1">
      <alignment vertical="center" wrapText="1"/>
      <protection/>
    </xf>
    <xf numFmtId="0" fontId="52" fillId="0" borderId="24" xfId="0" applyFont="1" applyBorder="1" applyAlignment="1">
      <alignment vertical="center" wrapText="1"/>
    </xf>
    <xf numFmtId="3" fontId="37" fillId="0" borderId="11" xfId="40" applyNumberFormat="1" applyFont="1" applyFill="1" applyBorder="1" applyAlignment="1" applyProtection="1">
      <alignment vertical="center"/>
      <protection/>
    </xf>
    <xf numFmtId="3" fontId="37" fillId="0" borderId="17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/>
    </xf>
    <xf numFmtId="0" fontId="37" fillId="0" borderId="24" xfId="0" applyFont="1" applyBorder="1" applyAlignment="1">
      <alignment vertical="center" shrinkToFit="1"/>
    </xf>
    <xf numFmtId="0" fontId="49" fillId="0" borderId="24" xfId="0" applyFont="1" applyBorder="1" applyAlignment="1">
      <alignment vertical="center"/>
    </xf>
    <xf numFmtId="0" fontId="49" fillId="0" borderId="32" xfId="0" applyFont="1" applyBorder="1" applyAlignment="1">
      <alignment vertical="center" wrapText="1"/>
    </xf>
    <xf numFmtId="0" fontId="37" fillId="0" borderId="3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3" fontId="37" fillId="0" borderId="21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0" fontId="35" fillId="0" borderId="27" xfId="0" applyFont="1" applyBorder="1" applyAlignment="1">
      <alignment vertical="center"/>
    </xf>
    <xf numFmtId="3" fontId="35" fillId="0" borderId="13" xfId="40" applyNumberFormat="1" applyFont="1" applyFill="1" applyBorder="1" applyAlignment="1" applyProtection="1">
      <alignment vertical="center"/>
      <protection/>
    </xf>
    <xf numFmtId="3" fontId="35" fillId="0" borderId="43" xfId="40" applyNumberFormat="1" applyFont="1" applyFill="1" applyBorder="1" applyAlignment="1" applyProtection="1">
      <alignment vertical="center"/>
      <protection/>
    </xf>
    <xf numFmtId="0" fontId="27" fillId="0" borderId="30" xfId="0" applyFont="1" applyBorder="1" applyAlignment="1">
      <alignment horizont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3" fillId="0" borderId="27" xfId="0" applyFont="1" applyBorder="1" applyAlignment="1">
      <alignment/>
    </xf>
    <xf numFmtId="0" fontId="45" fillId="0" borderId="0" xfId="0" applyFont="1" applyAlignment="1">
      <alignment horizontal="right"/>
    </xf>
    <xf numFmtId="0" fontId="27" fillId="0" borderId="21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4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3" fontId="28" fillId="0" borderId="20" xfId="4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Border="1" applyAlignment="1">
      <alignment vertical="center"/>
    </xf>
    <xf numFmtId="3" fontId="28" fillId="0" borderId="42" xfId="40" applyNumberFormat="1" applyFont="1" applyFill="1" applyBorder="1" applyAlignment="1" applyProtection="1">
      <alignment horizontal="right" vertical="center"/>
      <protection/>
    </xf>
    <xf numFmtId="3" fontId="28" fillId="0" borderId="16" xfId="40" applyNumberFormat="1" applyFont="1" applyFill="1" applyBorder="1" applyAlignment="1" applyProtection="1">
      <alignment horizontal="right" vertical="center"/>
      <protection/>
    </xf>
    <xf numFmtId="3" fontId="28" fillId="0" borderId="21" xfId="4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vertical="center"/>
    </xf>
    <xf numFmtId="3" fontId="27" fillId="0" borderId="43" xfId="40" applyNumberFormat="1" applyFont="1" applyFill="1" applyBorder="1" applyAlignment="1" applyProtection="1">
      <alignment horizontal="right" vertical="center"/>
      <protection/>
    </xf>
    <xf numFmtId="0" fontId="40" fillId="0" borderId="3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3" fontId="49" fillId="0" borderId="31" xfId="0" applyNumberFormat="1" applyFont="1" applyBorder="1" applyAlignment="1">
      <alignment vertical="center"/>
    </xf>
    <xf numFmtId="3" fontId="49" fillId="0" borderId="31" xfId="40" applyNumberFormat="1" applyFont="1" applyFill="1" applyBorder="1" applyAlignment="1" applyProtection="1">
      <alignment vertical="center"/>
      <protection/>
    </xf>
    <xf numFmtId="3" fontId="49" fillId="0" borderId="10" xfId="40" applyNumberFormat="1" applyFont="1" applyFill="1" applyBorder="1" applyAlignment="1" applyProtection="1">
      <alignment vertical="center"/>
      <protection/>
    </xf>
    <xf numFmtId="3" fontId="49" fillId="0" borderId="39" xfId="40" applyNumberFormat="1" applyFont="1" applyFill="1" applyBorder="1" applyAlignment="1" applyProtection="1">
      <alignment vertical="center"/>
      <protection/>
    </xf>
    <xf numFmtId="0" fontId="49" fillId="0" borderId="24" xfId="0" applyFont="1" applyBorder="1" applyAlignment="1">
      <alignment vertical="center" wrapText="1"/>
    </xf>
    <xf numFmtId="3" fontId="49" fillId="0" borderId="24" xfId="0" applyNumberFormat="1" applyFont="1" applyBorder="1" applyAlignment="1">
      <alignment vertical="center"/>
    </xf>
    <xf numFmtId="3" fontId="49" fillId="0" borderId="24" xfId="40" applyNumberFormat="1" applyFont="1" applyFill="1" applyBorder="1" applyAlignment="1" applyProtection="1">
      <alignment vertical="center"/>
      <protection/>
    </xf>
    <xf numFmtId="3" fontId="49" fillId="0" borderId="11" xfId="40" applyNumberFormat="1" applyFont="1" applyFill="1" applyBorder="1" applyAlignment="1" applyProtection="1">
      <alignment vertical="center"/>
      <protection/>
    </xf>
    <xf numFmtId="3" fontId="49" fillId="0" borderId="25" xfId="40" applyNumberFormat="1" applyFont="1" applyFill="1" applyBorder="1" applyAlignment="1" applyProtection="1">
      <alignment vertical="center"/>
      <protection/>
    </xf>
    <xf numFmtId="3" fontId="49" fillId="0" borderId="36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 vertical="center" wrapText="1"/>
    </xf>
    <xf numFmtId="0" fontId="49" fillId="0" borderId="24" xfId="0" applyFont="1" applyBorder="1" applyAlignment="1">
      <alignment horizontal="left" vertical="center"/>
    </xf>
    <xf numFmtId="3" fontId="49" fillId="0" borderId="24" xfId="0" applyNumberFormat="1" applyFont="1" applyBorder="1" applyAlignment="1">
      <alignment horizontal="right" vertical="center"/>
    </xf>
    <xf numFmtId="3" fontId="49" fillId="0" borderId="11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left" vertical="center"/>
    </xf>
    <xf numFmtId="3" fontId="49" fillId="0" borderId="37" xfId="0" applyNumberFormat="1" applyFont="1" applyBorder="1" applyAlignment="1">
      <alignment vertical="center"/>
    </xf>
    <xf numFmtId="3" fontId="49" fillId="0" borderId="23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49" fillId="0" borderId="37" xfId="0" applyNumberFormat="1" applyFont="1" applyBorder="1" applyAlignment="1">
      <alignment horizontal="right" vertical="center"/>
    </xf>
    <xf numFmtId="3" fontId="41" fillId="0" borderId="12" xfId="0" applyNumberFormat="1" applyFont="1" applyBorder="1" applyAlignment="1">
      <alignment/>
    </xf>
    <xf numFmtId="3" fontId="49" fillId="0" borderId="26" xfId="0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49" fillId="0" borderId="45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3" fontId="49" fillId="0" borderId="52" xfId="0" applyNumberFormat="1" applyFon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3" fontId="4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right" vertical="center"/>
    </xf>
    <xf numFmtId="0" fontId="28" fillId="0" borderId="36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1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42" fillId="0" borderId="32" xfId="0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right" vertical="center" wrapText="1"/>
    </xf>
    <xf numFmtId="0" fontId="42" fillId="0" borderId="32" xfId="0" applyFont="1" applyBorder="1" applyAlignment="1">
      <alignment/>
    </xf>
    <xf numFmtId="3" fontId="41" fillId="0" borderId="14" xfId="40" applyNumberFormat="1" applyFont="1" applyFill="1" applyBorder="1" applyAlignment="1" applyProtection="1">
      <alignment horizontal="right"/>
      <protection/>
    </xf>
    <xf numFmtId="0" fontId="34" fillId="0" borderId="24" xfId="0" applyFont="1" applyBorder="1" applyAlignment="1">
      <alignment/>
    </xf>
    <xf numFmtId="3" fontId="42" fillId="0" borderId="14" xfId="40" applyNumberFormat="1" applyFont="1" applyFill="1" applyBorder="1" applyAlignment="1" applyProtection="1">
      <alignment horizontal="right"/>
      <protection/>
    </xf>
    <xf numFmtId="0" fontId="58" fillId="0" borderId="24" xfId="0" applyFont="1" applyBorder="1" applyAlignment="1">
      <alignment/>
    </xf>
    <xf numFmtId="3" fontId="59" fillId="0" borderId="14" xfId="40" applyNumberFormat="1" applyFont="1" applyFill="1" applyBorder="1" applyAlignment="1" applyProtection="1">
      <alignment horizontal="right"/>
      <protection/>
    </xf>
    <xf numFmtId="0" fontId="42" fillId="0" borderId="24" xfId="0" applyFont="1" applyBorder="1" applyAlignment="1">
      <alignment/>
    </xf>
    <xf numFmtId="3" fontId="42" fillId="0" borderId="11" xfId="40" applyNumberFormat="1" applyFont="1" applyFill="1" applyBorder="1" applyAlignment="1" applyProtection="1">
      <alignment horizontal="right"/>
      <protection/>
    </xf>
    <xf numFmtId="0" fontId="42" fillId="0" borderId="37" xfId="0" applyFont="1" applyBorder="1" applyAlignment="1">
      <alignment wrapText="1"/>
    </xf>
    <xf numFmtId="3" fontId="42" fillId="0" borderId="29" xfId="40" applyNumberFormat="1" applyFont="1" applyFill="1" applyBorder="1" applyAlignment="1" applyProtection="1">
      <alignment horizontal="right"/>
      <protection/>
    </xf>
    <xf numFmtId="0" fontId="56" fillId="0" borderId="27" xfId="0" applyFont="1" applyBorder="1" applyAlignment="1">
      <alignment/>
    </xf>
    <xf numFmtId="3" fontId="56" fillId="0" borderId="13" xfId="40" applyNumberFormat="1" applyFont="1" applyFill="1" applyBorder="1" applyAlignment="1" applyProtection="1">
      <alignment horizontal="right"/>
      <protection/>
    </xf>
    <xf numFmtId="0" fontId="41" fillId="0" borderId="0" xfId="0" applyFont="1" applyAlignment="1">
      <alignment horizontal="justify"/>
    </xf>
    <xf numFmtId="0" fontId="54" fillId="0" borderId="0" xfId="0" applyFont="1" applyAlignment="1">
      <alignment/>
    </xf>
    <xf numFmtId="0" fontId="57" fillId="0" borderId="27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166" fontId="41" fillId="0" borderId="10" xfId="40" applyNumberFormat="1" applyFont="1" applyFill="1" applyBorder="1" applyAlignment="1" applyProtection="1">
      <alignment/>
      <protection/>
    </xf>
    <xf numFmtId="166" fontId="41" fillId="0" borderId="14" xfId="40" applyNumberFormat="1" applyFont="1" applyFill="1" applyBorder="1" applyAlignment="1" applyProtection="1">
      <alignment/>
      <protection/>
    </xf>
    <xf numFmtId="166" fontId="41" fillId="0" borderId="21" xfId="40" applyNumberFormat="1" applyFont="1" applyFill="1" applyBorder="1" applyAlignment="1" applyProtection="1">
      <alignment/>
      <protection/>
    </xf>
    <xf numFmtId="0" fontId="41" fillId="0" borderId="38" xfId="0" applyFont="1" applyBorder="1" applyAlignment="1">
      <alignment/>
    </xf>
    <xf numFmtId="166" fontId="41" fillId="0" borderId="29" xfId="4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28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8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3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3" fontId="49" fillId="0" borderId="18" xfId="0" applyNumberFormat="1" applyFont="1" applyBorder="1" applyAlignment="1">
      <alignment vertical="center"/>
    </xf>
    <xf numFmtId="3" fontId="49" fillId="0" borderId="30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26" xfId="0" applyNumberFormat="1" applyFont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49" fillId="0" borderId="28" xfId="0" applyNumberFormat="1" applyFont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9" fillId="0" borderId="38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23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28" xfId="0" applyNumberFormat="1" applyFont="1" applyBorder="1" applyAlignment="1">
      <alignment horizontal="right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21" fillId="0" borderId="58" xfId="0" applyFont="1" applyBorder="1" applyAlignment="1">
      <alignment/>
    </xf>
    <xf numFmtId="0" fontId="25" fillId="0" borderId="58" xfId="0" applyFont="1" applyBorder="1" applyAlignment="1">
      <alignment/>
    </xf>
    <xf numFmtId="0" fontId="0" fillId="0" borderId="58" xfId="0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8" xfId="0" applyFont="1" applyBorder="1" applyAlignment="1">
      <alignment/>
    </xf>
    <xf numFmtId="3" fontId="29" fillId="0" borderId="58" xfId="0" applyNumberFormat="1" applyFont="1" applyBorder="1" applyAlignment="1">
      <alignment/>
    </xf>
    <xf numFmtId="0" fontId="36" fillId="0" borderId="58" xfId="0" applyFont="1" applyBorder="1" applyAlignment="1">
      <alignment/>
    </xf>
    <xf numFmtId="0" fontId="14" fillId="0" borderId="58" xfId="0" applyFont="1" applyBorder="1" applyAlignment="1">
      <alignment wrapText="1"/>
    </xf>
    <xf numFmtId="3" fontId="44" fillId="0" borderId="58" xfId="0" applyNumberFormat="1" applyFont="1" applyBorder="1" applyAlignment="1">
      <alignment/>
    </xf>
    <xf numFmtId="3" fontId="61" fillId="0" borderId="58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7" fillId="0" borderId="58" xfId="0" applyFont="1" applyBorder="1" applyAlignment="1">
      <alignment/>
    </xf>
    <xf numFmtId="0" fontId="29" fillId="0" borderId="58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9" fillId="0" borderId="58" xfId="0" applyFont="1" applyBorder="1" applyAlignment="1">
      <alignment/>
    </xf>
    <xf numFmtId="0" fontId="36" fillId="0" borderId="58" xfId="0" applyFont="1" applyBorder="1" applyAlignment="1">
      <alignment wrapText="1"/>
    </xf>
    <xf numFmtId="0" fontId="29" fillId="0" borderId="58" xfId="0" applyFont="1" applyBorder="1" applyAlignment="1">
      <alignment/>
    </xf>
    <xf numFmtId="0" fontId="0" fillId="0" borderId="0" xfId="0" applyAlignment="1">
      <alignment wrapText="1"/>
    </xf>
    <xf numFmtId="3" fontId="29" fillId="0" borderId="58" xfId="0" applyNumberFormat="1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3" fontId="14" fillId="0" borderId="6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44" fillId="0" borderId="58" xfId="0" applyFont="1" applyBorder="1" applyAlignment="1">
      <alignment/>
    </xf>
    <xf numFmtId="0" fontId="23" fillId="0" borderId="58" xfId="0" applyFont="1" applyBorder="1" applyAlignment="1">
      <alignment horizontal="center"/>
    </xf>
    <xf numFmtId="0" fontId="23" fillId="0" borderId="58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0" fontId="21" fillId="0" borderId="54" xfId="0" applyFont="1" applyBorder="1" applyAlignment="1">
      <alignment/>
    </xf>
    <xf numFmtId="0" fontId="29" fillId="0" borderId="55" xfId="0" applyFont="1" applyBorder="1" applyAlignment="1">
      <alignment horizontal="center"/>
    </xf>
    <xf numFmtId="0" fontId="37" fillId="0" borderId="58" xfId="0" applyFont="1" applyBorder="1" applyAlignment="1">
      <alignment/>
    </xf>
    <xf numFmtId="3" fontId="37" fillId="0" borderId="58" xfId="0" applyNumberFormat="1" applyFont="1" applyBorder="1" applyAlignment="1">
      <alignment/>
    </xf>
    <xf numFmtId="0" fontId="35" fillId="0" borderId="58" xfId="0" applyFont="1" applyBorder="1" applyAlignment="1">
      <alignment/>
    </xf>
    <xf numFmtId="3" fontId="35" fillId="0" borderId="58" xfId="0" applyNumberFormat="1" applyFont="1" applyBorder="1" applyAlignment="1">
      <alignment/>
    </xf>
    <xf numFmtId="0" fontId="27" fillId="0" borderId="50" xfId="0" applyFont="1" applyBorder="1" applyAlignment="1">
      <alignment vertical="center"/>
    </xf>
    <xf numFmtId="168" fontId="27" fillId="0" borderId="44" xfId="4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9" fillId="0" borderId="15" xfId="0" applyFont="1" applyBorder="1" applyAlignment="1">
      <alignment horizontal="left" vertical="center"/>
    </xf>
    <xf numFmtId="0" fontId="29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13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1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/>
    </xf>
    <xf numFmtId="0" fontId="23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45" fillId="0" borderId="0" xfId="54" applyFont="1" applyBorder="1" applyAlignment="1" applyProtection="1">
      <alignment horizontal="center"/>
      <protection/>
    </xf>
    <xf numFmtId="0" fontId="46" fillId="0" borderId="0" xfId="54" applyFont="1" applyBorder="1" applyAlignment="1" applyProtection="1">
      <alignment horizontal="center"/>
      <protection/>
    </xf>
    <xf numFmtId="0" fontId="29" fillId="0" borderId="0" xfId="54" applyFont="1" applyBorder="1" applyAlignment="1" applyProtection="1">
      <alignment horizontal="center"/>
      <protection/>
    </xf>
    <xf numFmtId="0" fontId="29" fillId="0" borderId="13" xfId="54" applyFont="1" applyBorder="1" applyAlignment="1" applyProtection="1">
      <alignment horizontal="center"/>
      <protection/>
    </xf>
    <xf numFmtId="0" fontId="48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6" fontId="28" fillId="0" borderId="10" xfId="40" applyNumberFormat="1" applyFont="1" applyFill="1" applyBorder="1" applyAlignment="1" applyProtection="1">
      <alignment horizontal="center" vertical="center"/>
      <protection/>
    </xf>
    <xf numFmtId="166" fontId="28" fillId="0" borderId="11" xfId="40" applyNumberFormat="1" applyFont="1" applyFill="1" applyBorder="1" applyAlignment="1" applyProtection="1">
      <alignment horizontal="center" vertical="center"/>
      <protection/>
    </xf>
    <xf numFmtId="166" fontId="28" fillId="0" borderId="12" xfId="40" applyNumberFormat="1" applyFont="1" applyFill="1" applyBorder="1" applyAlignment="1" applyProtection="1">
      <alignment horizontal="center" vertical="center"/>
      <protection/>
    </xf>
    <xf numFmtId="166" fontId="27" fillId="0" borderId="13" xfId="4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2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/>
    </xf>
    <xf numFmtId="0" fontId="57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49" fillId="0" borderId="0" xfId="0" applyFont="1" applyFill="1" applyBorder="1" applyAlignment="1">
      <alignment horizontal="justify" vertic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162</xdr:row>
      <xdr:rowOff>38100</xdr:rowOff>
    </xdr:from>
    <xdr:to>
      <xdr:col>2</xdr:col>
      <xdr:colOff>180975</xdr:colOff>
      <xdr:row>163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4448175" y="31041975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kv2005v&#233;g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intinormat20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6">
          <cell r="G16">
            <v>0</v>
          </cell>
        </row>
        <row r="17">
          <cell r="G17">
            <v>0</v>
          </cell>
        </row>
        <row r="22">
          <cell r="G22">
            <v>0</v>
          </cell>
        </row>
        <row r="23">
          <cell r="G2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5">
          <cell r="G95">
            <v>0</v>
          </cell>
        </row>
        <row r="96">
          <cell r="G96">
            <v>0</v>
          </cell>
        </row>
        <row r="99">
          <cell r="G99">
            <v>0</v>
          </cell>
        </row>
        <row r="100">
          <cell r="G100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8">
          <cell r="G158">
            <v>0</v>
          </cell>
        </row>
        <row r="159">
          <cell r="G159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1">
          <cell r="G211">
            <v>0</v>
          </cell>
        </row>
        <row r="212">
          <cell r="G212">
            <v>0</v>
          </cell>
        </row>
        <row r="215">
          <cell r="G215">
            <v>0</v>
          </cell>
        </row>
        <row r="216">
          <cell r="G216">
            <v>0</v>
          </cell>
        </row>
        <row r="243">
          <cell r="G243">
            <v>0</v>
          </cell>
        </row>
        <row r="248">
          <cell r="G248">
            <v>0</v>
          </cell>
        </row>
        <row r="249">
          <cell r="G2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A29" sqref="A29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ht="12.75">
      <c r="D1" s="1" t="s">
        <v>0</v>
      </c>
    </row>
    <row r="2" spans="1:4" s="2" customFormat="1" ht="15">
      <c r="A2" s="902" t="s">
        <v>1</v>
      </c>
      <c r="B2" s="902"/>
      <c r="C2" s="902"/>
      <c r="D2" s="902"/>
    </row>
    <row r="3" spans="1:4" s="2" customFormat="1" ht="15">
      <c r="A3" s="902" t="s">
        <v>2</v>
      </c>
      <c r="B3" s="902"/>
      <c r="C3" s="902"/>
      <c r="D3" s="902"/>
    </row>
    <row r="4" spans="1:4" ht="15.75">
      <c r="A4" s="903" t="s">
        <v>3</v>
      </c>
      <c r="B4" s="903"/>
      <c r="C4" s="903" t="s">
        <v>4</v>
      </c>
      <c r="D4" s="903"/>
    </row>
    <row r="5" spans="1:4" s="4" customFormat="1" ht="15.75">
      <c r="A5" s="3" t="s">
        <v>5</v>
      </c>
      <c r="B5" s="3" t="s">
        <v>6</v>
      </c>
      <c r="C5" s="3" t="s">
        <v>5</v>
      </c>
      <c r="D5" s="3" t="s">
        <v>6</v>
      </c>
    </row>
    <row r="6" spans="1:4" s="4" customFormat="1" ht="15">
      <c r="A6" s="5" t="s">
        <v>7</v>
      </c>
      <c r="B6" s="6">
        <f>'2_sz_ melléklet'!D6</f>
        <v>1456952</v>
      </c>
      <c r="C6" s="5" t="s">
        <v>8</v>
      </c>
      <c r="D6" s="7">
        <f>'1_a_sz_ melléklet'!D15</f>
        <v>3478014</v>
      </c>
    </row>
    <row r="7" spans="1:4" s="4" customFormat="1" ht="15">
      <c r="A7" s="5" t="s">
        <v>9</v>
      </c>
      <c r="B7" s="6">
        <f>'2_a_d_sz_ melléklet'!D10</f>
        <v>860</v>
      </c>
      <c r="C7" s="5"/>
      <c r="D7" s="7"/>
    </row>
    <row r="8" spans="1:4" s="4" customFormat="1" ht="7.5" customHeight="1">
      <c r="A8" s="5"/>
      <c r="B8" s="6"/>
      <c r="C8" s="8"/>
      <c r="D8" s="9"/>
    </row>
    <row r="9" spans="1:4" s="4" customFormat="1" ht="25.5">
      <c r="A9" s="10" t="s">
        <v>10</v>
      </c>
      <c r="B9" s="6">
        <f>'2_sz_ melléklet'!D13</f>
        <v>2301076.137</v>
      </c>
      <c r="C9" s="5" t="s">
        <v>11</v>
      </c>
      <c r="D9" s="7">
        <f>'1_a_sz_ melléklet'!D22</f>
        <v>429077</v>
      </c>
    </row>
    <row r="10" spans="1:4" s="4" customFormat="1" ht="7.5" customHeight="1">
      <c r="A10" s="5"/>
      <c r="B10" s="6"/>
      <c r="C10" s="8"/>
      <c r="D10" s="7"/>
    </row>
    <row r="11" spans="1:4" s="4" customFormat="1" ht="25.5">
      <c r="A11" s="5" t="s">
        <v>12</v>
      </c>
      <c r="B11" s="6">
        <f>'2_sz_ melléklet'!D26</f>
        <v>450000</v>
      </c>
      <c r="C11" s="10" t="s">
        <v>13</v>
      </c>
      <c r="D11" s="7">
        <f>'1_a_sz_ melléklet'!D27</f>
        <v>33203</v>
      </c>
    </row>
    <row r="12" spans="1:4" s="4" customFormat="1" ht="15">
      <c r="A12" s="5" t="s">
        <v>14</v>
      </c>
      <c r="B12" s="6">
        <f>'2_i_j_sz_ mell_'!E66</f>
        <v>7000</v>
      </c>
      <c r="C12" s="10"/>
      <c r="D12" s="9"/>
    </row>
    <row r="13" spans="1:4" s="4" customFormat="1" ht="9.75" customHeight="1">
      <c r="A13" s="5"/>
      <c r="B13" s="6"/>
      <c r="C13" s="8"/>
      <c r="D13" s="9"/>
    </row>
    <row r="14" spans="1:4" s="4" customFormat="1" ht="46.5" customHeight="1">
      <c r="A14" s="10" t="s">
        <v>15</v>
      </c>
      <c r="B14" s="6">
        <f>'2_sz_ melléklet'!D33</f>
        <v>4500</v>
      </c>
      <c r="C14" s="10" t="s">
        <v>16</v>
      </c>
      <c r="D14" s="7">
        <f>'1_a_sz_ melléklet'!D32</f>
        <v>239600</v>
      </c>
    </row>
    <row r="15" spans="1:4" s="4" customFormat="1" ht="8.25" customHeight="1">
      <c r="A15" s="5"/>
      <c r="B15" s="6"/>
      <c r="C15" s="8"/>
      <c r="D15" s="7"/>
    </row>
    <row r="16" spans="1:4" s="4" customFormat="1" ht="15">
      <c r="A16" s="5" t="s">
        <v>17</v>
      </c>
      <c r="B16" s="6">
        <f>'2_sz_ melléklet'!D37</f>
        <v>0</v>
      </c>
      <c r="C16" s="5" t="s">
        <v>18</v>
      </c>
      <c r="D16" s="7">
        <f>'1_a_sz_ melléklet'!D37</f>
        <v>6000</v>
      </c>
    </row>
    <row r="17" spans="1:4" s="4" customFormat="1" ht="8.25" customHeight="1">
      <c r="A17" s="8"/>
      <c r="B17" s="6"/>
      <c r="C17" s="8"/>
      <c r="D17" s="9"/>
    </row>
    <row r="18" spans="1:4" s="4" customFormat="1" ht="15">
      <c r="A18" s="8"/>
      <c r="B18" s="6"/>
      <c r="C18" s="5" t="s">
        <v>19</v>
      </c>
      <c r="D18" s="7">
        <f>D19+D20</f>
        <v>272114</v>
      </c>
    </row>
    <row r="19" spans="1:4" s="4" customFormat="1" ht="15">
      <c r="A19" s="8"/>
      <c r="B19" s="6"/>
      <c r="C19" s="8" t="s">
        <v>20</v>
      </c>
      <c r="D19" s="9">
        <f>'1_a_sz_ melléklet'!D40</f>
        <v>15000</v>
      </c>
    </row>
    <row r="20" spans="1:4" s="4" customFormat="1" ht="15">
      <c r="A20" s="8"/>
      <c r="B20" s="6"/>
      <c r="C20" s="8" t="s">
        <v>21</v>
      </c>
      <c r="D20" s="9">
        <f>'1_a_sz_ melléklet'!D41</f>
        <v>257114</v>
      </c>
    </row>
    <row r="21" spans="1:4" s="11" customFormat="1" ht="14.25">
      <c r="A21" s="8"/>
      <c r="B21" s="6"/>
      <c r="C21" s="8" t="s">
        <v>22</v>
      </c>
      <c r="D21" s="9">
        <f>'5_sz_ melléklet'!B10</f>
        <v>20000</v>
      </c>
    </row>
    <row r="22" spans="1:4" s="4" customFormat="1" ht="15">
      <c r="A22" s="12"/>
      <c r="B22" s="13"/>
      <c r="C22" s="12"/>
      <c r="D22" s="14"/>
    </row>
    <row r="23" spans="1:4" s="18" customFormat="1" ht="15.75">
      <c r="A23" s="15" t="s">
        <v>23</v>
      </c>
      <c r="B23" s="16">
        <f>B16+B14+B11+B9+B6</f>
        <v>4212528.137</v>
      </c>
      <c r="C23" s="15" t="s">
        <v>24</v>
      </c>
      <c r="D23" s="17">
        <f>D18+D14+D11+D9+D6+D16</f>
        <v>4458008</v>
      </c>
    </row>
    <row r="24" spans="1:4" ht="12.75">
      <c r="A24" s="19"/>
      <c r="B24" s="20"/>
      <c r="C24" s="19"/>
      <c r="D24" s="21"/>
    </row>
    <row r="25" spans="1:4" s="22" customFormat="1" ht="15">
      <c r="A25" s="5" t="s">
        <v>25</v>
      </c>
      <c r="B25" s="6">
        <f>B26+B27</f>
        <v>259207.8629999999</v>
      </c>
      <c r="C25" s="5" t="s">
        <v>26</v>
      </c>
      <c r="D25" s="7">
        <f>D26+D27</f>
        <v>13728</v>
      </c>
    </row>
    <row r="26" spans="1:4" s="22" customFormat="1" ht="15">
      <c r="A26" s="23" t="s">
        <v>27</v>
      </c>
      <c r="B26" s="13">
        <f>'2_sz_ melléklet'!D43</f>
        <v>228808.8629999999</v>
      </c>
      <c r="C26" s="23" t="s">
        <v>27</v>
      </c>
      <c r="D26" s="24">
        <f>'1_a_sz_ melléklet'!D47</f>
        <v>0</v>
      </c>
    </row>
    <row r="27" spans="1:4" s="22" customFormat="1" ht="15">
      <c r="A27" s="23" t="s">
        <v>28</v>
      </c>
      <c r="B27" s="13">
        <f>'2_sz_ melléklet'!D44</f>
        <v>30399</v>
      </c>
      <c r="C27" s="23" t="s">
        <v>29</v>
      </c>
      <c r="D27" s="24">
        <f>'1_a_sz_ melléklet'!D48</f>
        <v>13728</v>
      </c>
    </row>
    <row r="28" spans="1:4" ht="12.75">
      <c r="A28" s="12"/>
      <c r="B28" s="25"/>
      <c r="C28" s="12"/>
      <c r="D28" s="14"/>
    </row>
    <row r="29" spans="1:4" s="18" customFormat="1" ht="15.75">
      <c r="A29" s="15" t="s">
        <v>30</v>
      </c>
      <c r="B29" s="16">
        <f>B25+B23</f>
        <v>4471736</v>
      </c>
      <c r="C29" s="15" t="s">
        <v>31</v>
      </c>
      <c r="D29" s="17">
        <f>D23+D25</f>
        <v>4471736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/>
  <headerFooter alignWithMargins="0">
    <oddFooter>&amp;RKészült:2008.02.13.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D92"/>
  <sheetViews>
    <sheetView zoomScalePageLayoutView="0" workbookViewId="0" topLeftCell="A70">
      <selection activeCell="A92" sqref="A92"/>
    </sheetView>
  </sheetViews>
  <sheetFormatPr defaultColWidth="9.140625" defaultRowHeight="12.75"/>
  <cols>
    <col min="1" max="1" width="47.281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905" t="s">
        <v>311</v>
      </c>
      <c r="B4" s="905"/>
      <c r="C4" s="905"/>
      <c r="D4" s="905"/>
    </row>
    <row r="5" ht="15.75">
      <c r="A5" s="29"/>
    </row>
    <row r="6" spans="1:4" ht="15.75">
      <c r="A6" s="904" t="s">
        <v>312</v>
      </c>
      <c r="B6" s="904"/>
      <c r="C6" s="904"/>
      <c r="D6" s="904"/>
    </row>
    <row r="7" spans="1:4" ht="15.75">
      <c r="A7" s="27"/>
      <c r="B7" s="28"/>
      <c r="C7" s="28"/>
      <c r="D7" s="28"/>
    </row>
    <row r="8" spans="1:4" ht="15.75">
      <c r="A8" s="27"/>
      <c r="B8" s="28"/>
      <c r="C8" s="28"/>
      <c r="D8" s="28"/>
    </row>
    <row r="9" spans="1:4" ht="12.75">
      <c r="A9" s="912" t="s">
        <v>215</v>
      </c>
      <c r="B9" s="912"/>
      <c r="C9" s="912"/>
      <c r="D9" s="912"/>
    </row>
    <row r="10" spans="1:4" ht="15.75">
      <c r="A10" s="334" t="s">
        <v>313</v>
      </c>
      <c r="B10" s="345"/>
      <c r="C10" s="914" t="s">
        <v>217</v>
      </c>
      <c r="D10" s="914"/>
    </row>
    <row r="11" spans="1:4" ht="12.75">
      <c r="A11" s="251"/>
      <c r="B11" s="346"/>
      <c r="C11" s="915" t="s">
        <v>40</v>
      </c>
      <c r="D11" s="915"/>
    </row>
    <row r="12" spans="1:4" ht="12.75">
      <c r="A12" s="194" t="s">
        <v>314</v>
      </c>
      <c r="B12" s="37"/>
      <c r="C12" s="347"/>
      <c r="D12" s="348">
        <v>571</v>
      </c>
    </row>
    <row r="13" spans="1:4" ht="12.75">
      <c r="A13" s="88" t="s">
        <v>315</v>
      </c>
      <c r="B13" s="349"/>
      <c r="C13" s="350"/>
      <c r="D13" s="351">
        <v>571</v>
      </c>
    </row>
    <row r="14" spans="1:4" ht="12.75">
      <c r="A14" s="88" t="s">
        <v>316</v>
      </c>
      <c r="B14" s="349"/>
      <c r="C14" s="350"/>
      <c r="D14" s="351"/>
    </row>
    <row r="15" spans="1:4" ht="12.75">
      <c r="A15" s="194"/>
      <c r="B15" s="37"/>
      <c r="C15" s="350"/>
      <c r="D15" s="351"/>
    </row>
    <row r="16" spans="1:4" ht="12.75">
      <c r="A16" s="88"/>
      <c r="B16" s="349"/>
      <c r="C16" s="350"/>
      <c r="D16" s="351"/>
    </row>
    <row r="17" spans="1:4" ht="12.75">
      <c r="A17" s="87"/>
      <c r="B17" s="349"/>
      <c r="C17" s="350"/>
      <c r="D17" s="351"/>
    </row>
    <row r="18" spans="1:4" ht="12.75">
      <c r="A18" s="194"/>
      <c r="B18" s="37"/>
      <c r="C18" s="352"/>
      <c r="D18" s="353"/>
    </row>
    <row r="19" spans="1:4" ht="12.75">
      <c r="A19" s="90" t="s">
        <v>317</v>
      </c>
      <c r="B19" s="354"/>
      <c r="C19" s="355"/>
      <c r="D19" s="356">
        <f>SUM(D12:D18)</f>
        <v>1142</v>
      </c>
    </row>
    <row r="20" spans="1:4" ht="12.75">
      <c r="A20" s="90" t="s">
        <v>318</v>
      </c>
      <c r="B20" s="354"/>
      <c r="C20" s="355"/>
      <c r="D20" s="356">
        <v>278524</v>
      </c>
    </row>
    <row r="21" spans="1:4" ht="12.75">
      <c r="A21" s="326"/>
      <c r="B21" s="37"/>
      <c r="C21" s="357"/>
      <c r="D21" s="357"/>
    </row>
    <row r="22" spans="1:4" ht="12.75">
      <c r="A22" s="326"/>
      <c r="B22" s="37"/>
      <c r="C22" s="357"/>
      <c r="D22" s="357"/>
    </row>
    <row r="24" spans="1:4" ht="14.25">
      <c r="A24" s="905" t="s">
        <v>319</v>
      </c>
      <c r="B24" s="905"/>
      <c r="C24" s="905"/>
      <c r="D24" s="905"/>
    </row>
    <row r="26" spans="1:4" ht="15.75">
      <c r="A26" s="904" t="s">
        <v>320</v>
      </c>
      <c r="B26" s="904"/>
      <c r="C26" s="904"/>
      <c r="D26" s="904"/>
    </row>
    <row r="27" ht="15.75">
      <c r="A27" s="29"/>
    </row>
    <row r="28" spans="1:4" ht="12.75">
      <c r="A28" s="912" t="s">
        <v>321</v>
      </c>
      <c r="B28" s="912"/>
      <c r="C28" s="912"/>
      <c r="D28" s="912"/>
    </row>
    <row r="29" spans="1:4" ht="15.75">
      <c r="A29" s="334" t="s">
        <v>313</v>
      </c>
      <c r="B29" s="345"/>
      <c r="C29" s="914" t="s">
        <v>217</v>
      </c>
      <c r="D29" s="914"/>
    </row>
    <row r="30" spans="1:4" ht="12.75">
      <c r="A30" s="251"/>
      <c r="B30" s="346"/>
      <c r="C30" s="915" t="s">
        <v>40</v>
      </c>
      <c r="D30" s="915"/>
    </row>
    <row r="31" spans="1:4" ht="12.75">
      <c r="A31" s="194" t="s">
        <v>322</v>
      </c>
      <c r="B31" s="37"/>
      <c r="C31" s="144"/>
      <c r="D31" s="358"/>
    </row>
    <row r="32" spans="1:4" ht="12.75">
      <c r="A32" s="88" t="s">
        <v>323</v>
      </c>
      <c r="B32" s="349"/>
      <c r="C32" s="147"/>
      <c r="D32" s="359">
        <v>0</v>
      </c>
    </row>
    <row r="33" spans="1:4" ht="12.75">
      <c r="A33" s="88" t="s">
        <v>324</v>
      </c>
      <c r="B33" s="349"/>
      <c r="C33" s="147"/>
      <c r="D33" s="359"/>
    </row>
    <row r="34" spans="1:4" ht="12.75">
      <c r="A34" s="88" t="s">
        <v>325</v>
      </c>
      <c r="B34" s="360"/>
      <c r="C34" s="916">
        <v>0</v>
      </c>
      <c r="D34" s="916"/>
    </row>
    <row r="35" spans="1:4" ht="12.75">
      <c r="A35" s="194" t="s">
        <v>326</v>
      </c>
      <c r="B35" s="37"/>
      <c r="C35" s="917">
        <v>0</v>
      </c>
      <c r="D35" s="917"/>
    </row>
    <row r="36" spans="1:4" ht="12.75">
      <c r="A36" s="90" t="s">
        <v>327</v>
      </c>
      <c r="B36" s="354"/>
      <c r="C36" s="361"/>
      <c r="D36" s="362">
        <f>SUM(D31+D32+C34+C35)</f>
        <v>0</v>
      </c>
    </row>
    <row r="37" spans="1:4" ht="12.75">
      <c r="A37" s="326"/>
      <c r="B37" s="37"/>
      <c r="C37" s="357"/>
      <c r="D37" s="357"/>
    </row>
    <row r="38" spans="1:4" ht="12.75">
      <c r="A38" s="326"/>
      <c r="B38" s="37"/>
      <c r="C38" s="357"/>
      <c r="D38" s="357"/>
    </row>
    <row r="55" spans="1:4" ht="14.25">
      <c r="A55" s="26"/>
      <c r="B55" s="26"/>
      <c r="C55" s="26"/>
      <c r="D55" s="26" t="s">
        <v>328</v>
      </c>
    </row>
    <row r="56" spans="1:4" ht="14.25">
      <c r="A56" s="26"/>
      <c r="B56" s="26"/>
      <c r="C56" s="26"/>
      <c r="D56" s="26"/>
    </row>
    <row r="58" spans="1:4" ht="15.75">
      <c r="A58" s="904" t="s">
        <v>329</v>
      </c>
      <c r="B58" s="904"/>
      <c r="C58" s="904"/>
      <c r="D58" s="904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2.75">
      <c r="A61" s="363"/>
      <c r="B61" s="363"/>
      <c r="C61" s="363"/>
      <c r="D61" s="363" t="s">
        <v>321</v>
      </c>
    </row>
    <row r="62" spans="1:4" ht="15.75">
      <c r="A62" s="334" t="s">
        <v>313</v>
      </c>
      <c r="B62" s="33" t="s">
        <v>330</v>
      </c>
      <c r="C62" s="345" t="s">
        <v>331</v>
      </c>
      <c r="D62" s="33" t="s">
        <v>217</v>
      </c>
    </row>
    <row r="63" spans="1:4" ht="12.75">
      <c r="A63" s="194"/>
      <c r="B63" s="50" t="s">
        <v>40</v>
      </c>
      <c r="C63" s="326" t="s">
        <v>40</v>
      </c>
      <c r="D63" s="50" t="s">
        <v>40</v>
      </c>
    </row>
    <row r="64" spans="1:4" s="228" customFormat="1" ht="12.75">
      <c r="A64" s="364" t="s">
        <v>332</v>
      </c>
      <c r="B64" s="16">
        <f>SUM(B65:B69)</f>
        <v>298559</v>
      </c>
      <c r="C64" s="16">
        <f>C70</f>
        <v>91848</v>
      </c>
      <c r="D64" s="201">
        <f>SUM(B64:C64)</f>
        <v>390407</v>
      </c>
    </row>
    <row r="65" spans="1:4" s="37" customFormat="1" ht="12.75">
      <c r="A65" s="87" t="s">
        <v>333</v>
      </c>
      <c r="B65" s="48">
        <v>298559</v>
      </c>
      <c r="C65" s="69"/>
      <c r="D65" s="365">
        <f aca="true" t="shared" si="0" ref="D65:D92">SUM(B65:C65)</f>
        <v>298559</v>
      </c>
    </row>
    <row r="66" spans="1:4" s="37" customFormat="1" ht="12.75">
      <c r="A66" s="88" t="s">
        <v>334</v>
      </c>
      <c r="B66" s="244"/>
      <c r="C66" s="39"/>
      <c r="D66" s="366">
        <f t="shared" si="0"/>
        <v>0</v>
      </c>
    </row>
    <row r="67" spans="1:4" s="37" customFormat="1" ht="12.75">
      <c r="A67" s="88" t="s">
        <v>335</v>
      </c>
      <c r="B67" s="39"/>
      <c r="C67" s="39"/>
      <c r="D67" s="366">
        <f t="shared" si="0"/>
        <v>0</v>
      </c>
    </row>
    <row r="68" spans="1:4" s="37" customFormat="1" ht="12.75">
      <c r="A68" s="88" t="s">
        <v>336</v>
      </c>
      <c r="B68" s="55"/>
      <c r="C68" s="39"/>
      <c r="D68" s="366">
        <f t="shared" si="0"/>
        <v>0</v>
      </c>
    </row>
    <row r="69" spans="1:4" s="37" customFormat="1" ht="12.75">
      <c r="A69" s="194"/>
      <c r="B69" s="51"/>
      <c r="C69" s="78"/>
      <c r="D69" s="116"/>
    </row>
    <row r="70" spans="1:4" s="228" customFormat="1" ht="12.75">
      <c r="A70" s="367" t="s">
        <v>337</v>
      </c>
      <c r="B70" s="60"/>
      <c r="C70" s="16">
        <f>SUM(C71:C80)</f>
        <v>91848</v>
      </c>
      <c r="D70" s="368">
        <f t="shared" si="0"/>
        <v>91848</v>
      </c>
    </row>
    <row r="71" spans="1:4" ht="12.75">
      <c r="A71" s="177" t="s">
        <v>338</v>
      </c>
      <c r="B71" s="49"/>
      <c r="C71" s="48">
        <v>30000</v>
      </c>
      <c r="D71" s="365">
        <f t="shared" si="0"/>
        <v>30000</v>
      </c>
    </row>
    <row r="72" spans="1:4" ht="12.75">
      <c r="A72" s="8" t="s">
        <v>339</v>
      </c>
      <c r="B72" s="40"/>
      <c r="C72" s="39">
        <v>4000</v>
      </c>
      <c r="D72" s="366">
        <f t="shared" si="0"/>
        <v>4000</v>
      </c>
    </row>
    <row r="73" spans="1:4" ht="12.75">
      <c r="A73" s="8" t="s">
        <v>340</v>
      </c>
      <c r="B73" s="40"/>
      <c r="C73" s="39">
        <v>800</v>
      </c>
      <c r="D73" s="366">
        <f t="shared" si="0"/>
        <v>800</v>
      </c>
    </row>
    <row r="74" spans="1:4" ht="12.75">
      <c r="A74" s="369" t="s">
        <v>341</v>
      </c>
      <c r="B74" s="40"/>
      <c r="C74" s="39">
        <v>1501</v>
      </c>
      <c r="D74" s="366">
        <f t="shared" si="0"/>
        <v>1501</v>
      </c>
    </row>
    <row r="75" spans="1:4" ht="12.75">
      <c r="A75" s="369" t="s">
        <v>342</v>
      </c>
      <c r="B75" s="40"/>
      <c r="C75" s="39">
        <v>4000</v>
      </c>
      <c r="D75" s="366">
        <f t="shared" si="0"/>
        <v>4000</v>
      </c>
    </row>
    <row r="76" spans="1:4" ht="12.75">
      <c r="A76" s="370" t="s">
        <v>343</v>
      </c>
      <c r="B76" s="42"/>
      <c r="C76" s="58">
        <v>11000</v>
      </c>
      <c r="D76" s="371">
        <f t="shared" si="0"/>
        <v>11000</v>
      </c>
    </row>
    <row r="77" spans="1:4" ht="12.75">
      <c r="A77" s="370" t="s">
        <v>344</v>
      </c>
      <c r="B77" s="42"/>
      <c r="C77" s="58">
        <v>26342</v>
      </c>
      <c r="D77" s="371">
        <f t="shared" si="0"/>
        <v>26342</v>
      </c>
    </row>
    <row r="78" spans="1:4" ht="12.75">
      <c r="A78" s="369" t="s">
        <v>345</v>
      </c>
      <c r="B78" s="40"/>
      <c r="C78" s="39">
        <v>14205</v>
      </c>
      <c r="D78" s="366">
        <f t="shared" si="0"/>
        <v>14205</v>
      </c>
    </row>
    <row r="79" spans="1:4" ht="12.75">
      <c r="A79" s="372"/>
      <c r="B79" s="373"/>
      <c r="C79" s="63"/>
      <c r="D79" s="374">
        <f t="shared" si="0"/>
        <v>0</v>
      </c>
    </row>
    <row r="80" spans="1:4" ht="12.75">
      <c r="A80" s="375" t="s">
        <v>346</v>
      </c>
      <c r="B80" s="72"/>
      <c r="C80" s="64"/>
      <c r="D80" s="376"/>
    </row>
    <row r="81" spans="1:4" s="91" customFormat="1" ht="12.75">
      <c r="A81" s="15" t="s">
        <v>347</v>
      </c>
      <c r="B81" s="60"/>
      <c r="C81" s="16">
        <f>SUM(C82:C92)</f>
        <v>186418</v>
      </c>
      <c r="D81" s="16">
        <f t="shared" si="0"/>
        <v>186418</v>
      </c>
    </row>
    <row r="82" spans="1:4" ht="12.75">
      <c r="A82" s="377" t="s">
        <v>182</v>
      </c>
      <c r="B82" s="69"/>
      <c r="C82" s="109"/>
      <c r="D82" s="80">
        <f t="shared" si="0"/>
        <v>0</v>
      </c>
    </row>
    <row r="83" spans="1:4" ht="12.75">
      <c r="A83" s="88" t="s">
        <v>348</v>
      </c>
      <c r="B83" s="39"/>
      <c r="C83" s="55">
        <v>4924</v>
      </c>
      <c r="D83" s="244">
        <f t="shared" si="0"/>
        <v>4924</v>
      </c>
    </row>
    <row r="84" spans="1:4" ht="12.75">
      <c r="A84" s="88" t="s">
        <v>349</v>
      </c>
      <c r="B84" s="39"/>
      <c r="C84" s="55">
        <v>76499</v>
      </c>
      <c r="D84" s="244">
        <f t="shared" si="0"/>
        <v>76499</v>
      </c>
    </row>
    <row r="85" spans="1:4" ht="12.75">
      <c r="A85" s="298" t="s">
        <v>350</v>
      </c>
      <c r="B85" s="58"/>
      <c r="C85" s="149">
        <v>19588</v>
      </c>
      <c r="D85" s="25">
        <f t="shared" si="0"/>
        <v>19588</v>
      </c>
    </row>
    <row r="86" spans="1:4" ht="12.75">
      <c r="A86" s="378" t="s">
        <v>351</v>
      </c>
      <c r="B86" s="234"/>
      <c r="C86" s="379">
        <v>9707</v>
      </c>
      <c r="D86" s="25">
        <f t="shared" si="0"/>
        <v>9707</v>
      </c>
    </row>
    <row r="87" spans="1:4" ht="12.75">
      <c r="A87" s="378" t="s">
        <v>352</v>
      </c>
      <c r="B87" s="234"/>
      <c r="C87" s="379">
        <v>19710</v>
      </c>
      <c r="D87" s="25">
        <f t="shared" si="0"/>
        <v>19710</v>
      </c>
    </row>
    <row r="88" spans="1:4" ht="12.75">
      <c r="A88" s="378" t="s">
        <v>353</v>
      </c>
      <c r="B88" s="234"/>
      <c r="C88" s="379">
        <v>19250</v>
      </c>
      <c r="D88" s="25">
        <f t="shared" si="0"/>
        <v>19250</v>
      </c>
    </row>
    <row r="89" spans="1:4" ht="12.75">
      <c r="A89" s="378" t="s">
        <v>354</v>
      </c>
      <c r="B89" s="234"/>
      <c r="C89" s="379">
        <v>9655</v>
      </c>
      <c r="D89" s="25">
        <f t="shared" si="0"/>
        <v>9655</v>
      </c>
    </row>
    <row r="90" spans="1:4" ht="12.75">
      <c r="A90" s="378" t="s">
        <v>355</v>
      </c>
      <c r="B90" s="234"/>
      <c r="C90" s="379">
        <v>2500</v>
      </c>
      <c r="D90" s="25">
        <f t="shared" si="0"/>
        <v>2500</v>
      </c>
    </row>
    <row r="91" spans="1:4" ht="12.75">
      <c r="A91" s="378" t="s">
        <v>356</v>
      </c>
      <c r="B91" s="234"/>
      <c r="C91" s="379">
        <v>24585</v>
      </c>
      <c r="D91" s="25">
        <f t="shared" si="0"/>
        <v>24585</v>
      </c>
    </row>
    <row r="92" spans="1:4" ht="12.75">
      <c r="A92" s="380"/>
      <c r="B92" s="245"/>
      <c r="C92" s="381"/>
      <c r="D92" s="382">
        <f t="shared" si="0"/>
        <v>0</v>
      </c>
    </row>
  </sheetData>
  <sheetProtection/>
  <mergeCells count="13">
    <mergeCell ref="A58:D58"/>
    <mergeCell ref="A26:D26"/>
    <mergeCell ref="A28:D28"/>
    <mergeCell ref="C29:D29"/>
    <mergeCell ref="C30:D30"/>
    <mergeCell ref="C34:D34"/>
    <mergeCell ref="C35:D35"/>
    <mergeCell ref="A4:D4"/>
    <mergeCell ref="A6:D6"/>
    <mergeCell ref="A9:D9"/>
    <mergeCell ref="C10:D10"/>
    <mergeCell ref="C11:D11"/>
    <mergeCell ref="A24:D2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36">
      <selection activeCell="A80" sqref="A80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918" t="s">
        <v>357</v>
      </c>
      <c r="E1" s="918"/>
    </row>
    <row r="3" spans="1:5" ht="15.75">
      <c r="A3" s="904" t="s">
        <v>358</v>
      </c>
      <c r="B3" s="904"/>
      <c r="C3" s="904"/>
      <c r="D3" s="904"/>
      <c r="E3" s="904"/>
    </row>
    <row r="6" spans="4:5" ht="12.75">
      <c r="D6" s="918" t="s">
        <v>34</v>
      </c>
      <c r="E6" s="918"/>
    </row>
    <row r="7" spans="1:5" ht="12.75">
      <c r="A7" s="906" t="s">
        <v>359</v>
      </c>
      <c r="B7" s="919" t="s">
        <v>360</v>
      </c>
      <c r="C7" s="920" t="s">
        <v>361</v>
      </c>
      <c r="D7" s="920"/>
      <c r="E7" s="920"/>
    </row>
    <row r="8" spans="1:5" ht="12.75">
      <c r="A8" s="906"/>
      <c r="B8" s="919"/>
      <c r="C8" s="383" t="s">
        <v>362</v>
      </c>
      <c r="D8" s="384" t="s">
        <v>363</v>
      </c>
      <c r="E8" s="383" t="s">
        <v>364</v>
      </c>
    </row>
    <row r="9" spans="1:5" ht="12.75">
      <c r="A9" s="385" t="s">
        <v>365</v>
      </c>
      <c r="B9" s="386"/>
      <c r="C9" s="387"/>
      <c r="D9" s="388"/>
      <c r="E9" s="387">
        <f>SUM(C9:D9)</f>
        <v>0</v>
      </c>
    </row>
    <row r="10" spans="1:5" ht="12.75">
      <c r="A10" s="389" t="s">
        <v>366</v>
      </c>
      <c r="B10" s="383"/>
      <c r="C10" s="390">
        <f>SUM(C9)</f>
        <v>0</v>
      </c>
      <c r="D10" s="391"/>
      <c r="E10" s="390">
        <f>SUM(C10:D10)</f>
        <v>0</v>
      </c>
    </row>
    <row r="11" spans="1:5" ht="12.75">
      <c r="A11" s="392" t="s">
        <v>367</v>
      </c>
      <c r="B11" s="393"/>
      <c r="C11" s="394">
        <v>0</v>
      </c>
      <c r="D11" s="395">
        <v>0</v>
      </c>
      <c r="E11" s="396">
        <f>SUM(C11:D11)</f>
        <v>0</v>
      </c>
    </row>
    <row r="12" spans="1:5" ht="15">
      <c r="A12" s="397"/>
      <c r="B12" s="398"/>
      <c r="C12" s="399"/>
      <c r="D12" s="400"/>
      <c r="E12" s="401"/>
    </row>
    <row r="13" spans="1:5" ht="15">
      <c r="A13" s="397"/>
      <c r="B13" s="398"/>
      <c r="C13" s="402"/>
      <c r="D13" s="403"/>
      <c r="E13" s="404"/>
    </row>
    <row r="14" spans="1:5" ht="15">
      <c r="A14" s="88"/>
      <c r="B14" s="398"/>
      <c r="C14" s="402"/>
      <c r="D14" s="403"/>
      <c r="E14" s="404"/>
    </row>
    <row r="15" spans="1:5" ht="15">
      <c r="A15" s="88"/>
      <c r="B15" s="398"/>
      <c r="C15" s="402"/>
      <c r="D15" s="403"/>
      <c r="E15" s="404"/>
    </row>
    <row r="16" spans="1:5" ht="15">
      <c r="A16" s="88"/>
      <c r="B16" s="398"/>
      <c r="C16" s="402"/>
      <c r="D16" s="403"/>
      <c r="E16" s="404"/>
    </row>
    <row r="17" spans="1:5" ht="15">
      <c r="A17" s="88"/>
      <c r="B17" s="398"/>
      <c r="C17" s="402"/>
      <c r="D17" s="403"/>
      <c r="E17" s="404"/>
    </row>
    <row r="18" spans="1:5" ht="15">
      <c r="A18" s="298"/>
      <c r="B18" s="405"/>
      <c r="C18" s="406"/>
      <c r="D18" s="407"/>
      <c r="E18" s="408"/>
    </row>
    <row r="19" spans="1:5" ht="15.75">
      <c r="A19" s="90" t="s">
        <v>368</v>
      </c>
      <c r="B19" s="409"/>
      <c r="C19" s="410">
        <f>SUM(C11:C18)</f>
        <v>0</v>
      </c>
      <c r="D19" s="410">
        <f>SUM(D11:D18)</f>
        <v>0</v>
      </c>
      <c r="E19" s="411">
        <f>SUM(E11:E18)</f>
        <v>0</v>
      </c>
    </row>
    <row r="20" spans="1:5" ht="15.75">
      <c r="A20" s="412" t="s">
        <v>369</v>
      </c>
      <c r="B20" s="413"/>
      <c r="C20" s="414">
        <f>SUM(C10:C18)</f>
        <v>0</v>
      </c>
      <c r="D20" s="415">
        <f>SUM(D10:D18)</f>
        <v>0</v>
      </c>
      <c r="E20" s="415">
        <f>SUM(E10:E18)</f>
        <v>0</v>
      </c>
    </row>
    <row r="22" spans="3:5" ht="12.75">
      <c r="C22" s="918" t="s">
        <v>370</v>
      </c>
      <c r="D22" s="918"/>
      <c r="E22" s="918"/>
    </row>
    <row r="23" spans="3:5" ht="12.75">
      <c r="C23" s="416"/>
      <c r="D23" s="416"/>
      <c r="E23" s="416"/>
    </row>
    <row r="25" spans="1:5" ht="15.75">
      <c r="A25" s="904" t="s">
        <v>371</v>
      </c>
      <c r="B25" s="904"/>
      <c r="C25" s="904"/>
      <c r="D25" s="904"/>
      <c r="E25" s="904"/>
    </row>
    <row r="26" spans="1:5" ht="15.75">
      <c r="A26" s="904" t="s">
        <v>372</v>
      </c>
      <c r="B26" s="904"/>
      <c r="C26" s="904"/>
      <c r="D26" s="904"/>
      <c r="E26" s="904"/>
    </row>
    <row r="27" spans="1:5" ht="15.75">
      <c r="A27" s="27"/>
      <c r="B27" s="27"/>
      <c r="C27" s="27"/>
      <c r="D27" s="27"/>
      <c r="E27" s="27"/>
    </row>
    <row r="29" spans="4:5" ht="12.75">
      <c r="D29" s="921" t="s">
        <v>34</v>
      </c>
      <c r="E29" s="921"/>
    </row>
    <row r="30" spans="1:5" s="4" customFormat="1" ht="15.75">
      <c r="A30" s="417" t="s">
        <v>373</v>
      </c>
      <c r="B30" s="418"/>
      <c r="C30" s="419"/>
      <c r="D30" s="922" t="s">
        <v>180</v>
      </c>
      <c r="E30" s="922"/>
    </row>
    <row r="31" spans="1:5" ht="15.75">
      <c r="A31" s="420" t="s">
        <v>374</v>
      </c>
      <c r="B31" s="421"/>
      <c r="C31" s="422"/>
      <c r="D31" s="423"/>
      <c r="E31" s="424">
        <v>167000</v>
      </c>
    </row>
    <row r="32" spans="1:5" ht="15">
      <c r="A32" s="88" t="s">
        <v>375</v>
      </c>
      <c r="B32" s="37"/>
      <c r="C32" s="425"/>
      <c r="D32" s="426"/>
      <c r="E32" s="427">
        <v>0</v>
      </c>
    </row>
    <row r="33" spans="1:5" ht="32.25" customHeight="1">
      <c r="A33" s="923" t="s">
        <v>376</v>
      </c>
      <c r="B33" s="923"/>
      <c r="C33" s="923"/>
      <c r="D33" s="428"/>
      <c r="E33" s="429">
        <f>SUM(E31:E32)</f>
        <v>167000</v>
      </c>
    </row>
    <row r="36" spans="3:5" ht="12.75">
      <c r="C36" s="918" t="s">
        <v>377</v>
      </c>
      <c r="D36" s="918"/>
      <c r="E36" s="918"/>
    </row>
    <row r="38" spans="1:5" ht="15.75">
      <c r="A38" s="904" t="s">
        <v>378</v>
      </c>
      <c r="B38" s="904"/>
      <c r="C38" s="904"/>
      <c r="D38" s="904"/>
      <c r="E38" s="904"/>
    </row>
    <row r="39" spans="1:5" ht="15.75">
      <c r="A39" s="904"/>
      <c r="B39" s="904"/>
      <c r="C39" s="904"/>
      <c r="D39" s="904"/>
      <c r="E39" s="904"/>
    </row>
    <row r="41" spans="4:5" ht="12.75">
      <c r="D41" s="921" t="s">
        <v>34</v>
      </c>
      <c r="E41" s="921"/>
    </row>
    <row r="42" spans="1:5" ht="12.75">
      <c r="A42" s="430" t="s">
        <v>373</v>
      </c>
      <c r="B42" s="431"/>
      <c r="C42" s="432"/>
      <c r="D42" s="430" t="s">
        <v>180</v>
      </c>
      <c r="E42" s="432"/>
    </row>
    <row r="43" spans="1:5" ht="15">
      <c r="A43" s="433" t="s">
        <v>379</v>
      </c>
      <c r="B43" s="434"/>
      <c r="C43" s="435"/>
      <c r="D43" s="436"/>
      <c r="E43" s="437">
        <v>30000</v>
      </c>
    </row>
    <row r="44" spans="1:5" ht="15">
      <c r="A44" s="438" t="s">
        <v>380</v>
      </c>
      <c r="B44" s="439"/>
      <c r="C44" s="440"/>
      <c r="D44" s="441"/>
      <c r="E44" s="442">
        <v>246000</v>
      </c>
    </row>
    <row r="45" spans="1:5" ht="28.5" customHeight="1">
      <c r="A45" s="923" t="s">
        <v>381</v>
      </c>
      <c r="B45" s="923"/>
      <c r="C45" s="923"/>
      <c r="D45" s="443"/>
      <c r="E45" s="444">
        <f>SUM(E43:E44)</f>
        <v>276000</v>
      </c>
    </row>
    <row r="49" spans="3:5" ht="12.75">
      <c r="C49" s="918" t="s">
        <v>382</v>
      </c>
      <c r="D49" s="918"/>
      <c r="E49" s="918"/>
    </row>
    <row r="51" spans="1:5" ht="15.75">
      <c r="A51" s="904" t="s">
        <v>383</v>
      </c>
      <c r="B51" s="904"/>
      <c r="C51" s="904"/>
      <c r="D51" s="904"/>
      <c r="E51" s="904"/>
    </row>
    <row r="52" spans="1:5" ht="15.75">
      <c r="A52" s="27"/>
      <c r="B52" s="27"/>
      <c r="C52" s="27"/>
      <c r="D52" s="27"/>
      <c r="E52" s="27"/>
    </row>
    <row r="53" ht="12.75">
      <c r="E53" t="s">
        <v>384</v>
      </c>
    </row>
    <row r="54" spans="1:5" ht="26.25">
      <c r="A54" s="924" t="s">
        <v>373</v>
      </c>
      <c r="B54" s="924"/>
      <c r="C54" s="86" t="s">
        <v>385</v>
      </c>
      <c r="D54" s="86" t="s">
        <v>386</v>
      </c>
      <c r="E54" s="445" t="s">
        <v>180</v>
      </c>
    </row>
    <row r="55" spans="1:5" ht="12.75">
      <c r="A55" s="925" t="s">
        <v>387</v>
      </c>
      <c r="B55" s="925"/>
      <c r="C55" s="48">
        <v>0</v>
      </c>
      <c r="D55" s="48">
        <v>7000</v>
      </c>
      <c r="E55" s="94">
        <f>SUM(C55:D55)</f>
        <v>7000</v>
      </c>
    </row>
    <row r="56" spans="1:5" ht="12.75">
      <c r="A56" s="926" t="s">
        <v>388</v>
      </c>
      <c r="B56" s="926"/>
      <c r="C56" s="39">
        <v>0</v>
      </c>
      <c r="D56" s="39"/>
      <c r="E56" s="94">
        <f>SUM(C56:D56)</f>
        <v>0</v>
      </c>
    </row>
    <row r="57" spans="1:5" ht="12.75">
      <c r="A57" s="927" t="s">
        <v>389</v>
      </c>
      <c r="B57" s="927"/>
      <c r="C57" s="58"/>
      <c r="D57" s="58"/>
      <c r="E57" s="53">
        <f>SUM(C57:D57)</f>
        <v>0</v>
      </c>
    </row>
    <row r="58" spans="1:19" s="229" customFormat="1" ht="12.75">
      <c r="A58" s="928" t="s">
        <v>85</v>
      </c>
      <c r="B58" s="928"/>
      <c r="C58" s="16">
        <f>SUM(C55:C57)</f>
        <v>0</v>
      </c>
      <c r="D58" s="16">
        <f>SUM(D55:D57)</f>
        <v>7000</v>
      </c>
      <c r="E58" s="16">
        <f>SUM(E55:E57)</f>
        <v>7000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spans="1:19" s="91" customFormat="1" ht="12.75">
      <c r="A59" s="929"/>
      <c r="B59" s="929"/>
      <c r="C59" s="341"/>
      <c r="D59" s="82"/>
      <c r="E59" s="376">
        <f>D59+C59</f>
        <v>0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</row>
    <row r="60" spans="1:19" s="91" customFormat="1" ht="12.75">
      <c r="A60" s="927"/>
      <c r="B60" s="927"/>
      <c r="C60" s="13"/>
      <c r="D60" s="25"/>
      <c r="E60" s="376">
        <f>D60+C60</f>
        <v>0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</row>
    <row r="61" spans="1:19" s="91" customFormat="1" ht="12.75">
      <c r="A61" s="927"/>
      <c r="B61" s="927"/>
      <c r="C61" s="13"/>
      <c r="D61" s="25"/>
      <c r="E61" s="371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</row>
    <row r="62" spans="1:19" s="91" customFormat="1" ht="12.75">
      <c r="A62" s="927"/>
      <c r="B62" s="927"/>
      <c r="C62" s="13"/>
      <c r="D62" s="25"/>
      <c r="E62" s="371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</row>
    <row r="63" spans="1:19" s="91" customFormat="1" ht="12.75">
      <c r="A63" s="930"/>
      <c r="B63" s="930"/>
      <c r="C63" s="13"/>
      <c r="D63" s="25"/>
      <c r="E63" s="371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s="229" customFormat="1" ht="12.75">
      <c r="A64" s="928" t="s">
        <v>390</v>
      </c>
      <c r="B64" s="928"/>
      <c r="C64" s="16"/>
      <c r="D64" s="16">
        <f>SUM(D59:D63)</f>
        <v>0</v>
      </c>
      <c r="E64" s="61">
        <f>D64+C64</f>
        <v>0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</row>
    <row r="65" spans="1:5" ht="12.75">
      <c r="A65" s="929"/>
      <c r="B65" s="929"/>
      <c r="C65" s="64"/>
      <c r="D65" s="64"/>
      <c r="E65" s="53"/>
    </row>
    <row r="66" spans="1:6" ht="27" customHeight="1">
      <c r="A66" s="931" t="s">
        <v>391</v>
      </c>
      <c r="B66" s="931"/>
      <c r="C66" s="16">
        <f>C58</f>
        <v>0</v>
      </c>
      <c r="D66" s="16">
        <f>D64</f>
        <v>0</v>
      </c>
      <c r="E66" s="16">
        <f>E64+E58</f>
        <v>7000</v>
      </c>
      <c r="F66" s="91"/>
    </row>
    <row r="67" spans="1:5" ht="27" customHeight="1">
      <c r="A67" s="447"/>
      <c r="B67" s="447"/>
      <c r="C67" s="37"/>
      <c r="D67" s="37"/>
      <c r="E67" s="37"/>
    </row>
    <row r="68" spans="1:5" ht="27" customHeight="1">
      <c r="A68" s="447"/>
      <c r="B68" s="447"/>
      <c r="C68" s="37"/>
      <c r="D68" s="37"/>
      <c r="E68" s="37"/>
    </row>
    <row r="69" spans="1:2" ht="12.75">
      <c r="A69" s="932"/>
      <c r="B69" s="932"/>
    </row>
    <row r="70" spans="3:5" ht="12.75">
      <c r="C70" s="918" t="s">
        <v>392</v>
      </c>
      <c r="D70" s="918"/>
      <c r="E70" s="918"/>
    </row>
    <row r="71" spans="3:5" ht="12.75">
      <c r="C71" s="416"/>
      <c r="D71" s="416"/>
      <c r="E71" s="416"/>
    </row>
    <row r="73" spans="1:5" ht="18">
      <c r="A73" s="933" t="s">
        <v>393</v>
      </c>
      <c r="B73" s="933"/>
      <c r="C73" s="933"/>
      <c r="D73" s="933"/>
      <c r="E73" s="933"/>
    </row>
    <row r="74" spans="1:5" ht="15.75">
      <c r="A74" s="904"/>
      <c r="B74" s="904"/>
      <c r="C74" s="904"/>
      <c r="D74" s="904"/>
      <c r="E74" s="904"/>
    </row>
    <row r="76" spans="4:5" ht="12.75">
      <c r="D76" s="921" t="s">
        <v>34</v>
      </c>
      <c r="E76" s="921"/>
    </row>
    <row r="77" spans="1:5" ht="12.75">
      <c r="A77" s="430" t="s">
        <v>373</v>
      </c>
      <c r="B77" s="431"/>
      <c r="C77" s="432"/>
      <c r="D77" s="430" t="s">
        <v>180</v>
      </c>
      <c r="E77" s="432"/>
    </row>
    <row r="78" spans="1:5" ht="15">
      <c r="A78" s="433" t="s">
        <v>394</v>
      </c>
      <c r="B78" s="434"/>
      <c r="C78" s="435"/>
      <c r="D78" s="436"/>
      <c r="E78" s="448">
        <f>'2_m_n_sz_ melléklet'!B21</f>
        <v>0</v>
      </c>
    </row>
    <row r="79" spans="1:5" ht="15">
      <c r="A79" s="438" t="s">
        <v>395</v>
      </c>
      <c r="B79" s="439"/>
      <c r="C79" s="440"/>
      <c r="D79" s="441"/>
      <c r="E79" s="449">
        <f>'2_m_n_sz_ melléklet'!B44</f>
        <v>4500</v>
      </c>
    </row>
    <row r="80" spans="1:5" ht="15.75">
      <c r="A80" s="923" t="s">
        <v>396</v>
      </c>
      <c r="B80" s="923"/>
      <c r="C80" s="923"/>
      <c r="D80" s="443"/>
      <c r="E80" s="429">
        <f>SUM(E78:E79)</f>
        <v>4500</v>
      </c>
    </row>
  </sheetData>
  <sheetProtection/>
  <mergeCells count="38">
    <mergeCell ref="D76:E76"/>
    <mergeCell ref="A80:C80"/>
    <mergeCell ref="A65:B65"/>
    <mergeCell ref="A66:B66"/>
    <mergeCell ref="A69:B69"/>
    <mergeCell ref="C70:E70"/>
    <mergeCell ref="A73:E73"/>
    <mergeCell ref="A74:E74"/>
    <mergeCell ref="A59:B59"/>
    <mergeCell ref="A60:B60"/>
    <mergeCell ref="A61:B61"/>
    <mergeCell ref="A62:B62"/>
    <mergeCell ref="A63:B63"/>
    <mergeCell ref="A64:B64"/>
    <mergeCell ref="A51:E51"/>
    <mergeCell ref="A54:B54"/>
    <mergeCell ref="A55:B55"/>
    <mergeCell ref="A56:B56"/>
    <mergeCell ref="A57:B57"/>
    <mergeCell ref="A58:B58"/>
    <mergeCell ref="C36:E36"/>
    <mergeCell ref="A38:E38"/>
    <mergeCell ref="A39:E39"/>
    <mergeCell ref="D41:E41"/>
    <mergeCell ref="A45:C45"/>
    <mergeCell ref="C49:E49"/>
    <mergeCell ref="C22:E22"/>
    <mergeCell ref="A25:E25"/>
    <mergeCell ref="A26:E26"/>
    <mergeCell ref="D29:E29"/>
    <mergeCell ref="D30:E30"/>
    <mergeCell ref="A33:C33"/>
    <mergeCell ref="D1:E1"/>
    <mergeCell ref="A3:E3"/>
    <mergeCell ref="D6:E6"/>
    <mergeCell ref="A7:A8"/>
    <mergeCell ref="B7:B8"/>
    <mergeCell ref="C7:E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49">
      <selection activeCell="A92" sqref="A92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918" t="s">
        <v>397</v>
      </c>
      <c r="D1" s="918"/>
    </row>
    <row r="2" spans="3:4" ht="12.75">
      <c r="C2" s="416"/>
      <c r="D2" s="416"/>
    </row>
    <row r="4" spans="1:4" ht="15.75">
      <c r="A4" s="904" t="s">
        <v>398</v>
      </c>
      <c r="B4" s="904"/>
      <c r="C4" s="904"/>
      <c r="D4" s="904"/>
    </row>
    <row r="5" spans="1:4" ht="15.75">
      <c r="A5" s="904" t="s">
        <v>399</v>
      </c>
      <c r="B5" s="904"/>
      <c r="C5" s="904"/>
      <c r="D5" s="904"/>
    </row>
    <row r="6" spans="1:4" ht="15.75">
      <c r="A6" s="27"/>
      <c r="B6" s="27"/>
      <c r="C6" s="27"/>
      <c r="D6" s="27"/>
    </row>
    <row r="8" ht="12.75">
      <c r="C8" s="416" t="s">
        <v>34</v>
      </c>
    </row>
    <row r="9" spans="1:4" ht="24">
      <c r="A9" s="430" t="s">
        <v>373</v>
      </c>
      <c r="B9" s="85" t="s">
        <v>83</v>
      </c>
      <c r="C9" s="85" t="s">
        <v>84</v>
      </c>
      <c r="D9" s="85" t="s">
        <v>400</v>
      </c>
    </row>
    <row r="10" spans="1:4" ht="15" customHeight="1">
      <c r="A10" s="322" t="s">
        <v>401</v>
      </c>
      <c r="B10" s="182">
        <v>0</v>
      </c>
      <c r="C10" s="450">
        <v>0</v>
      </c>
      <c r="D10" s="69">
        <f>SUM(B10:C10)</f>
        <v>0</v>
      </c>
    </row>
    <row r="11" spans="1:4" ht="15" customHeight="1">
      <c r="A11" s="71" t="s">
        <v>279</v>
      </c>
      <c r="B11" s="336">
        <v>24606</v>
      </c>
      <c r="C11" s="451">
        <v>990</v>
      </c>
      <c r="D11" s="39">
        <f>SUM(B11:C11)</f>
        <v>25596</v>
      </c>
    </row>
    <row r="12" spans="1:4" ht="15" customHeight="1">
      <c r="A12" s="88" t="s">
        <v>402</v>
      </c>
      <c r="B12" s="39"/>
      <c r="C12" s="56"/>
      <c r="D12" s="39">
        <f>SUM(B12:C12)</f>
        <v>0</v>
      </c>
    </row>
    <row r="13" spans="1:4" ht="15" customHeight="1">
      <c r="A13" s="452" t="s">
        <v>281</v>
      </c>
      <c r="B13" s="64">
        <v>400</v>
      </c>
      <c r="C13" s="53">
        <v>10</v>
      </c>
      <c r="D13" s="39">
        <f>SUM(B13:C13)</f>
        <v>410</v>
      </c>
    </row>
    <row r="14" spans="1:4" ht="15" customHeight="1">
      <c r="A14" s="298" t="s">
        <v>403</v>
      </c>
      <c r="B14" s="39"/>
      <c r="C14" s="56">
        <f>'2_a_d_sz_ melléklet'!B18</f>
        <v>60</v>
      </c>
      <c r="D14" s="94">
        <f>SUM(B14:C14)</f>
        <v>60</v>
      </c>
    </row>
    <row r="15" spans="1:4" s="91" customFormat="1" ht="15" customHeight="1">
      <c r="A15" s="90" t="s">
        <v>404</v>
      </c>
      <c r="B15" s="411">
        <f>SUM(B10:B14)</f>
        <v>25006</v>
      </c>
      <c r="C15" s="453">
        <f>SUM(C10:C14)</f>
        <v>1060</v>
      </c>
      <c r="D15" s="453">
        <f>SUM(D10:D14)</f>
        <v>26066</v>
      </c>
    </row>
    <row r="16" spans="1:4" ht="15" customHeight="1">
      <c r="A16" s="454"/>
      <c r="B16" s="336"/>
      <c r="C16" s="455"/>
      <c r="D16" s="456"/>
    </row>
    <row r="17" spans="1:4" ht="15" customHeight="1">
      <c r="A17" s="294" t="s">
        <v>251</v>
      </c>
      <c r="B17" s="457">
        <f>'2_f_h_sz_ melléklet'!B65+'2_f_h_sz_ melléklet'!B66</f>
        <v>298559</v>
      </c>
      <c r="C17" s="457">
        <v>0</v>
      </c>
      <c r="D17" s="458">
        <f>SUM(B17:C17)</f>
        <v>298559</v>
      </c>
    </row>
    <row r="18" spans="1:4" ht="15" customHeight="1">
      <c r="A18" s="95" t="s">
        <v>252</v>
      </c>
      <c r="B18" s="459">
        <f>'2_f_h_sz_ melléklet'!B65</f>
        <v>298559</v>
      </c>
      <c r="C18" s="459">
        <v>0</v>
      </c>
      <c r="D18" s="458">
        <f>SUM(B18:C18)</f>
        <v>298559</v>
      </c>
    </row>
    <row r="19" spans="1:4" ht="15" customHeight="1">
      <c r="A19" s="95" t="s">
        <v>253</v>
      </c>
      <c r="B19" s="459">
        <v>0</v>
      </c>
      <c r="C19" s="459">
        <v>0</v>
      </c>
      <c r="D19" s="458">
        <f>SUM(B19:C19)</f>
        <v>0</v>
      </c>
    </row>
    <row r="20" spans="1:4" ht="15" customHeight="1">
      <c r="A20" s="295" t="s">
        <v>252</v>
      </c>
      <c r="B20" s="460">
        <v>0</v>
      </c>
      <c r="C20" s="460">
        <v>0</v>
      </c>
      <c r="D20" s="458">
        <f>SUM(B20:C20)</f>
        <v>0</v>
      </c>
    </row>
    <row r="21" spans="1:4" s="91" customFormat="1" ht="15" customHeight="1">
      <c r="A21" s="90" t="s">
        <v>329</v>
      </c>
      <c r="B21" s="411">
        <f>B17+B19</f>
        <v>298559</v>
      </c>
      <c r="C21" s="453">
        <f>C17+C19</f>
        <v>0</v>
      </c>
      <c r="D21" s="453">
        <f>C21+B21</f>
        <v>298559</v>
      </c>
    </row>
    <row r="22" spans="1:4" ht="15" customHeight="1">
      <c r="A22" s="454"/>
      <c r="B22" s="458"/>
      <c r="C22" s="461"/>
      <c r="D22" s="461"/>
    </row>
    <row r="23" spans="1:4" ht="15" customHeight="1">
      <c r="A23" s="88" t="s">
        <v>405</v>
      </c>
      <c r="B23" s="336">
        <v>0</v>
      </c>
      <c r="C23" s="451">
        <v>0</v>
      </c>
      <c r="D23" s="451">
        <f>SUM(B23:C23)</f>
        <v>0</v>
      </c>
    </row>
    <row r="24" spans="1:4" ht="15" customHeight="1">
      <c r="A24" s="89" t="s">
        <v>406</v>
      </c>
      <c r="B24" s="48">
        <f>'2_i_j_sz_ mell_'!C57</f>
        <v>0</v>
      </c>
      <c r="C24" s="461"/>
      <c r="D24" s="451">
        <f>SUM(B24:C24)</f>
        <v>0</v>
      </c>
    </row>
    <row r="25" spans="1:4" ht="15" customHeight="1">
      <c r="A25" s="90" t="s">
        <v>407</v>
      </c>
      <c r="B25" s="411">
        <f>SUM(B23:B24)</f>
        <v>0</v>
      </c>
      <c r="C25" s="411">
        <f>SUM(C23:C24)</f>
        <v>0</v>
      </c>
      <c r="D25" s="411">
        <f>SUM(D23:D24)</f>
        <v>0</v>
      </c>
    </row>
    <row r="26" spans="1:4" ht="15" customHeight="1">
      <c r="A26" s="454"/>
      <c r="B26" s="462"/>
      <c r="C26" s="461"/>
      <c r="D26" s="461"/>
    </row>
    <row r="27" spans="1:4" ht="15" customHeight="1">
      <c r="A27" s="88" t="s">
        <v>263</v>
      </c>
      <c r="B27" s="39">
        <v>0</v>
      </c>
      <c r="C27" s="56">
        <v>0</v>
      </c>
      <c r="D27" s="56">
        <f>SUM(B27:C27)</f>
        <v>0</v>
      </c>
    </row>
    <row r="28" spans="1:4" ht="15" customHeight="1">
      <c r="A28" s="88" t="s">
        <v>408</v>
      </c>
      <c r="B28" s="39">
        <v>0</v>
      </c>
      <c r="C28" s="56">
        <v>0</v>
      </c>
      <c r="D28" s="56">
        <f>SUM(B28:C28)</f>
        <v>0</v>
      </c>
    </row>
    <row r="29" spans="1:4" s="91" customFormat="1" ht="30" customHeight="1">
      <c r="A29" s="310" t="s">
        <v>409</v>
      </c>
      <c r="B29" s="411">
        <f>SUM(B27:B28)</f>
        <v>0</v>
      </c>
      <c r="C29" s="411">
        <f>SUM(C27:C28)</f>
        <v>0</v>
      </c>
      <c r="D29" s="411">
        <f>SUM(D27:D28)</f>
        <v>0</v>
      </c>
    </row>
    <row r="30" spans="1:4" ht="15" customHeight="1">
      <c r="A30" s="66"/>
      <c r="B30" s="463"/>
      <c r="C30" s="464"/>
      <c r="D30" s="463"/>
    </row>
    <row r="31" spans="1:4" ht="15" customHeight="1">
      <c r="A31" s="88" t="s">
        <v>410</v>
      </c>
      <c r="B31" s="39">
        <f>B32+B33</f>
        <v>0</v>
      </c>
      <c r="C31" s="55">
        <f>C32+C33</f>
        <v>0</v>
      </c>
      <c r="D31" s="39">
        <f>D32+D33</f>
        <v>0</v>
      </c>
    </row>
    <row r="32" spans="1:4" ht="15" customHeight="1">
      <c r="A32" s="88" t="s">
        <v>411</v>
      </c>
      <c r="B32" s="48">
        <v>0</v>
      </c>
      <c r="C32" s="131">
        <v>0</v>
      </c>
      <c r="D32" s="48">
        <f>SUM(B32:C32)</f>
        <v>0</v>
      </c>
    </row>
    <row r="33" spans="1:4" ht="15" customHeight="1">
      <c r="A33" s="88" t="s">
        <v>412</v>
      </c>
      <c r="B33" s="39">
        <v>0</v>
      </c>
      <c r="C33" s="55">
        <v>0</v>
      </c>
      <c r="D33" s="39">
        <f>SUM(B33:C33)</f>
        <v>0</v>
      </c>
    </row>
    <row r="34" spans="1:4" ht="15" customHeight="1">
      <c r="A34" s="380"/>
      <c r="B34" s="63"/>
      <c r="C34" s="165"/>
      <c r="D34" s="63"/>
    </row>
    <row r="35" spans="1:4" ht="15" customHeight="1">
      <c r="A35" s="101" t="s">
        <v>413</v>
      </c>
      <c r="B35" s="411">
        <f>B31</f>
        <v>0</v>
      </c>
      <c r="C35" s="411">
        <f>SUM(C31)</f>
        <v>0</v>
      </c>
      <c r="D35" s="411">
        <f>SUM(D31)</f>
        <v>0</v>
      </c>
    </row>
    <row r="36" spans="1:4" ht="15" customHeight="1">
      <c r="A36" s="465"/>
      <c r="B36" s="466"/>
      <c r="C36" s="466"/>
      <c r="D36" s="466"/>
    </row>
    <row r="37" spans="1:4" ht="15" customHeight="1">
      <c r="A37" s="90" t="s">
        <v>414</v>
      </c>
      <c r="B37" s="411">
        <f>B35+B29+B25+B21+B15</f>
        <v>323565</v>
      </c>
      <c r="C37" s="411">
        <f>C35+C29+C25+C21+C15</f>
        <v>1060</v>
      </c>
      <c r="D37" s="411">
        <f>D35+D29+D25+D21+D15</f>
        <v>324625</v>
      </c>
    </row>
    <row r="38" spans="1:4" ht="15" customHeight="1">
      <c r="A38" s="101"/>
      <c r="B38" s="411"/>
      <c r="C38" s="467"/>
      <c r="D38" s="467"/>
    </row>
    <row r="39" spans="1:4" ht="15" customHeight="1">
      <c r="A39" s="184" t="s">
        <v>270</v>
      </c>
      <c r="B39" s="74">
        <f>B40+B41</f>
        <v>0</v>
      </c>
      <c r="C39" s="74">
        <f>C40+C41</f>
        <v>0</v>
      </c>
      <c r="D39" s="74">
        <f>D40+D41</f>
        <v>0</v>
      </c>
    </row>
    <row r="40" spans="1:4" ht="15" customHeight="1">
      <c r="A40" s="314" t="s">
        <v>271</v>
      </c>
      <c r="B40" s="64">
        <v>0</v>
      </c>
      <c r="C40" s="72">
        <v>0</v>
      </c>
      <c r="D40" s="455">
        <f>SUM(B40:C40)</f>
        <v>0</v>
      </c>
    </row>
    <row r="41" spans="1:4" ht="15" customHeight="1">
      <c r="A41" s="88" t="s">
        <v>272</v>
      </c>
      <c r="B41" s="39">
        <v>0</v>
      </c>
      <c r="C41" s="40">
        <v>0</v>
      </c>
      <c r="D41" s="458">
        <f>SUM(B41:C41)</f>
        <v>0</v>
      </c>
    </row>
    <row r="42" spans="1:4" ht="15" customHeight="1">
      <c r="A42" s="465"/>
      <c r="B42" s="468"/>
      <c r="C42" s="469"/>
      <c r="D42" s="470"/>
    </row>
    <row r="43" spans="1:4" s="91" customFormat="1" ht="15" customHeight="1">
      <c r="A43" s="90" t="s">
        <v>415</v>
      </c>
      <c r="B43" s="411">
        <v>2000</v>
      </c>
      <c r="C43" s="453">
        <v>279485</v>
      </c>
      <c r="D43" s="471">
        <f>B43+C43</f>
        <v>281485</v>
      </c>
    </row>
    <row r="44" spans="1:4" ht="15" customHeight="1">
      <c r="A44" s="465"/>
      <c r="B44" s="466"/>
      <c r="C44" s="466"/>
      <c r="D44" s="466"/>
    </row>
    <row r="45" spans="1:4" ht="15" customHeight="1">
      <c r="A45" s="90" t="s">
        <v>416</v>
      </c>
      <c r="B45" s="411">
        <f>B43+B39+B37</f>
        <v>325565</v>
      </c>
      <c r="C45" s="453">
        <f>C43+C39+C37</f>
        <v>280545</v>
      </c>
      <c r="D45" s="453">
        <f>D43+D39+D37</f>
        <v>606110</v>
      </c>
    </row>
    <row r="46" spans="1:4" ht="12.75">
      <c r="A46" s="472"/>
      <c r="B46" s="469"/>
      <c r="C46" s="469"/>
      <c r="D46" s="469"/>
    </row>
    <row r="48" spans="1:5" ht="12.75">
      <c r="A48" s="910">
        <v>2</v>
      </c>
      <c r="B48" s="910"/>
      <c r="C48" s="910"/>
      <c r="D48" s="910"/>
      <c r="E48" s="910"/>
    </row>
    <row r="49" spans="3:4" ht="12.75">
      <c r="C49" s="918" t="s">
        <v>397</v>
      </c>
      <c r="D49" s="918"/>
    </row>
    <row r="51" spans="1:4" ht="15.75">
      <c r="A51" s="904" t="s">
        <v>398</v>
      </c>
      <c r="B51" s="904"/>
      <c r="C51" s="904"/>
      <c r="D51" s="904"/>
    </row>
    <row r="52" spans="1:4" ht="15.75">
      <c r="A52" s="904" t="s">
        <v>399</v>
      </c>
      <c r="B52" s="904"/>
      <c r="C52" s="904"/>
      <c r="D52" s="904"/>
    </row>
    <row r="54" ht="12.75">
      <c r="C54" s="416" t="s">
        <v>34</v>
      </c>
    </row>
    <row r="55" spans="1:4" ht="48">
      <c r="A55" s="430" t="s">
        <v>373</v>
      </c>
      <c r="B55" s="85" t="s">
        <v>417</v>
      </c>
      <c r="C55" s="473" t="s">
        <v>418</v>
      </c>
      <c r="D55" s="474" t="s">
        <v>419</v>
      </c>
    </row>
    <row r="56" spans="1:4" ht="15" customHeight="1">
      <c r="A56" s="322" t="s">
        <v>401</v>
      </c>
      <c r="B56" s="182">
        <v>5400</v>
      </c>
      <c r="C56" s="450">
        <v>0</v>
      </c>
      <c r="D56" s="69">
        <f>SUM(B56:C56)</f>
        <v>5400</v>
      </c>
    </row>
    <row r="57" spans="1:4" ht="15" customHeight="1">
      <c r="A57" s="71" t="s">
        <v>279</v>
      </c>
      <c r="B57" s="336">
        <v>9600</v>
      </c>
      <c r="C57" s="451">
        <f>'2_l_sz_ melléklet'!F64</f>
        <v>165503</v>
      </c>
      <c r="D57" s="39">
        <f>SUM(B57:C57)</f>
        <v>175103</v>
      </c>
    </row>
    <row r="58" spans="1:4" ht="15" customHeight="1">
      <c r="A58" s="88" t="s">
        <v>402</v>
      </c>
      <c r="B58" s="39">
        <v>3000</v>
      </c>
      <c r="C58" s="451">
        <f>'2_l_sz_ melléklet'!F65</f>
        <v>28331</v>
      </c>
      <c r="D58" s="39">
        <f>SUM(B58:C58)</f>
        <v>31331</v>
      </c>
    </row>
    <row r="59" spans="1:4" ht="15" customHeight="1">
      <c r="A59" s="452" t="s">
        <v>281</v>
      </c>
      <c r="B59" s="64">
        <v>1600</v>
      </c>
      <c r="C59" s="451">
        <f>'2_l_sz_ melléklet'!F66</f>
        <v>960</v>
      </c>
      <c r="D59" s="39">
        <f>SUM(B59:C59)</f>
        <v>2560</v>
      </c>
    </row>
    <row r="60" spans="1:4" ht="15" customHeight="1">
      <c r="A60" s="298" t="s">
        <v>403</v>
      </c>
      <c r="B60" s="39">
        <f>'2_a_d_sz_ melléklet'!B66</f>
        <v>0</v>
      </c>
      <c r="C60" s="451">
        <f>'2_l_sz_ melléklet'!F67</f>
        <v>800</v>
      </c>
      <c r="D60" s="94">
        <f>SUM(B60:C60)</f>
        <v>800</v>
      </c>
    </row>
    <row r="61" spans="1:4" ht="15" customHeight="1">
      <c r="A61" s="90" t="s">
        <v>404</v>
      </c>
      <c r="B61" s="411">
        <f>SUM(B56:B60)</f>
        <v>19600</v>
      </c>
      <c r="C61" s="453">
        <f>SUM(C56:C60)</f>
        <v>195594</v>
      </c>
      <c r="D61" s="453">
        <f>SUM(D56:D60)</f>
        <v>215194</v>
      </c>
    </row>
    <row r="62" spans="1:4" ht="15" customHeight="1">
      <c r="A62" s="454"/>
      <c r="B62" s="336"/>
      <c r="C62" s="455"/>
      <c r="D62" s="456"/>
    </row>
    <row r="63" spans="1:4" ht="15" customHeight="1">
      <c r="A63" s="294" t="s">
        <v>251</v>
      </c>
      <c r="B63" s="457">
        <f>'2_f_h_sz_ melléklet'!C70</f>
        <v>91848</v>
      </c>
      <c r="C63" s="457">
        <f>'2_l_sz_ melléklet'!F70</f>
        <v>0</v>
      </c>
      <c r="D63" s="458">
        <f>SUM(B63:C63)</f>
        <v>91848</v>
      </c>
    </row>
    <row r="64" spans="1:4" ht="15" customHeight="1">
      <c r="A64" s="95" t="s">
        <v>252</v>
      </c>
      <c r="B64" s="459">
        <f>'2_f_h_sz_ melléklet'!C74</f>
        <v>1501</v>
      </c>
      <c r="C64" s="475">
        <f>'2_l_sz_ melléklet'!F71</f>
        <v>0</v>
      </c>
      <c r="D64" s="458">
        <f>SUM(B64:C64)</f>
        <v>1501</v>
      </c>
    </row>
    <row r="65" spans="1:4" ht="15" customHeight="1">
      <c r="A65" s="95" t="s">
        <v>253</v>
      </c>
      <c r="B65" s="459">
        <f>'2_f_h_sz_ melléklet'!C81</f>
        <v>186418</v>
      </c>
      <c r="C65" s="475">
        <f>'2_l_sz_ melléklet'!F72</f>
        <v>0</v>
      </c>
      <c r="D65" s="458">
        <f>SUM(B65:C65)</f>
        <v>186418</v>
      </c>
    </row>
    <row r="66" spans="1:4" ht="15" customHeight="1">
      <c r="A66" s="295" t="s">
        <v>252</v>
      </c>
      <c r="B66" s="460">
        <v>0</v>
      </c>
      <c r="C66" s="476">
        <f>'2_l_sz_ melléklet'!F73</f>
        <v>0</v>
      </c>
      <c r="D66" s="458">
        <f>SUM(B66:C66)</f>
        <v>0</v>
      </c>
    </row>
    <row r="67" spans="1:4" ht="15" customHeight="1">
      <c r="A67" s="90" t="s">
        <v>329</v>
      </c>
      <c r="B67" s="411">
        <f>B63+B65</f>
        <v>278266</v>
      </c>
      <c r="C67" s="453">
        <f>C63+C65</f>
        <v>0</v>
      </c>
      <c r="D67" s="453">
        <f>C67+B67</f>
        <v>278266</v>
      </c>
    </row>
    <row r="68" spans="1:4" ht="15" customHeight="1">
      <c r="A68" s="454"/>
      <c r="B68" s="458"/>
      <c r="C68" s="461"/>
      <c r="D68" s="461"/>
    </row>
    <row r="69" spans="1:4" ht="15" customHeight="1">
      <c r="A69" s="88" t="s">
        <v>405</v>
      </c>
      <c r="B69" s="336">
        <v>0</v>
      </c>
      <c r="C69" s="451">
        <f>'2_l_sz_ melléklet'!F76</f>
        <v>0</v>
      </c>
      <c r="D69" s="451">
        <f>SUM(B69:C69)</f>
        <v>0</v>
      </c>
    </row>
    <row r="70" spans="1:4" ht="15" customHeight="1">
      <c r="A70" s="89" t="s">
        <v>406</v>
      </c>
      <c r="B70" s="48">
        <f>'2_i_j_sz_ mell_'!C105</f>
        <v>0</v>
      </c>
      <c r="C70" s="461">
        <f>'2_l_sz_ melléklet'!F77</f>
        <v>7000</v>
      </c>
      <c r="D70" s="451">
        <f>SUM(B70:C70)</f>
        <v>7000</v>
      </c>
    </row>
    <row r="71" spans="1:4" ht="15" customHeight="1">
      <c r="A71" s="90" t="s">
        <v>407</v>
      </c>
      <c r="B71" s="411">
        <f>SUM(B69:B70)</f>
        <v>0</v>
      </c>
      <c r="C71" s="411">
        <f>SUM(C69:C70)</f>
        <v>7000</v>
      </c>
      <c r="D71" s="411">
        <f>SUM(D69:D70)</f>
        <v>7000</v>
      </c>
    </row>
    <row r="72" spans="1:4" ht="15" customHeight="1">
      <c r="A72" s="454"/>
      <c r="B72" s="462"/>
      <c r="C72" s="461"/>
      <c r="D72" s="461"/>
    </row>
    <row r="73" spans="1:4" ht="15" customHeight="1">
      <c r="A73" s="88" t="s">
        <v>263</v>
      </c>
      <c r="B73" s="39">
        <f>'2_m_n_sz_ melléklet'!B21</f>
        <v>0</v>
      </c>
      <c r="C73" s="56">
        <f>'2_l_sz_ melléklet'!F80</f>
        <v>0</v>
      </c>
      <c r="D73" s="56">
        <f>SUM(B73:C73)</f>
        <v>0</v>
      </c>
    </row>
    <row r="74" spans="1:4" ht="15" customHeight="1">
      <c r="A74" s="88" t="s">
        <v>264</v>
      </c>
      <c r="B74" s="39">
        <f>'2_m_n_sz_ melléklet'!B44</f>
        <v>4500</v>
      </c>
      <c r="C74" s="56"/>
      <c r="D74" s="56"/>
    </row>
    <row r="75" spans="1:4" ht="15" customHeight="1">
      <c r="A75" s="88" t="s">
        <v>420</v>
      </c>
      <c r="B75" s="39"/>
      <c r="C75" s="56">
        <f>'2_l_sz_ melléklet'!F81</f>
        <v>0</v>
      </c>
      <c r="D75" s="56">
        <f>SUM(B75:C75)</f>
        <v>0</v>
      </c>
    </row>
    <row r="76" spans="1:4" ht="30" customHeight="1">
      <c r="A76" s="310" t="s">
        <v>409</v>
      </c>
      <c r="B76" s="411">
        <f>SUM(B73:B75)</f>
        <v>4500</v>
      </c>
      <c r="C76" s="411">
        <f>SUM(C73:C75)</f>
        <v>0</v>
      </c>
      <c r="D76" s="411">
        <f>SUM(D73:D75)</f>
        <v>0</v>
      </c>
    </row>
    <row r="77" spans="1:4" ht="15" customHeight="1">
      <c r="A77" s="66"/>
      <c r="B77" s="463"/>
      <c r="C77" s="464"/>
      <c r="D77" s="463"/>
    </row>
    <row r="78" spans="1:4" ht="15" customHeight="1">
      <c r="A78" s="88" t="s">
        <v>410</v>
      </c>
      <c r="B78" s="39">
        <f>B79+B80</f>
        <v>0</v>
      </c>
      <c r="C78" s="55">
        <f>'2_l_sz_ melléklet'!F84</f>
        <v>0</v>
      </c>
      <c r="D78" s="39">
        <f>D79+D80</f>
        <v>0</v>
      </c>
    </row>
    <row r="79" spans="1:4" ht="15" customHeight="1">
      <c r="A79" s="88" t="s">
        <v>411</v>
      </c>
      <c r="B79" s="48">
        <v>0</v>
      </c>
      <c r="C79" s="55">
        <f>'2_l_sz_ melléklet'!F85</f>
        <v>0</v>
      </c>
      <c r="D79" s="48">
        <f>SUM(B79:C79)</f>
        <v>0</v>
      </c>
    </row>
    <row r="80" spans="1:4" ht="15" customHeight="1">
      <c r="A80" s="88" t="s">
        <v>412</v>
      </c>
      <c r="B80" s="39">
        <v>0</v>
      </c>
      <c r="C80" s="55">
        <f>'2_l_sz_ melléklet'!F86</f>
        <v>0</v>
      </c>
      <c r="D80" s="39">
        <f>SUM(B80:C80)</f>
        <v>0</v>
      </c>
    </row>
    <row r="81" spans="1:4" ht="15" customHeight="1">
      <c r="A81" s="380"/>
      <c r="B81" s="63"/>
      <c r="C81" s="165"/>
      <c r="D81" s="63"/>
    </row>
    <row r="82" spans="1:4" ht="15" customHeight="1">
      <c r="A82" s="101" t="s">
        <v>413</v>
      </c>
      <c r="B82" s="411">
        <f>B78</f>
        <v>0</v>
      </c>
      <c r="C82" s="411">
        <f>SUM(C78)</f>
        <v>0</v>
      </c>
      <c r="D82" s="411">
        <f>SUM(D78)</f>
        <v>0</v>
      </c>
    </row>
    <row r="83" spans="1:4" ht="15" customHeight="1">
      <c r="A83" s="465"/>
      <c r="B83" s="466"/>
      <c r="C83" s="466"/>
      <c r="D83" s="466"/>
    </row>
    <row r="84" spans="1:4" ht="15" customHeight="1">
      <c r="A84" s="90" t="s">
        <v>414</v>
      </c>
      <c r="B84" s="411">
        <f>B82+B76+B71+B67+B61</f>
        <v>302366</v>
      </c>
      <c r="C84" s="411">
        <f>C82+C76+C71+C67+C61</f>
        <v>202594</v>
      </c>
      <c r="D84" s="411">
        <f>D82+D76+D71+D67+D61</f>
        <v>500460</v>
      </c>
    </row>
    <row r="85" spans="1:4" ht="15" customHeight="1">
      <c r="A85" s="101"/>
      <c r="B85" s="411"/>
      <c r="C85" s="467"/>
      <c r="D85" s="467"/>
    </row>
    <row r="86" spans="1:4" ht="15" customHeight="1">
      <c r="A86" s="184" t="s">
        <v>270</v>
      </c>
      <c r="B86" s="74">
        <f>B87+B88</f>
        <v>0</v>
      </c>
      <c r="C86" s="74">
        <f>C87+C88</f>
        <v>0</v>
      </c>
      <c r="D86" s="74">
        <f>D87+D88</f>
        <v>0</v>
      </c>
    </row>
    <row r="87" spans="1:4" ht="15" customHeight="1">
      <c r="A87" s="314" t="s">
        <v>271</v>
      </c>
      <c r="B87" s="64">
        <v>0</v>
      </c>
      <c r="C87" s="72">
        <v>0</v>
      </c>
      <c r="D87" s="455">
        <f>SUM(B87:C87)</f>
        <v>0</v>
      </c>
    </row>
    <row r="88" spans="1:4" ht="15" customHeight="1">
      <c r="A88" s="88" t="s">
        <v>272</v>
      </c>
      <c r="B88" s="39">
        <v>0</v>
      </c>
      <c r="C88" s="40">
        <v>0</v>
      </c>
      <c r="D88" s="458">
        <f>SUM(B88:C88)</f>
        <v>0</v>
      </c>
    </row>
    <row r="89" spans="1:4" ht="15" customHeight="1">
      <c r="A89" s="465"/>
      <c r="B89" s="468"/>
      <c r="C89" s="469"/>
      <c r="D89" s="470"/>
    </row>
    <row r="90" spans="1:4" ht="15" customHeight="1">
      <c r="A90" s="90" t="s">
        <v>415</v>
      </c>
      <c r="B90" s="411"/>
      <c r="C90" s="453">
        <f>'2_l_sz_ melléklet'!F96</f>
        <v>1559564</v>
      </c>
      <c r="D90" s="471">
        <f>B90+C90</f>
        <v>1559564</v>
      </c>
    </row>
    <row r="91" spans="1:4" ht="15" customHeight="1">
      <c r="A91" s="465"/>
      <c r="B91" s="466"/>
      <c r="C91" s="466"/>
      <c r="D91" s="466"/>
    </row>
    <row r="92" spans="1:4" ht="15" customHeight="1">
      <c r="A92" s="90" t="s">
        <v>416</v>
      </c>
      <c r="B92" s="411">
        <f>B90+B86+B84</f>
        <v>302366</v>
      </c>
      <c r="C92" s="453">
        <f>C90+C86+C84</f>
        <v>1762158</v>
      </c>
      <c r="D92" s="453">
        <f>D90+D86+D84</f>
        <v>2060024</v>
      </c>
    </row>
    <row r="93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91">
      <selection activeCell="C111" sqref="C111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1.140625" style="0" customWidth="1"/>
    <col min="4" max="4" width="9.8515625" style="0" customWidth="1"/>
  </cols>
  <sheetData>
    <row r="1" spans="4:5" ht="12.75">
      <c r="D1" s="918" t="s">
        <v>421</v>
      </c>
      <c r="E1" s="918"/>
    </row>
    <row r="2" spans="4:5" ht="12.75">
      <c r="D2" s="416"/>
      <c r="E2" s="416"/>
    </row>
    <row r="4" spans="1:6" ht="15.75">
      <c r="A4" s="904" t="s">
        <v>422</v>
      </c>
      <c r="B4" s="904"/>
      <c r="C4" s="904"/>
      <c r="D4" s="904"/>
      <c r="E4" s="904"/>
      <c r="F4" s="904"/>
    </row>
    <row r="5" spans="1:6" ht="15.75">
      <c r="A5" s="904" t="s">
        <v>423</v>
      </c>
      <c r="B5" s="904"/>
      <c r="C5" s="904"/>
      <c r="D5" s="904"/>
      <c r="E5" s="904"/>
      <c r="F5" s="904"/>
    </row>
    <row r="6" spans="1:5" ht="15.75">
      <c r="A6" s="27"/>
      <c r="B6" s="27"/>
      <c r="C6" s="27"/>
      <c r="D6" s="27"/>
      <c r="E6" s="27"/>
    </row>
    <row r="8" spans="4:5" ht="12.75">
      <c r="D8" s="416"/>
      <c r="E8" s="416" t="s">
        <v>34</v>
      </c>
    </row>
    <row r="9" spans="1:6" ht="32.25" customHeight="1">
      <c r="A9" s="430" t="s">
        <v>373</v>
      </c>
      <c r="B9" s="474" t="s">
        <v>107</v>
      </c>
      <c r="C9" s="85" t="s">
        <v>108</v>
      </c>
      <c r="D9" s="85" t="s">
        <v>109</v>
      </c>
      <c r="E9" s="85" t="s">
        <v>424</v>
      </c>
      <c r="F9" s="85" t="s">
        <v>111</v>
      </c>
    </row>
    <row r="10" spans="1:6" ht="12.75">
      <c r="A10" s="477" t="s">
        <v>401</v>
      </c>
      <c r="B10" s="478">
        <v>0</v>
      </c>
      <c r="C10" s="182">
        <v>0</v>
      </c>
      <c r="D10" s="450">
        <v>0</v>
      </c>
      <c r="E10" s="110">
        <v>0</v>
      </c>
      <c r="F10" s="110">
        <v>0</v>
      </c>
    </row>
    <row r="11" spans="1:6" ht="12.75">
      <c r="A11" s="38" t="s">
        <v>279</v>
      </c>
      <c r="B11" s="400"/>
      <c r="C11" s="336"/>
      <c r="D11" s="451">
        <v>5930</v>
      </c>
      <c r="E11" s="56">
        <v>1100</v>
      </c>
      <c r="F11" s="56"/>
    </row>
    <row r="12" spans="1:6" ht="12.75">
      <c r="A12" s="8" t="s">
        <v>402</v>
      </c>
      <c r="B12" s="40"/>
      <c r="C12" s="39"/>
      <c r="D12" s="56"/>
      <c r="E12" s="56">
        <v>400</v>
      </c>
      <c r="F12" s="56"/>
    </row>
    <row r="13" spans="1:6" ht="12.75">
      <c r="A13" s="479" t="s">
        <v>281</v>
      </c>
      <c r="B13" s="72"/>
      <c r="C13" s="64"/>
      <c r="D13" s="53"/>
      <c r="E13" s="56"/>
      <c r="F13" s="56"/>
    </row>
    <row r="14" spans="1:6" ht="12.75">
      <c r="A14" s="234" t="s">
        <v>403</v>
      </c>
      <c r="B14" s="40">
        <v>0</v>
      </c>
      <c r="C14" s="39">
        <v>0</v>
      </c>
      <c r="D14" s="56">
        <v>0</v>
      </c>
      <c r="E14" s="56">
        <v>0</v>
      </c>
      <c r="F14" s="56">
        <v>0</v>
      </c>
    </row>
    <row r="15" spans="1:6" s="91" customFormat="1" ht="12.75">
      <c r="A15" s="43" t="s">
        <v>404</v>
      </c>
      <c r="B15" s="60">
        <f>SUM(B10:B14)</f>
        <v>0</v>
      </c>
      <c r="C15" s="60">
        <f>SUM(C10:C14)</f>
        <v>0</v>
      </c>
      <c r="D15" s="16">
        <f>SUM(D10:D14)</f>
        <v>5930</v>
      </c>
      <c r="E15" s="61">
        <f>SUM(E10:E14)</f>
        <v>1500</v>
      </c>
      <c r="F15" s="61">
        <f>SUM(F10:F14)</f>
        <v>0</v>
      </c>
    </row>
    <row r="16" spans="1:6" ht="12.75">
      <c r="A16" s="454"/>
      <c r="B16" s="69"/>
      <c r="C16" s="400"/>
      <c r="D16" s="455"/>
      <c r="E16" s="456"/>
      <c r="F16" s="456"/>
    </row>
    <row r="17" spans="1:6" ht="12.75">
      <c r="A17" s="294" t="s">
        <v>251</v>
      </c>
      <c r="B17" s="480">
        <v>0</v>
      </c>
      <c r="C17" s="480">
        <v>0</v>
      </c>
      <c r="D17" s="480">
        <v>0</v>
      </c>
      <c r="E17" s="480"/>
      <c r="F17" s="480">
        <v>0</v>
      </c>
    </row>
    <row r="18" spans="1:6" ht="12.75">
      <c r="A18" s="95" t="s">
        <v>252</v>
      </c>
      <c r="B18" s="481">
        <v>0</v>
      </c>
      <c r="C18" s="481">
        <v>0</v>
      </c>
      <c r="D18" s="481">
        <v>0</v>
      </c>
      <c r="E18" s="481">
        <v>0</v>
      </c>
      <c r="F18" s="481">
        <v>0</v>
      </c>
    </row>
    <row r="19" spans="1:6" ht="12.75">
      <c r="A19" s="95" t="s">
        <v>253</v>
      </c>
      <c r="B19" s="481">
        <v>0</v>
      </c>
      <c r="C19" s="481">
        <v>0</v>
      </c>
      <c r="D19" s="481">
        <v>0</v>
      </c>
      <c r="E19" s="481">
        <v>0</v>
      </c>
      <c r="F19" s="481">
        <v>0</v>
      </c>
    </row>
    <row r="20" spans="1:6" ht="12.75">
      <c r="A20" s="295" t="s">
        <v>252</v>
      </c>
      <c r="B20" s="482">
        <v>0</v>
      </c>
      <c r="C20" s="482">
        <v>0</v>
      </c>
      <c r="D20" s="482">
        <v>0</v>
      </c>
      <c r="E20" s="482">
        <v>0</v>
      </c>
      <c r="F20" s="482">
        <v>0</v>
      </c>
    </row>
    <row r="21" spans="1:6" ht="12.75">
      <c r="A21" s="90" t="s">
        <v>329</v>
      </c>
      <c r="B21" s="16">
        <f>B17+B19</f>
        <v>0</v>
      </c>
      <c r="C21" s="16">
        <f>C17+C19</f>
        <v>0</v>
      </c>
      <c r="D21" s="16">
        <f>D17+D19</f>
        <v>0</v>
      </c>
      <c r="E21" s="16">
        <f>E17+E19</f>
        <v>0</v>
      </c>
      <c r="F21" s="16">
        <f>F17+F19</f>
        <v>0</v>
      </c>
    </row>
    <row r="22" spans="1:6" ht="12.75">
      <c r="A22" s="454"/>
      <c r="B22" s="48"/>
      <c r="C22" s="461"/>
      <c r="D22" s="461"/>
      <c r="E22" s="461"/>
      <c r="F22" s="461"/>
    </row>
    <row r="23" spans="1:6" ht="12.75">
      <c r="A23" s="88" t="s">
        <v>405</v>
      </c>
      <c r="B23" s="39">
        <v>0</v>
      </c>
      <c r="C23" s="451">
        <v>0</v>
      </c>
      <c r="D23" s="451">
        <v>0</v>
      </c>
      <c r="E23" s="451">
        <v>0</v>
      </c>
      <c r="F23" s="451">
        <v>0</v>
      </c>
    </row>
    <row r="24" spans="1:6" ht="12.75">
      <c r="A24" s="95" t="s">
        <v>406</v>
      </c>
      <c r="B24" s="63">
        <v>0</v>
      </c>
      <c r="C24" s="53">
        <v>0</v>
      </c>
      <c r="D24" s="483">
        <v>0</v>
      </c>
      <c r="E24" s="483">
        <v>0</v>
      </c>
      <c r="F24" s="483">
        <v>0</v>
      </c>
    </row>
    <row r="25" spans="1:6" ht="12.75">
      <c r="A25" s="43" t="s">
        <v>407</v>
      </c>
      <c r="B25" s="484">
        <f>B24+B23</f>
        <v>0</v>
      </c>
      <c r="C25" s="411">
        <f>C24+C23</f>
        <v>0</v>
      </c>
      <c r="D25" s="411">
        <f>D24+D23</f>
        <v>0</v>
      </c>
      <c r="E25" s="411">
        <f>E24+E23</f>
        <v>0</v>
      </c>
      <c r="F25" s="411">
        <f>F24+F23</f>
        <v>0</v>
      </c>
    </row>
    <row r="26" spans="1:6" ht="12.75">
      <c r="A26" s="454"/>
      <c r="B26" s="69"/>
      <c r="C26" s="485"/>
      <c r="D26" s="461"/>
      <c r="E26" s="461"/>
      <c r="F26" s="461"/>
    </row>
    <row r="27" spans="1:6" ht="12.75">
      <c r="A27" s="88" t="s">
        <v>263</v>
      </c>
      <c r="B27" s="39">
        <v>0</v>
      </c>
      <c r="C27" s="56">
        <v>0</v>
      </c>
      <c r="D27" s="56">
        <v>0</v>
      </c>
      <c r="E27" s="56">
        <v>0</v>
      </c>
      <c r="F27" s="56">
        <v>0</v>
      </c>
    </row>
    <row r="28" spans="1:6" ht="12.75">
      <c r="A28" s="88" t="s">
        <v>408</v>
      </c>
      <c r="B28" s="58">
        <v>0</v>
      </c>
      <c r="C28" s="56">
        <v>0</v>
      </c>
      <c r="D28" s="56">
        <v>0</v>
      </c>
      <c r="E28" s="56">
        <v>0</v>
      </c>
      <c r="F28" s="56">
        <v>0</v>
      </c>
    </row>
    <row r="29" spans="1:6" ht="30" customHeight="1">
      <c r="A29" s="320" t="s">
        <v>409</v>
      </c>
      <c r="B29" s="411">
        <f>B27+B28</f>
        <v>0</v>
      </c>
      <c r="C29" s="411">
        <f>C27+C28</f>
        <v>0</v>
      </c>
      <c r="D29" s="411">
        <f>D27+D28</f>
        <v>0</v>
      </c>
      <c r="E29" s="411">
        <f>E27+E28</f>
        <v>0</v>
      </c>
      <c r="F29" s="411">
        <f>F27+F28</f>
        <v>0</v>
      </c>
    </row>
    <row r="30" spans="1:6" ht="12.75">
      <c r="A30" s="33"/>
      <c r="B30" s="166"/>
      <c r="C30" s="463"/>
      <c r="D30" s="486"/>
      <c r="E30" s="463"/>
      <c r="F30" s="463"/>
    </row>
    <row r="31" spans="1:6" ht="12.75">
      <c r="A31" s="234" t="s">
        <v>410</v>
      </c>
      <c r="B31" s="40">
        <f>B32+B33</f>
        <v>0</v>
      </c>
      <c r="C31" s="39">
        <f>C32+C33</f>
        <v>0</v>
      </c>
      <c r="D31" s="40">
        <f>D32+D33</f>
        <v>0</v>
      </c>
      <c r="E31" s="39">
        <f>E32+E33</f>
        <v>0</v>
      </c>
      <c r="F31" s="39">
        <f>F32+F33</f>
        <v>0</v>
      </c>
    </row>
    <row r="32" spans="1:6" ht="12.75">
      <c r="A32" s="8" t="s">
        <v>411</v>
      </c>
      <c r="B32" s="40">
        <v>0</v>
      </c>
      <c r="C32" s="39">
        <v>0</v>
      </c>
      <c r="D32" s="40">
        <v>0</v>
      </c>
      <c r="E32" s="39">
        <v>0</v>
      </c>
      <c r="F32" s="39">
        <v>0</v>
      </c>
    </row>
    <row r="33" spans="1:6" ht="12.75">
      <c r="A33" s="8" t="s">
        <v>412</v>
      </c>
      <c r="B33" s="40">
        <v>0</v>
      </c>
      <c r="C33" s="39">
        <v>0</v>
      </c>
      <c r="D33" s="40">
        <v>0</v>
      </c>
      <c r="E33" s="39">
        <v>0</v>
      </c>
      <c r="F33" s="39">
        <v>0</v>
      </c>
    </row>
    <row r="34" spans="1:6" ht="12.75">
      <c r="A34" s="245"/>
      <c r="B34" s="373"/>
      <c r="C34" s="63"/>
      <c r="D34" s="373"/>
      <c r="E34" s="63"/>
      <c r="F34" s="63"/>
    </row>
    <row r="35" spans="1:6" ht="12.75">
      <c r="A35" s="35" t="s">
        <v>413</v>
      </c>
      <c r="B35" s="411">
        <f>B31</f>
        <v>0</v>
      </c>
      <c r="C35" s="411">
        <f>C31</f>
        <v>0</v>
      </c>
      <c r="D35" s="411">
        <f>D31</f>
        <v>0</v>
      </c>
      <c r="E35" s="411">
        <f>E31</f>
        <v>0</v>
      </c>
      <c r="F35" s="411">
        <f>F31</f>
        <v>0</v>
      </c>
    </row>
    <row r="36" spans="1:6" ht="12.75">
      <c r="A36" s="487"/>
      <c r="B36" s="69"/>
      <c r="C36" s="466"/>
      <c r="D36" s="466"/>
      <c r="E36" s="466"/>
      <c r="F36" s="466"/>
    </row>
    <row r="37" spans="1:6" ht="12.75">
      <c r="A37" s="43" t="s">
        <v>414</v>
      </c>
      <c r="B37" s="411">
        <f>B35+B29+B25+B21+B15</f>
        <v>0</v>
      </c>
      <c r="C37" s="411">
        <f>C35+C29+C25+C21+C15</f>
        <v>0</v>
      </c>
      <c r="D37" s="411">
        <f>D35+D29+D25+D21+D15</f>
        <v>5930</v>
      </c>
      <c r="E37" s="411">
        <f>E35+E29+E25+E21+E15</f>
        <v>1500</v>
      </c>
      <c r="F37" s="411">
        <f>F35+F29+F25+F21+F15</f>
        <v>0</v>
      </c>
    </row>
    <row r="38" spans="1:6" ht="12.75">
      <c r="A38" s="35"/>
      <c r="B38" s="411"/>
      <c r="C38" s="453"/>
      <c r="D38" s="467"/>
      <c r="E38" s="467"/>
      <c r="F38" s="467"/>
    </row>
    <row r="39" spans="1:6" ht="12.75">
      <c r="A39" s="184" t="s">
        <v>270</v>
      </c>
      <c r="B39" s="74">
        <f>B40+B41</f>
        <v>0</v>
      </c>
      <c r="C39" s="74">
        <f>C40+C41</f>
        <v>0</v>
      </c>
      <c r="D39" s="74">
        <f>D40+D41</f>
        <v>0</v>
      </c>
      <c r="E39" s="74">
        <f>E40+E41</f>
        <v>0</v>
      </c>
      <c r="F39" s="74">
        <f>F40+F41</f>
        <v>0</v>
      </c>
    </row>
    <row r="40" spans="1:6" ht="12.75">
      <c r="A40" s="314" t="s">
        <v>271</v>
      </c>
      <c r="B40" s="52">
        <v>0</v>
      </c>
      <c r="C40" s="53">
        <v>0</v>
      </c>
      <c r="D40" s="72">
        <v>0</v>
      </c>
      <c r="E40" s="455">
        <v>0</v>
      </c>
      <c r="F40" s="455">
        <v>0</v>
      </c>
    </row>
    <row r="41" spans="1:6" ht="12.75">
      <c r="A41" s="88" t="s">
        <v>272</v>
      </c>
      <c r="B41" s="39">
        <v>0</v>
      </c>
      <c r="C41" s="56">
        <v>0</v>
      </c>
      <c r="D41" s="40">
        <v>0</v>
      </c>
      <c r="E41" s="336">
        <v>0</v>
      </c>
      <c r="F41" s="336">
        <v>0</v>
      </c>
    </row>
    <row r="42" spans="1:6" ht="12.75">
      <c r="A42" s="465"/>
      <c r="B42" s="64"/>
      <c r="C42" s="488"/>
      <c r="D42" s="469"/>
      <c r="E42" s="470"/>
      <c r="F42" s="470"/>
    </row>
    <row r="43" spans="1:6" ht="12.75">
      <c r="A43" s="90" t="s">
        <v>415</v>
      </c>
      <c r="B43" s="411">
        <v>216974</v>
      </c>
      <c r="C43" s="453">
        <v>181811</v>
      </c>
      <c r="D43" s="453">
        <v>467400</v>
      </c>
      <c r="E43" s="471">
        <v>27846</v>
      </c>
      <c r="F43" s="471">
        <v>40378</v>
      </c>
    </row>
    <row r="44" spans="1:6" ht="12.75">
      <c r="A44" s="487"/>
      <c r="B44" s="69"/>
      <c r="C44" s="466"/>
      <c r="D44" s="466"/>
      <c r="E44" s="466"/>
      <c r="F44" s="466"/>
    </row>
    <row r="45" spans="1:6" ht="12.75">
      <c r="A45" s="43" t="s">
        <v>416</v>
      </c>
      <c r="B45" s="411">
        <f>B37+B39+B43</f>
        <v>216974</v>
      </c>
      <c r="C45" s="411">
        <f>C37+C39+C43</f>
        <v>181811</v>
      </c>
      <c r="D45" s="411">
        <f>D37+D39+D43</f>
        <v>473330</v>
      </c>
      <c r="E45" s="411">
        <f>E37+E39+E43</f>
        <v>29346</v>
      </c>
      <c r="F45" s="411">
        <f>F37+F39+F43</f>
        <v>40378</v>
      </c>
    </row>
    <row r="53" spans="1:6" ht="12.75">
      <c r="A53" s="910">
        <v>2</v>
      </c>
      <c r="B53" s="910"/>
      <c r="C53" s="910"/>
      <c r="D53" s="910"/>
      <c r="E53" s="910"/>
      <c r="F53" s="910"/>
    </row>
    <row r="55" spans="4:5" ht="12.75">
      <c r="D55" s="918" t="s">
        <v>421</v>
      </c>
      <c r="E55" s="918"/>
    </row>
    <row r="56" spans="4:5" ht="12.75">
      <c r="D56" s="416"/>
      <c r="E56" s="416"/>
    </row>
    <row r="58" spans="1:6" ht="15.75">
      <c r="A58" s="904" t="s">
        <v>422</v>
      </c>
      <c r="B58" s="904"/>
      <c r="C58" s="904"/>
      <c r="D58" s="904"/>
      <c r="E58" s="904"/>
      <c r="F58" s="904"/>
    </row>
    <row r="59" spans="1:6" ht="15.75">
      <c r="A59" s="904" t="s">
        <v>423</v>
      </c>
      <c r="B59" s="904"/>
      <c r="C59" s="904"/>
      <c r="D59" s="904"/>
      <c r="E59" s="904"/>
      <c r="F59" s="904"/>
    </row>
    <row r="61" spans="4:5" ht="12.75">
      <c r="D61" s="416"/>
      <c r="E61" s="416" t="s">
        <v>34</v>
      </c>
    </row>
    <row r="62" spans="1:6" ht="59.25" customHeight="1">
      <c r="A62" s="430" t="s">
        <v>373</v>
      </c>
      <c r="B62" s="85" t="s">
        <v>116</v>
      </c>
      <c r="C62" s="474" t="s">
        <v>117</v>
      </c>
      <c r="D62" s="85" t="s">
        <v>425</v>
      </c>
      <c r="E62" s="489" t="s">
        <v>426</v>
      </c>
      <c r="F62" s="490" t="s">
        <v>427</v>
      </c>
    </row>
    <row r="63" spans="1:6" ht="12.75">
      <c r="A63" s="322" t="s">
        <v>401</v>
      </c>
      <c r="B63" s="182">
        <v>0</v>
      </c>
      <c r="C63" s="196">
        <v>0</v>
      </c>
      <c r="D63" s="110">
        <v>0</v>
      </c>
      <c r="E63" s="161">
        <v>0</v>
      </c>
      <c r="F63" s="143">
        <f>E63+D63+C63+B63+B10+C10+D10+E10+F10</f>
        <v>0</v>
      </c>
    </row>
    <row r="64" spans="1:6" ht="12.75">
      <c r="A64" s="71" t="s">
        <v>279</v>
      </c>
      <c r="B64" s="336">
        <v>5854</v>
      </c>
      <c r="C64" s="130">
        <v>5500</v>
      </c>
      <c r="D64" s="56">
        <v>23295</v>
      </c>
      <c r="E64" s="147">
        <v>123824</v>
      </c>
      <c r="F64" s="146">
        <f>E64+D64+C64+B64+B11+C11+D11+E11+F11</f>
        <v>165503</v>
      </c>
    </row>
    <row r="65" spans="1:6" ht="12.75">
      <c r="A65" s="88" t="s">
        <v>402</v>
      </c>
      <c r="B65" s="39">
        <v>166</v>
      </c>
      <c r="C65" s="130">
        <v>0</v>
      </c>
      <c r="D65" s="56">
        <v>3000</v>
      </c>
      <c r="E65" s="147">
        <v>24765</v>
      </c>
      <c r="F65" s="146">
        <f>E65+D65+C65+B65+B12+C12+D12+E12+F12</f>
        <v>28331</v>
      </c>
    </row>
    <row r="66" spans="1:6" ht="12.75">
      <c r="A66" s="452" t="s">
        <v>281</v>
      </c>
      <c r="B66" s="64">
        <v>0</v>
      </c>
      <c r="C66" s="130">
        <v>500</v>
      </c>
      <c r="D66" s="56">
        <v>400</v>
      </c>
      <c r="E66" s="147">
        <v>60</v>
      </c>
      <c r="F66" s="167">
        <f>E66+D66+C66+B66+B13+C13+D13+E13+F13</f>
        <v>960</v>
      </c>
    </row>
    <row r="67" spans="1:6" ht="12.75">
      <c r="A67" s="298" t="s">
        <v>403</v>
      </c>
      <c r="B67" s="39">
        <v>0</v>
      </c>
      <c r="C67" s="76">
        <v>0</v>
      </c>
      <c r="D67" s="56">
        <f>'2_a_d_sz_ melléklet'!C19</f>
        <v>800</v>
      </c>
      <c r="E67" s="491">
        <v>0</v>
      </c>
      <c r="F67" s="167">
        <f>E67+D67+C67+B67+B14+C14+D14+E14+F14</f>
        <v>800</v>
      </c>
    </row>
    <row r="68" spans="1:6" ht="12.75">
      <c r="A68" s="90" t="s">
        <v>404</v>
      </c>
      <c r="B68" s="16">
        <f>SUM(B63:B67)</f>
        <v>6020</v>
      </c>
      <c r="C68" s="16">
        <f>SUM(C63:C67)</f>
        <v>6000</v>
      </c>
      <c r="D68" s="453">
        <f>SUM(D63:D67)</f>
        <v>27495</v>
      </c>
      <c r="E68" s="453">
        <f>SUM(E63:E67)</f>
        <v>148649</v>
      </c>
      <c r="F68" s="492">
        <f>SUM(F63:F67)</f>
        <v>195594</v>
      </c>
    </row>
    <row r="69" spans="1:6" ht="12.75">
      <c r="A69" s="454"/>
      <c r="B69" s="336"/>
      <c r="C69" s="493"/>
      <c r="D69" s="456"/>
      <c r="E69" s="494"/>
      <c r="F69" s="495"/>
    </row>
    <row r="70" spans="1:6" ht="12.75">
      <c r="A70" s="294" t="s">
        <v>251</v>
      </c>
      <c r="B70" s="480">
        <v>0</v>
      </c>
      <c r="C70" s="480">
        <v>0</v>
      </c>
      <c r="D70" s="461">
        <v>0</v>
      </c>
      <c r="E70" s="161">
        <v>0</v>
      </c>
      <c r="F70" s="167">
        <f>E70+D70+C70+B70+B17+C17+D17+E17+F17</f>
        <v>0</v>
      </c>
    </row>
    <row r="71" spans="1:6" ht="12.75">
      <c r="A71" s="95" t="s">
        <v>252</v>
      </c>
      <c r="B71" s="481">
        <v>0</v>
      </c>
      <c r="C71" s="496">
        <v>0</v>
      </c>
      <c r="D71" s="451">
        <v>0</v>
      </c>
      <c r="E71" s="89">
        <v>0</v>
      </c>
      <c r="F71" s="167">
        <f>E71+D71+C71+B71+B18+C18+D18+E18+F18</f>
        <v>0</v>
      </c>
    </row>
    <row r="72" spans="1:6" ht="12.75">
      <c r="A72" s="95" t="s">
        <v>253</v>
      </c>
      <c r="B72" s="481">
        <v>0</v>
      </c>
      <c r="C72" s="496">
        <v>0</v>
      </c>
      <c r="D72" s="451">
        <v>0</v>
      </c>
      <c r="E72" s="122">
        <v>0</v>
      </c>
      <c r="F72" s="167">
        <f>E72+D72+C72+B72+B19+C19+D19+E19+F19</f>
        <v>0</v>
      </c>
    </row>
    <row r="73" spans="1:6" ht="12.75">
      <c r="A73" s="295" t="s">
        <v>252</v>
      </c>
      <c r="B73" s="482">
        <v>0</v>
      </c>
      <c r="C73" s="497">
        <v>0</v>
      </c>
      <c r="D73" s="498">
        <v>0</v>
      </c>
      <c r="E73" s="301">
        <v>0</v>
      </c>
      <c r="F73" s="167">
        <f>E73+D73+C73+B73+B20+C20+D20+E20+F20</f>
        <v>0</v>
      </c>
    </row>
    <row r="74" spans="1:6" ht="12.75">
      <c r="A74" s="90" t="s">
        <v>329</v>
      </c>
      <c r="B74" s="16">
        <f>B70+B72</f>
        <v>0</v>
      </c>
      <c r="C74" s="16">
        <f>C70+C72</f>
        <v>0</v>
      </c>
      <c r="D74" s="16">
        <f>D70+D72</f>
        <v>0</v>
      </c>
      <c r="E74" s="16">
        <f>E70+E72</f>
        <v>0</v>
      </c>
      <c r="F74" s="16">
        <f>F70+F72</f>
        <v>0</v>
      </c>
    </row>
    <row r="75" spans="1:6" ht="12.75">
      <c r="A75" s="454"/>
      <c r="B75" s="458"/>
      <c r="C75" s="461"/>
      <c r="D75" s="461"/>
      <c r="E75" s="499"/>
      <c r="F75" s="500"/>
    </row>
    <row r="76" spans="1:6" ht="12.75">
      <c r="A76" s="88" t="s">
        <v>405</v>
      </c>
      <c r="B76" s="336">
        <v>0</v>
      </c>
      <c r="C76" s="451">
        <v>0</v>
      </c>
      <c r="D76" s="451">
        <v>0</v>
      </c>
      <c r="E76" s="89">
        <v>0</v>
      </c>
      <c r="F76" s="146">
        <f>E76+D76+C76+B76+B23+C23+D23+E23+F23</f>
        <v>0</v>
      </c>
    </row>
    <row r="77" spans="1:6" ht="12.75">
      <c r="A77" s="89" t="s">
        <v>406</v>
      </c>
      <c r="B77" s="48">
        <v>0</v>
      </c>
      <c r="C77" s="451">
        <f>'2_i_j_sz_ mell_'!D55</f>
        <v>7000</v>
      </c>
      <c r="D77" s="461">
        <v>0</v>
      </c>
      <c r="E77" s="301">
        <v>0</v>
      </c>
      <c r="F77" s="146">
        <f>E77+D77+C77+B77+B24+C24+D24+E24+F24</f>
        <v>7000</v>
      </c>
    </row>
    <row r="78" spans="1:6" ht="12.75">
      <c r="A78" s="90" t="s">
        <v>407</v>
      </c>
      <c r="B78" s="411">
        <f>SUM(B76:B77)</f>
        <v>0</v>
      </c>
      <c r="C78" s="411">
        <f>SUM(C76:C77)</f>
        <v>7000</v>
      </c>
      <c r="D78" s="411">
        <f>SUM(D76:D77)</f>
        <v>0</v>
      </c>
      <c r="E78" s="411">
        <f>SUM(E76:E77)</f>
        <v>0</v>
      </c>
      <c r="F78" s="492">
        <f>SUM(F76:F77)</f>
        <v>7000</v>
      </c>
    </row>
    <row r="79" spans="1:6" ht="12.75">
      <c r="A79" s="454"/>
      <c r="B79" s="462"/>
      <c r="C79" s="461"/>
      <c r="D79" s="461"/>
      <c r="E79" s="499"/>
      <c r="F79" s="500"/>
    </row>
    <row r="80" spans="1:6" ht="12.75">
      <c r="A80" s="88" t="s">
        <v>263</v>
      </c>
      <c r="B80" s="39">
        <v>0</v>
      </c>
      <c r="C80" s="451">
        <v>0</v>
      </c>
      <c r="D80" s="56">
        <v>0</v>
      </c>
      <c r="E80" s="89">
        <v>0</v>
      </c>
      <c r="F80" s="146">
        <f>E80+D80+C80+B80+B27+C27+D27+E27+F27</f>
        <v>0</v>
      </c>
    </row>
    <row r="81" spans="1:6" ht="12.75">
      <c r="A81" s="88" t="s">
        <v>408</v>
      </c>
      <c r="B81" s="39">
        <v>0</v>
      </c>
      <c r="C81" s="451">
        <v>0</v>
      </c>
      <c r="D81" s="56">
        <v>0</v>
      </c>
      <c r="E81" s="301">
        <v>0</v>
      </c>
      <c r="F81" s="146">
        <f>E81+D81+C81+B81+B28+C28+D28+E28+F28</f>
        <v>0</v>
      </c>
    </row>
    <row r="82" spans="1:6" ht="30" customHeight="1">
      <c r="A82" s="310" t="s">
        <v>409</v>
      </c>
      <c r="B82" s="411">
        <f>SUM(B80:B81)</f>
        <v>0</v>
      </c>
      <c r="C82" s="411">
        <f>SUM(C80:C81)</f>
        <v>0</v>
      </c>
      <c r="D82" s="411">
        <f>SUM(D80:D81)</f>
        <v>0</v>
      </c>
      <c r="E82" s="501">
        <f>SUM(F80:F81)</f>
        <v>0</v>
      </c>
      <c r="F82" s="502">
        <f>SUM(G80:G81)</f>
        <v>0</v>
      </c>
    </row>
    <row r="83" spans="1:6" ht="12.75">
      <c r="A83" s="66"/>
      <c r="B83" s="463"/>
      <c r="C83" s="463"/>
      <c r="D83" s="503"/>
      <c r="E83" s="499"/>
      <c r="F83" s="504"/>
    </row>
    <row r="84" spans="1:6" ht="12.75">
      <c r="A84" s="88" t="s">
        <v>410</v>
      </c>
      <c r="B84" s="39">
        <f>B85+B86</f>
        <v>0</v>
      </c>
      <c r="C84" s="39">
        <f>C85+C86</f>
        <v>0</v>
      </c>
      <c r="D84" s="39">
        <f>D85+D86</f>
        <v>0</v>
      </c>
      <c r="E84" s="39">
        <v>0</v>
      </c>
      <c r="F84" s="39">
        <f>F85+F86</f>
        <v>0</v>
      </c>
    </row>
    <row r="85" spans="1:6" ht="12.75">
      <c r="A85" s="88" t="s">
        <v>411</v>
      </c>
      <c r="B85" s="39">
        <v>0</v>
      </c>
      <c r="C85" s="39">
        <v>0</v>
      </c>
      <c r="D85" s="56">
        <v>0</v>
      </c>
      <c r="E85" s="89">
        <v>0</v>
      </c>
      <c r="F85" s="146">
        <f>E85+D85+C85+B85+B32+C32+D32+E32+F32</f>
        <v>0</v>
      </c>
    </row>
    <row r="86" spans="1:6" ht="12.75">
      <c r="A86" s="88" t="s">
        <v>412</v>
      </c>
      <c r="B86" s="39">
        <v>0</v>
      </c>
      <c r="C86" s="39">
        <v>0</v>
      </c>
      <c r="D86" s="56">
        <v>0</v>
      </c>
      <c r="E86" s="89">
        <v>0</v>
      </c>
      <c r="F86" s="146">
        <f>E86+D86+C86+B86+B33+C33+D33+E33+F33</f>
        <v>0</v>
      </c>
    </row>
    <row r="87" spans="1:6" ht="12.75">
      <c r="A87" s="380"/>
      <c r="B87" s="63"/>
      <c r="C87" s="63"/>
      <c r="D87" s="202"/>
      <c r="E87" s="301"/>
      <c r="F87" s="505"/>
    </row>
    <row r="88" spans="1:6" ht="12.75">
      <c r="A88" s="101" t="s">
        <v>413</v>
      </c>
      <c r="B88" s="411">
        <f>B84</f>
        <v>0</v>
      </c>
      <c r="C88" s="411">
        <f>C84</f>
        <v>0</v>
      </c>
      <c r="D88" s="411">
        <f>D84</f>
        <v>0</v>
      </c>
      <c r="E88" s="501">
        <f>F84</f>
        <v>0</v>
      </c>
      <c r="F88" s="502">
        <f>G84</f>
        <v>0</v>
      </c>
    </row>
    <row r="89" spans="1:6" ht="12.75">
      <c r="A89" s="465"/>
      <c r="B89" s="466"/>
      <c r="C89" s="466"/>
      <c r="D89" s="466"/>
      <c r="E89" s="494"/>
      <c r="F89" s="506"/>
    </row>
    <row r="90" spans="1:6" ht="12.75">
      <c r="A90" s="90" t="s">
        <v>414</v>
      </c>
      <c r="B90" s="411">
        <f>B88+B82+B78+B74+B68</f>
        <v>6020</v>
      </c>
      <c r="C90" s="411">
        <f>C88+C82+C78+C74+C68</f>
        <v>13000</v>
      </c>
      <c r="D90" s="411">
        <f>D88+D82+D78+D74+D68</f>
        <v>27495</v>
      </c>
      <c r="E90" s="501">
        <f>E88+E82+E78+E74+E68</f>
        <v>148649</v>
      </c>
      <c r="F90" s="502">
        <f>F88+F82+F78+F74+F68</f>
        <v>202594</v>
      </c>
    </row>
    <row r="91" spans="1:6" ht="12.75">
      <c r="A91" s="101"/>
      <c r="B91" s="411"/>
      <c r="C91" s="467"/>
      <c r="D91" s="467"/>
      <c r="E91" s="301"/>
      <c r="F91" s="507"/>
    </row>
    <row r="92" spans="1:6" ht="12.75">
      <c r="A92" s="184" t="s">
        <v>270</v>
      </c>
      <c r="B92" s="74">
        <f>B93+B94</f>
        <v>0</v>
      </c>
      <c r="C92" s="74">
        <f>C93+C94</f>
        <v>0</v>
      </c>
      <c r="D92" s="74">
        <f>D93+D94</f>
        <v>0</v>
      </c>
      <c r="E92" s="508">
        <f>F93+F94</f>
        <v>0</v>
      </c>
      <c r="F92" s="509">
        <f>G93+G94</f>
        <v>0</v>
      </c>
    </row>
    <row r="93" spans="1:6" ht="12.75">
      <c r="A93" s="314" t="s">
        <v>271</v>
      </c>
      <c r="B93" s="64">
        <v>0</v>
      </c>
      <c r="C93" s="69">
        <v>0</v>
      </c>
      <c r="D93" s="455">
        <v>0</v>
      </c>
      <c r="E93" s="499">
        <v>0</v>
      </c>
      <c r="F93" s="167">
        <f>E93+D93+C93+B93+B40+C40+D40+E40+F40</f>
        <v>0</v>
      </c>
    </row>
    <row r="94" spans="1:6" ht="12.75">
      <c r="A94" s="88" t="s">
        <v>272</v>
      </c>
      <c r="B94" s="39">
        <v>0</v>
      </c>
      <c r="C94" s="39">
        <v>0</v>
      </c>
      <c r="D94" s="336">
        <v>0</v>
      </c>
      <c r="E94" s="89">
        <v>0</v>
      </c>
      <c r="F94" s="167">
        <f>E94+D94+C94+B94+B41+C41+D41+E41+F41</f>
        <v>0</v>
      </c>
    </row>
    <row r="95" spans="1:6" ht="12.75">
      <c r="A95" s="465"/>
      <c r="B95" s="468"/>
      <c r="C95" s="469"/>
      <c r="D95" s="470"/>
      <c r="E95" s="263"/>
      <c r="F95" s="446"/>
    </row>
    <row r="96" spans="1:6" ht="12.75">
      <c r="A96" s="90" t="s">
        <v>415</v>
      </c>
      <c r="B96" s="411">
        <v>4499</v>
      </c>
      <c r="C96" s="453">
        <v>199634</v>
      </c>
      <c r="D96" s="471">
        <v>262146</v>
      </c>
      <c r="E96" s="501">
        <v>158876</v>
      </c>
      <c r="F96" s="492">
        <f>E96+D96+C96+B96+F43+E43+D43+C43+B43</f>
        <v>1559564</v>
      </c>
    </row>
    <row r="97" spans="1:6" ht="12.75">
      <c r="A97" s="465"/>
      <c r="B97" s="466"/>
      <c r="C97" s="466"/>
      <c r="D97" s="466"/>
      <c r="E97" s="510"/>
      <c r="F97" s="511"/>
    </row>
    <row r="98" spans="1:6" ht="12.75">
      <c r="A98" s="90" t="s">
        <v>416</v>
      </c>
      <c r="B98" s="411">
        <f>B90+B92+B96</f>
        <v>10519</v>
      </c>
      <c r="C98" s="411">
        <f>C90+C92+C96</f>
        <v>212634</v>
      </c>
      <c r="D98" s="411">
        <f>D90+D92+D96</f>
        <v>289641</v>
      </c>
      <c r="E98" s="501">
        <f>E90+E92+E96</f>
        <v>307525</v>
      </c>
      <c r="F98" s="502">
        <f>F90+F92+F96</f>
        <v>1762158</v>
      </c>
    </row>
    <row r="102" spans="1:6" ht="12.75">
      <c r="A102" s="910">
        <v>3</v>
      </c>
      <c r="B102" s="910"/>
      <c r="C102" s="910"/>
      <c r="D102" s="910"/>
      <c r="E102" s="910"/>
      <c r="F102" s="910"/>
    </row>
    <row r="104" spans="4:5" ht="12.75">
      <c r="D104" s="918" t="s">
        <v>421</v>
      </c>
      <c r="E104" s="918"/>
    </row>
    <row r="105" spans="4:5" ht="12.75">
      <c r="D105" s="416"/>
      <c r="E105" s="416"/>
    </row>
    <row r="107" spans="1:6" ht="15.75">
      <c r="A107" s="904" t="s">
        <v>422</v>
      </c>
      <c r="B107" s="904"/>
      <c r="C107" s="904"/>
      <c r="D107" s="904"/>
      <c r="E107" s="904"/>
      <c r="F107" s="904"/>
    </row>
    <row r="108" spans="1:6" ht="15.75">
      <c r="A108" s="904" t="s">
        <v>423</v>
      </c>
      <c r="B108" s="904"/>
      <c r="C108" s="904"/>
      <c r="D108" s="904"/>
      <c r="E108" s="904"/>
      <c r="F108" s="904"/>
    </row>
    <row r="110" spans="4:5" ht="12.75">
      <c r="D110" s="416"/>
      <c r="E110" s="416" t="s">
        <v>34</v>
      </c>
    </row>
    <row r="111" spans="1:3" ht="60" customHeight="1">
      <c r="A111" s="430" t="s">
        <v>373</v>
      </c>
      <c r="B111" s="85" t="s">
        <v>428</v>
      </c>
      <c r="C111" s="474" t="s">
        <v>429</v>
      </c>
    </row>
    <row r="112" spans="1:3" ht="12.75">
      <c r="A112" s="322" t="s">
        <v>401</v>
      </c>
      <c r="B112" s="182">
        <v>0</v>
      </c>
      <c r="C112" s="196">
        <f>B112+F63</f>
        <v>0</v>
      </c>
    </row>
    <row r="113" spans="1:3" ht="12.75">
      <c r="A113" s="71" t="s">
        <v>279</v>
      </c>
      <c r="B113" s="336"/>
      <c r="C113" s="130">
        <f>B113+F64</f>
        <v>165503</v>
      </c>
    </row>
    <row r="114" spans="1:3" ht="12.75">
      <c r="A114" s="88" t="s">
        <v>402</v>
      </c>
      <c r="B114" s="39"/>
      <c r="C114" s="130">
        <f>B114+F65</f>
        <v>28331</v>
      </c>
    </row>
    <row r="115" spans="1:3" ht="12.75">
      <c r="A115" s="452" t="s">
        <v>281</v>
      </c>
      <c r="B115" s="64">
        <v>0</v>
      </c>
      <c r="C115" s="130">
        <f>B115+F66</f>
        <v>960</v>
      </c>
    </row>
    <row r="116" spans="1:3" ht="12.75">
      <c r="A116" s="298" t="s">
        <v>403</v>
      </c>
      <c r="B116" s="39">
        <f>'2_a_d_sz_ melléklet'!B18</f>
        <v>60</v>
      </c>
      <c r="C116" s="76">
        <f>B116+F67</f>
        <v>860</v>
      </c>
    </row>
    <row r="117" spans="1:3" ht="12.75">
      <c r="A117" s="90" t="s">
        <v>404</v>
      </c>
      <c r="B117" s="16">
        <f>SUM(B112:B116)</f>
        <v>60</v>
      </c>
      <c r="C117" s="16">
        <f>SUM(C112:C116)</f>
        <v>195654</v>
      </c>
    </row>
    <row r="118" spans="1:3" ht="12.75">
      <c r="A118" s="454"/>
      <c r="B118" s="336"/>
      <c r="C118" s="493"/>
    </row>
    <row r="119" spans="1:3" ht="12.75">
      <c r="A119" s="294" t="s">
        <v>251</v>
      </c>
      <c r="B119" s="480">
        <v>0</v>
      </c>
      <c r="C119" s="196">
        <f>B119+F70</f>
        <v>0</v>
      </c>
    </row>
    <row r="120" spans="1:3" ht="12.75">
      <c r="A120" s="95" t="s">
        <v>252</v>
      </c>
      <c r="B120" s="481">
        <v>0</v>
      </c>
      <c r="C120" s="130">
        <f>B120+F71</f>
        <v>0</v>
      </c>
    </row>
    <row r="121" spans="1:3" ht="12.75">
      <c r="A121" s="95" t="s">
        <v>253</v>
      </c>
      <c r="B121" s="481">
        <v>0</v>
      </c>
      <c r="C121" s="130">
        <f>B121+F72</f>
        <v>0</v>
      </c>
    </row>
    <row r="122" spans="1:3" ht="12.75">
      <c r="A122" s="295" t="s">
        <v>252</v>
      </c>
      <c r="B122" s="482">
        <v>0</v>
      </c>
      <c r="C122" s="76">
        <f>B122+F73</f>
        <v>0</v>
      </c>
    </row>
    <row r="123" spans="1:3" ht="12.75">
      <c r="A123" s="90" t="s">
        <v>329</v>
      </c>
      <c r="B123" s="16">
        <f>B119+B121</f>
        <v>0</v>
      </c>
      <c r="C123" s="16">
        <f>C119+C121</f>
        <v>0</v>
      </c>
    </row>
    <row r="124" spans="1:3" ht="12.75">
      <c r="A124" s="454"/>
      <c r="B124" s="458"/>
      <c r="C124" s="455"/>
    </row>
    <row r="125" spans="1:3" ht="12.75">
      <c r="A125" s="88" t="s">
        <v>405</v>
      </c>
      <c r="B125" s="336">
        <v>0</v>
      </c>
      <c r="C125" s="76">
        <f>B125+F76</f>
        <v>0</v>
      </c>
    </row>
    <row r="126" spans="1:3" ht="12.75">
      <c r="A126" s="89" t="s">
        <v>406</v>
      </c>
      <c r="B126" s="48">
        <v>0</v>
      </c>
      <c r="C126" s="76">
        <f>B126+F77</f>
        <v>7000</v>
      </c>
    </row>
    <row r="127" spans="1:3" ht="12.75">
      <c r="A127" s="90" t="s">
        <v>407</v>
      </c>
      <c r="B127" s="411">
        <f>SUM(B125:B126)</f>
        <v>0</v>
      </c>
      <c r="C127" s="411">
        <f>SUM(C125:C126)</f>
        <v>7000</v>
      </c>
    </row>
    <row r="128" spans="1:3" ht="12.75">
      <c r="A128" s="454"/>
      <c r="B128" s="462"/>
      <c r="C128" s="455"/>
    </row>
    <row r="129" spans="1:3" ht="12.75">
      <c r="A129" s="88" t="s">
        <v>263</v>
      </c>
      <c r="B129" s="39">
        <v>0</v>
      </c>
      <c r="C129" s="76">
        <f>B129+F80</f>
        <v>0</v>
      </c>
    </row>
    <row r="130" spans="1:3" ht="12.75">
      <c r="A130" s="88" t="s">
        <v>408</v>
      </c>
      <c r="B130" s="39">
        <v>0</v>
      </c>
      <c r="C130" s="76">
        <f>B130+F81</f>
        <v>0</v>
      </c>
    </row>
    <row r="131" spans="1:3" ht="25.5">
      <c r="A131" s="310" t="s">
        <v>409</v>
      </c>
      <c r="B131" s="411">
        <f>SUM(B129:B130)</f>
        <v>0</v>
      </c>
      <c r="C131" s="411">
        <f>SUM(C129:C130)</f>
        <v>0</v>
      </c>
    </row>
    <row r="132" spans="1:3" ht="12.75">
      <c r="A132" s="66"/>
      <c r="B132" s="463"/>
      <c r="C132" s="463"/>
    </row>
    <row r="133" spans="1:3" ht="12.75">
      <c r="A133" s="88" t="s">
        <v>410</v>
      </c>
      <c r="B133" s="39">
        <f>B134+B135</f>
        <v>0</v>
      </c>
      <c r="C133" s="39">
        <f>C134+C135</f>
        <v>0</v>
      </c>
    </row>
    <row r="134" spans="1:3" ht="12.75">
      <c r="A134" s="88" t="s">
        <v>411</v>
      </c>
      <c r="B134" s="39">
        <v>0</v>
      </c>
      <c r="C134" s="76">
        <f>B134+F85</f>
        <v>0</v>
      </c>
    </row>
    <row r="135" spans="1:3" ht="12.75">
      <c r="A135" s="88" t="s">
        <v>412</v>
      </c>
      <c r="B135" s="39">
        <v>0</v>
      </c>
      <c r="C135" s="76">
        <f>B135+F86</f>
        <v>0</v>
      </c>
    </row>
    <row r="136" spans="1:3" ht="12.75">
      <c r="A136" s="380"/>
      <c r="B136" s="63"/>
      <c r="C136" s="63"/>
    </row>
    <row r="137" spans="1:3" ht="12.75">
      <c r="A137" s="101" t="s">
        <v>413</v>
      </c>
      <c r="B137" s="411">
        <f>B133</f>
        <v>0</v>
      </c>
      <c r="C137" s="411">
        <f>C133</f>
        <v>0</v>
      </c>
    </row>
    <row r="138" spans="1:3" ht="12.75">
      <c r="A138" s="465"/>
      <c r="B138" s="466"/>
      <c r="C138" s="466"/>
    </row>
    <row r="139" spans="1:3" ht="12.75">
      <c r="A139" s="90" t="s">
        <v>414</v>
      </c>
      <c r="B139" s="411">
        <f>B137+B131+B127+B123+B117</f>
        <v>60</v>
      </c>
      <c r="C139" s="411">
        <f>C137+C131+C127+C123+C117</f>
        <v>202654</v>
      </c>
    </row>
    <row r="140" spans="1:3" ht="12.75">
      <c r="A140" s="101"/>
      <c r="B140" s="411"/>
      <c r="C140" s="467"/>
    </row>
    <row r="141" spans="1:3" ht="12.75">
      <c r="A141" s="184" t="s">
        <v>270</v>
      </c>
      <c r="B141" s="74">
        <f>B142+B143</f>
        <v>0</v>
      </c>
      <c r="C141" s="74">
        <f>C142+C143</f>
        <v>0</v>
      </c>
    </row>
    <row r="142" spans="1:3" ht="12.75">
      <c r="A142" s="314" t="s">
        <v>271</v>
      </c>
      <c r="B142" s="64">
        <v>0</v>
      </c>
      <c r="C142" s="196">
        <f>B142+F93</f>
        <v>0</v>
      </c>
    </row>
    <row r="143" spans="1:3" ht="12.75">
      <c r="A143" s="88" t="s">
        <v>272</v>
      </c>
      <c r="B143" s="39">
        <v>0</v>
      </c>
      <c r="C143" s="76">
        <f>B143+F94</f>
        <v>0</v>
      </c>
    </row>
    <row r="144" spans="1:3" ht="12.75">
      <c r="A144" s="465"/>
      <c r="B144" s="468"/>
      <c r="C144" s="512"/>
    </row>
    <row r="145" spans="1:3" ht="12.75">
      <c r="A145" s="90" t="s">
        <v>415</v>
      </c>
      <c r="B145" s="411">
        <v>1344</v>
      </c>
      <c r="C145" s="453">
        <f>B145+F96</f>
        <v>1560908</v>
      </c>
    </row>
    <row r="146" spans="1:3" ht="12.75">
      <c r="A146" s="465"/>
      <c r="B146" s="466"/>
      <c r="C146" s="466"/>
    </row>
    <row r="147" spans="1:3" ht="12.75">
      <c r="A147" s="90" t="s">
        <v>416</v>
      </c>
      <c r="B147" s="411">
        <f>B139+B141+B145</f>
        <v>1404</v>
      </c>
      <c r="C147" s="411">
        <f>C139+C141+C145</f>
        <v>1763562</v>
      </c>
    </row>
  </sheetData>
  <sheetProtection/>
  <mergeCells count="11">
    <mergeCell ref="A59:F59"/>
    <mergeCell ref="A102:F102"/>
    <mergeCell ref="D104:E104"/>
    <mergeCell ref="A107:F107"/>
    <mergeCell ref="A108:F108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33" t="s">
        <v>430</v>
      </c>
    </row>
    <row r="3" ht="15.75">
      <c r="A3" s="29"/>
    </row>
    <row r="4" spans="1:2" ht="15.75">
      <c r="A4" s="904" t="s">
        <v>431</v>
      </c>
      <c r="B4" s="904"/>
    </row>
    <row r="5" ht="15.75">
      <c r="A5" s="29"/>
    </row>
    <row r="6" ht="12.75">
      <c r="B6" t="s">
        <v>215</v>
      </c>
    </row>
    <row r="7" spans="1:2" ht="15.75">
      <c r="A7" s="32" t="s">
        <v>313</v>
      </c>
      <c r="B7" s="247" t="s">
        <v>217</v>
      </c>
    </row>
    <row r="8" spans="1:2" ht="12.75">
      <c r="A8" s="248"/>
      <c r="B8" s="249" t="s">
        <v>40</v>
      </c>
    </row>
    <row r="9" spans="1:2" ht="12.75">
      <c r="A9" s="5" t="s">
        <v>432</v>
      </c>
      <c r="B9" s="513">
        <f>SUM(B10:B13)</f>
        <v>0</v>
      </c>
    </row>
    <row r="10" spans="1:2" ht="12.75">
      <c r="A10" s="8"/>
      <c r="B10" s="8"/>
    </row>
    <row r="11" spans="1:2" ht="12.75">
      <c r="A11" s="65"/>
      <c r="B11" s="8"/>
    </row>
    <row r="12" spans="1:2" ht="12.75">
      <c r="A12" s="8"/>
      <c r="B12" s="8"/>
    </row>
    <row r="13" spans="1:2" ht="12.75">
      <c r="A13" s="19"/>
      <c r="B13" s="19"/>
    </row>
    <row r="14" spans="1:2" ht="12.75">
      <c r="A14" s="5" t="s">
        <v>433</v>
      </c>
      <c r="B14" s="514">
        <f>SUM(B15:B20)</f>
        <v>0</v>
      </c>
    </row>
    <row r="15" spans="1:2" ht="12.75">
      <c r="A15" s="65" t="s">
        <v>434</v>
      </c>
      <c r="B15" s="65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248"/>
      <c r="B20" s="248"/>
    </row>
    <row r="21" spans="1:2" ht="12.75">
      <c r="A21" s="43" t="s">
        <v>435</v>
      </c>
      <c r="B21" s="15">
        <f>B14+B9</f>
        <v>0</v>
      </c>
    </row>
    <row r="24" ht="14.25">
      <c r="B24" s="26" t="s">
        <v>436</v>
      </c>
    </row>
    <row r="25" ht="15.75">
      <c r="A25" s="29"/>
    </row>
    <row r="26" spans="1:2" ht="15.75">
      <c r="A26" s="904" t="s">
        <v>437</v>
      </c>
      <c r="B26" s="904"/>
    </row>
    <row r="27" ht="15.75">
      <c r="A27" s="29"/>
    </row>
    <row r="28" ht="12.75">
      <c r="B28" t="s">
        <v>215</v>
      </c>
    </row>
    <row r="29" spans="1:2" ht="15.75">
      <c r="A29" s="32" t="s">
        <v>313</v>
      </c>
      <c r="B29" s="247" t="s">
        <v>217</v>
      </c>
    </row>
    <row r="30" spans="1:2" ht="12.75">
      <c r="A30" s="248"/>
      <c r="B30" s="249" t="s">
        <v>40</v>
      </c>
    </row>
    <row r="31" spans="1:2" ht="12.75">
      <c r="A31" s="250" t="s">
        <v>438</v>
      </c>
      <c r="B31" s="513">
        <v>0</v>
      </c>
    </row>
    <row r="32" spans="1:2" ht="12.75">
      <c r="A32" s="88"/>
      <c r="B32" s="8"/>
    </row>
    <row r="33" spans="1:2" ht="12.75">
      <c r="A33" s="88"/>
      <c r="B33" s="8"/>
    </row>
    <row r="34" spans="1:2" ht="12.75">
      <c r="A34" s="194"/>
      <c r="B34" s="8"/>
    </row>
    <row r="35" spans="1:2" ht="12.75">
      <c r="A35" s="88"/>
      <c r="B35" s="8"/>
    </row>
    <row r="36" spans="1:2" ht="12.75">
      <c r="A36" s="87"/>
      <c r="B36" s="8"/>
    </row>
    <row r="37" spans="1:2" ht="12.75">
      <c r="A37" s="250" t="s">
        <v>439</v>
      </c>
      <c r="B37" s="6">
        <f>B38+B39+B40+B41</f>
        <v>4500</v>
      </c>
    </row>
    <row r="38" spans="1:2" ht="12.75">
      <c r="A38" s="88" t="s">
        <v>440</v>
      </c>
      <c r="B38" s="39">
        <v>2000</v>
      </c>
    </row>
    <row r="39" spans="1:2" ht="12.75">
      <c r="A39" s="88" t="s">
        <v>441</v>
      </c>
      <c r="B39" s="39">
        <v>250</v>
      </c>
    </row>
    <row r="40" spans="1:2" ht="12.75">
      <c r="A40" s="194" t="s">
        <v>442</v>
      </c>
      <c r="B40" s="39">
        <v>50</v>
      </c>
    </row>
    <row r="41" spans="1:2" ht="12.75">
      <c r="A41" s="88" t="s">
        <v>443</v>
      </c>
      <c r="B41" s="39">
        <v>2200</v>
      </c>
    </row>
    <row r="42" spans="1:2" ht="12.75">
      <c r="A42" s="88"/>
      <c r="B42" s="39"/>
    </row>
    <row r="43" spans="1:2" ht="12.75">
      <c r="A43" s="251"/>
      <c r="B43" s="78"/>
    </row>
    <row r="44" spans="1:2" ht="12.75">
      <c r="A44" s="43" t="s">
        <v>444</v>
      </c>
      <c r="B44" s="16">
        <f>B37+B31</f>
        <v>4500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6">
      <selection activeCell="A40" sqref="A40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515" t="s">
        <v>445</v>
      </c>
    </row>
    <row r="2" ht="12.75">
      <c r="B2" s="515"/>
    </row>
    <row r="3" ht="12.75">
      <c r="B3" s="515"/>
    </row>
    <row r="4" spans="1:2" ht="15.75">
      <c r="A4" s="934" t="s">
        <v>446</v>
      </c>
      <c r="B4" s="934"/>
    </row>
    <row r="5" spans="1:2" ht="15.75">
      <c r="A5" s="934" t="s">
        <v>447</v>
      </c>
      <c r="B5" s="934"/>
    </row>
    <row r="6" spans="1:2" ht="15.75">
      <c r="A6" s="516"/>
      <c r="B6" s="516"/>
    </row>
    <row r="7" spans="1:2" ht="15.75">
      <c r="A7" s="516"/>
      <c r="B7" s="516"/>
    </row>
    <row r="8" ht="12.75">
      <c r="B8" s="416" t="s">
        <v>34</v>
      </c>
    </row>
    <row r="9" ht="12.75">
      <c r="B9" s="416"/>
    </row>
    <row r="10" spans="1:2" ht="31.5">
      <c r="A10" s="517" t="s">
        <v>448</v>
      </c>
      <c r="B10" s="518" t="s">
        <v>449</v>
      </c>
    </row>
    <row r="11" spans="1:2" ht="15.75">
      <c r="A11" s="519" t="s">
        <v>178</v>
      </c>
      <c r="B11" s="520"/>
    </row>
    <row r="12" spans="1:2" ht="15">
      <c r="A12" s="521" t="s">
        <v>450</v>
      </c>
      <c r="B12" s="522">
        <v>2400</v>
      </c>
    </row>
    <row r="13" spans="1:2" ht="15">
      <c r="A13" s="523"/>
      <c r="B13" s="524">
        <v>0</v>
      </c>
    </row>
    <row r="14" spans="1:2" s="18" customFormat="1" ht="15.75">
      <c r="A14" s="525" t="s">
        <v>451</v>
      </c>
      <c r="B14" s="526">
        <f>SUM(B12:B13)</f>
        <v>2400</v>
      </c>
    </row>
    <row r="15" spans="1:2" s="18" customFormat="1" ht="15.75">
      <c r="A15" s="527"/>
      <c r="B15" s="528"/>
    </row>
    <row r="16" spans="1:2" s="91" customFormat="1" ht="15.75">
      <c r="A16" s="417" t="s">
        <v>227</v>
      </c>
      <c r="B16" s="526">
        <f>B14</f>
        <v>2400</v>
      </c>
    </row>
    <row r="17" spans="1:2" s="91" customFormat="1" ht="15.75">
      <c r="A17" s="529"/>
      <c r="B17" s="528"/>
    </row>
    <row r="18" spans="1:2" ht="15.75">
      <c r="A18" s="530" t="s">
        <v>179</v>
      </c>
      <c r="B18" s="531"/>
    </row>
    <row r="19" spans="1:2" ht="15">
      <c r="A19" s="532" t="s">
        <v>452</v>
      </c>
      <c r="B19" s="533">
        <v>10433</v>
      </c>
    </row>
    <row r="20" spans="1:2" ht="15">
      <c r="A20" s="438" t="s">
        <v>453</v>
      </c>
      <c r="B20" s="533">
        <v>13100</v>
      </c>
    </row>
    <row r="21" spans="1:2" ht="15">
      <c r="A21" s="438" t="s">
        <v>454</v>
      </c>
      <c r="B21" s="533">
        <v>9200</v>
      </c>
    </row>
    <row r="22" spans="1:2" ht="15.75">
      <c r="A22" s="534" t="s">
        <v>455</v>
      </c>
      <c r="B22" s="535">
        <f>SUM(B19:B21)</f>
        <v>32733</v>
      </c>
    </row>
    <row r="23" spans="1:2" ht="15.75">
      <c r="A23" s="534"/>
      <c r="B23" s="535"/>
    </row>
    <row r="24" spans="1:2" ht="15">
      <c r="A24" s="438" t="s">
        <v>456</v>
      </c>
      <c r="B24" s="533">
        <v>1500</v>
      </c>
    </row>
    <row r="25" spans="1:2" ht="15">
      <c r="A25" s="438" t="s">
        <v>457</v>
      </c>
      <c r="B25" s="533">
        <v>33955</v>
      </c>
    </row>
    <row r="26" spans="1:2" s="91" customFormat="1" ht="15.75">
      <c r="A26" s="536" t="s">
        <v>458</v>
      </c>
      <c r="B26" s="537">
        <f>SUM(B24:B25)</f>
        <v>35455</v>
      </c>
    </row>
    <row r="27" spans="1:2" s="91" customFormat="1" ht="15.75">
      <c r="A27" s="538"/>
      <c r="B27" s="537"/>
    </row>
    <row r="28" spans="1:2" ht="15">
      <c r="A28" s="438" t="s">
        <v>459</v>
      </c>
      <c r="B28" s="533">
        <v>15000</v>
      </c>
    </row>
    <row r="29" spans="1:2" s="91" customFormat="1" ht="15.75">
      <c r="A29" s="534" t="s">
        <v>460</v>
      </c>
      <c r="B29" s="535">
        <f>SUM(B28)</f>
        <v>15000</v>
      </c>
    </row>
    <row r="30" spans="1:2" s="91" customFormat="1" ht="15.75">
      <c r="A30" s="529"/>
      <c r="B30" s="539"/>
    </row>
    <row r="31" spans="1:2" ht="15.75">
      <c r="A31" s="417" t="s">
        <v>461</v>
      </c>
      <c r="B31" s="540">
        <f>B22+B26+B29</f>
        <v>83188</v>
      </c>
    </row>
    <row r="32" spans="1:2" ht="15.75">
      <c r="A32" s="541"/>
      <c r="B32" s="542"/>
    </row>
    <row r="33" spans="1:2" ht="15.75">
      <c r="A33" s="417" t="s">
        <v>462</v>
      </c>
      <c r="B33" s="540">
        <f>SUM(B16+B31)</f>
        <v>85588</v>
      </c>
    </row>
    <row r="34" spans="1:2" ht="15.75">
      <c r="A34" s="543"/>
      <c r="B34" s="544"/>
    </row>
    <row r="35" spans="1:2" ht="15.75">
      <c r="A35" s="543"/>
      <c r="B35" s="544"/>
    </row>
  </sheetData>
  <sheetProtection/>
  <mergeCells count="2">
    <mergeCell ref="A4:B4"/>
    <mergeCell ref="A5:B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545" t="s">
        <v>463</v>
      </c>
    </row>
    <row r="2" spans="1:2" ht="15.75">
      <c r="A2" s="934" t="s">
        <v>464</v>
      </c>
      <c r="B2" s="934"/>
    </row>
    <row r="3" spans="1:2" ht="15.75">
      <c r="A3" s="934" t="s">
        <v>465</v>
      </c>
      <c r="B3" s="934"/>
    </row>
    <row r="4" spans="1:2" ht="15.75">
      <c r="A4" s="516"/>
      <c r="B4" s="516"/>
    </row>
    <row r="5" spans="1:2" ht="12.75">
      <c r="A5" s="515"/>
      <c r="B5" s="416" t="s">
        <v>34</v>
      </c>
    </row>
    <row r="6" spans="1:2" ht="25.5">
      <c r="A6" s="546" t="s">
        <v>466</v>
      </c>
      <c r="B6" s="119" t="s">
        <v>449</v>
      </c>
    </row>
    <row r="7" spans="1:2" ht="12.75" customHeight="1">
      <c r="A7" s="547" t="s">
        <v>467</v>
      </c>
      <c r="B7" s="548"/>
    </row>
    <row r="8" spans="1:2" ht="12.75" customHeight="1">
      <c r="A8" s="549" t="s">
        <v>468</v>
      </c>
      <c r="B8" s="550"/>
    </row>
    <row r="9" spans="1:2" ht="12.75" customHeight="1">
      <c r="A9" s="90" t="s">
        <v>469</v>
      </c>
      <c r="B9" s="551">
        <f>SUM(B8)</f>
        <v>0</v>
      </c>
    </row>
    <row r="10" spans="1:2" ht="12.75" customHeight="1">
      <c r="A10" s="552"/>
      <c r="B10" s="553"/>
    </row>
    <row r="11" spans="1:2" ht="12.75">
      <c r="A11" s="554" t="s">
        <v>470</v>
      </c>
      <c r="B11" s="555"/>
    </row>
    <row r="12" spans="1:2" ht="12.75">
      <c r="A12" s="88" t="s">
        <v>471</v>
      </c>
      <c r="B12" s="556">
        <v>3600</v>
      </c>
    </row>
    <row r="13" spans="1:2" ht="12.75" customHeight="1">
      <c r="A13" s="88" t="s">
        <v>472</v>
      </c>
      <c r="B13" s="556">
        <v>1000</v>
      </c>
    </row>
    <row r="14" spans="1:2" ht="12.75">
      <c r="A14" s="298"/>
      <c r="B14" s="557"/>
    </row>
    <row r="15" spans="1:2" ht="12.75">
      <c r="A15" s="90" t="s">
        <v>469</v>
      </c>
      <c r="B15" s="558">
        <f>SUM(B12:B14)</f>
        <v>4600</v>
      </c>
    </row>
    <row r="16" spans="1:2" ht="12.75">
      <c r="A16" s="93"/>
      <c r="B16" s="559"/>
    </row>
    <row r="17" spans="1:2" ht="12.75">
      <c r="A17" s="560" t="s">
        <v>473</v>
      </c>
      <c r="B17" s="556"/>
    </row>
    <row r="18" spans="1:2" ht="12.75">
      <c r="A18" s="561"/>
      <c r="B18" s="557"/>
    </row>
    <row r="19" spans="1:2" ht="12.75">
      <c r="A19" s="90" t="s">
        <v>474</v>
      </c>
      <c r="B19" s="558">
        <f>SUM(B18)</f>
        <v>0</v>
      </c>
    </row>
    <row r="20" spans="1:2" ht="12.75">
      <c r="A20" s="93"/>
      <c r="B20" s="562"/>
    </row>
    <row r="21" spans="1:2" ht="12.75">
      <c r="A21" s="113"/>
      <c r="B21" s="563"/>
    </row>
    <row r="22" spans="1:2" ht="12.75">
      <c r="A22" s="90" t="s">
        <v>227</v>
      </c>
      <c r="B22" s="564">
        <f>B15+B19+B9</f>
        <v>4600</v>
      </c>
    </row>
    <row r="23" spans="1:2" ht="12.75">
      <c r="A23" s="93"/>
      <c r="B23" s="565"/>
    </row>
    <row r="24" spans="1:2" ht="12.75">
      <c r="A24" s="554" t="s">
        <v>475</v>
      </c>
      <c r="B24" s="8"/>
    </row>
    <row r="25" spans="1:2" ht="12.75">
      <c r="A25" s="70"/>
      <c r="B25" s="566"/>
    </row>
    <row r="26" spans="1:2" ht="12.75">
      <c r="A26" s="71" t="s">
        <v>476</v>
      </c>
      <c r="B26" s="566">
        <v>132</v>
      </c>
    </row>
    <row r="27" spans="1:2" ht="12.75">
      <c r="A27" s="71" t="s">
        <v>477</v>
      </c>
      <c r="B27" s="566">
        <v>22080</v>
      </c>
    </row>
    <row r="28" spans="1:2" ht="12.75">
      <c r="A28" s="71" t="s">
        <v>478</v>
      </c>
      <c r="B28" s="566">
        <v>11100</v>
      </c>
    </row>
    <row r="29" spans="1:2" ht="12.75">
      <c r="A29" s="71" t="s">
        <v>479</v>
      </c>
      <c r="B29" s="566">
        <v>22200</v>
      </c>
    </row>
    <row r="30" spans="1:2" ht="12.75">
      <c r="A30" s="71" t="s">
        <v>480</v>
      </c>
      <c r="B30" s="566">
        <v>22200</v>
      </c>
    </row>
    <row r="31" spans="1:2" ht="12.75">
      <c r="A31" s="71" t="s">
        <v>481</v>
      </c>
      <c r="B31" s="566">
        <v>11040</v>
      </c>
    </row>
    <row r="32" spans="1:2" ht="12.75">
      <c r="A32" s="71" t="s">
        <v>482</v>
      </c>
      <c r="B32" s="566">
        <v>4300</v>
      </c>
    </row>
    <row r="33" spans="1:2" ht="12.75">
      <c r="A33" s="567"/>
      <c r="B33" s="568"/>
    </row>
    <row r="34" spans="1:2" s="91" customFormat="1" ht="12.75">
      <c r="A34" s="103" t="s">
        <v>483</v>
      </c>
      <c r="B34" s="569">
        <f>SUM(B25:B33)</f>
        <v>93052</v>
      </c>
    </row>
    <row r="35" spans="1:2" ht="12.75">
      <c r="A35" s="71"/>
      <c r="B35" s="566"/>
    </row>
    <row r="36" spans="1:2" ht="12.75">
      <c r="A36" s="71" t="s">
        <v>484</v>
      </c>
      <c r="B36" s="566">
        <v>3500</v>
      </c>
    </row>
    <row r="37" spans="1:2" s="91" customFormat="1" ht="12.75">
      <c r="A37" s="103" t="s">
        <v>485</v>
      </c>
      <c r="B37" s="569">
        <f>SUM(B36)</f>
        <v>3500</v>
      </c>
    </row>
    <row r="38" spans="1:2" ht="12.75">
      <c r="A38" s="570"/>
      <c r="B38" s="566"/>
    </row>
    <row r="39" spans="1:2" ht="12.75">
      <c r="A39" s="570" t="s">
        <v>486</v>
      </c>
      <c r="B39" s="566">
        <v>30000</v>
      </c>
    </row>
    <row r="40" spans="1:2" ht="12.75">
      <c r="A40" s="570" t="s">
        <v>487</v>
      </c>
      <c r="B40" s="566">
        <v>685</v>
      </c>
    </row>
    <row r="41" spans="1:2" s="91" customFormat="1" ht="12.75">
      <c r="A41" s="571" t="s">
        <v>488</v>
      </c>
      <c r="B41" s="569">
        <f>SUM(B39:B40)</f>
        <v>30685</v>
      </c>
    </row>
    <row r="42" spans="1:2" ht="12.75">
      <c r="A42" s="572"/>
      <c r="B42" s="568"/>
    </row>
    <row r="43" spans="1:2" ht="12.75">
      <c r="A43" s="572"/>
      <c r="B43" s="568"/>
    </row>
    <row r="44" spans="1:2" s="91" customFormat="1" ht="12.75">
      <c r="A44" s="573" t="s">
        <v>489</v>
      </c>
      <c r="B44" s="565">
        <f>SUM(B43)</f>
        <v>0</v>
      </c>
    </row>
    <row r="45" spans="1:2" ht="12.75">
      <c r="A45" s="572"/>
      <c r="B45" s="568"/>
    </row>
    <row r="46" spans="1:2" ht="12.75">
      <c r="A46" s="572" t="s">
        <v>490</v>
      </c>
      <c r="B46" s="568">
        <v>90000</v>
      </c>
    </row>
    <row r="47" spans="1:2" s="91" customFormat="1" ht="12.75">
      <c r="A47" s="573" t="s">
        <v>491</v>
      </c>
      <c r="B47" s="565">
        <f>SUM(B46)</f>
        <v>90000</v>
      </c>
    </row>
    <row r="48" spans="1:2" ht="12.75">
      <c r="A48" s="572"/>
      <c r="B48" s="568"/>
    </row>
    <row r="49" spans="1:2" ht="12.75">
      <c r="A49" s="572"/>
      <c r="B49" s="568"/>
    </row>
    <row r="50" spans="1:2" ht="12.75">
      <c r="A50" s="561"/>
      <c r="B50" s="574"/>
    </row>
    <row r="51" spans="1:2" ht="12.75">
      <c r="A51" s="430" t="s">
        <v>390</v>
      </c>
      <c r="B51" s="575">
        <f>B34+B37+B41+B44+B47</f>
        <v>217237</v>
      </c>
    </row>
    <row r="52" spans="1:2" ht="12.75">
      <c r="A52" s="576"/>
      <c r="B52" s="577"/>
    </row>
    <row r="53" spans="1:2" ht="12.75">
      <c r="A53" s="430" t="s">
        <v>492</v>
      </c>
      <c r="B53" s="578">
        <f>B22+B51</f>
        <v>221837</v>
      </c>
    </row>
  </sheetData>
  <sheetProtection/>
  <mergeCells count="2"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935" t="s">
        <v>493</v>
      </c>
      <c r="B1" s="935"/>
    </row>
    <row r="2" spans="1:2" ht="15.75">
      <c r="A2" s="934" t="s">
        <v>494</v>
      </c>
      <c r="B2" s="934"/>
    </row>
    <row r="3" spans="1:2" ht="15.75">
      <c r="A3" s="934" t="s">
        <v>2</v>
      </c>
      <c r="B3" s="934"/>
    </row>
    <row r="4" spans="1:2" ht="15.75">
      <c r="A4" s="516"/>
      <c r="B4" s="516"/>
    </row>
    <row r="5" ht="12.75">
      <c r="B5" s="416" t="s">
        <v>34</v>
      </c>
    </row>
    <row r="6" spans="1:2" ht="31.5">
      <c r="A6" s="517" t="s">
        <v>495</v>
      </c>
      <c r="B6" s="579" t="s">
        <v>496</v>
      </c>
    </row>
    <row r="7" spans="1:2" ht="15.75">
      <c r="A7" s="580" t="s">
        <v>497</v>
      </c>
      <c r="B7" s="581"/>
    </row>
    <row r="8" spans="1:2" ht="15">
      <c r="A8" s="582" t="s">
        <v>498</v>
      </c>
      <c r="B8" s="583">
        <v>18000</v>
      </c>
    </row>
    <row r="9" spans="1:2" ht="15">
      <c r="A9" s="584" t="s">
        <v>499</v>
      </c>
      <c r="B9" s="585">
        <v>1000</v>
      </c>
    </row>
    <row r="10" spans="1:2" ht="15" customHeight="1">
      <c r="A10" s="584" t="s">
        <v>500</v>
      </c>
      <c r="B10" s="586">
        <v>20000</v>
      </c>
    </row>
    <row r="11" spans="1:2" ht="15">
      <c r="A11" s="587" t="s">
        <v>501</v>
      </c>
      <c r="B11" s="586">
        <v>19000</v>
      </c>
    </row>
    <row r="12" spans="1:2" ht="15">
      <c r="A12" s="584" t="s">
        <v>502</v>
      </c>
      <c r="B12" s="585">
        <v>13000</v>
      </c>
    </row>
    <row r="13" spans="1:2" ht="15">
      <c r="A13" s="587"/>
      <c r="B13" s="588"/>
    </row>
    <row r="14" spans="1:2" ht="26.25" customHeight="1">
      <c r="A14" s="589" t="s">
        <v>503</v>
      </c>
      <c r="B14" s="590">
        <f>SUM(B8:B12)</f>
        <v>71000</v>
      </c>
    </row>
    <row r="15" spans="1:2" ht="15">
      <c r="A15" s="591"/>
      <c r="B15" s="592"/>
    </row>
    <row r="16" spans="1:2" ht="15.75">
      <c r="A16" s="593" t="s">
        <v>504</v>
      </c>
      <c r="B16" s="594"/>
    </row>
    <row r="17" spans="1:2" ht="15">
      <c r="A17" s="584" t="s">
        <v>505</v>
      </c>
      <c r="B17" s="585">
        <v>3885</v>
      </c>
    </row>
    <row r="18" spans="1:2" ht="15">
      <c r="A18" s="584" t="s">
        <v>506</v>
      </c>
      <c r="B18" s="585">
        <v>25000</v>
      </c>
    </row>
    <row r="19" spans="1:2" ht="15">
      <c r="A19" s="584" t="s">
        <v>507</v>
      </c>
      <c r="B19" s="585">
        <v>17229</v>
      </c>
    </row>
    <row r="20" spans="1:2" ht="15">
      <c r="A20" s="584" t="s">
        <v>508</v>
      </c>
      <c r="B20" s="585">
        <v>140000</v>
      </c>
    </row>
    <row r="21" spans="1:2" ht="15">
      <c r="A21" s="584"/>
      <c r="B21" s="585"/>
    </row>
    <row r="22" spans="1:2" ht="21" customHeight="1">
      <c r="A22" s="584"/>
      <c r="B22" s="585"/>
    </row>
    <row r="23" spans="1:2" ht="15">
      <c r="A23" s="587"/>
      <c r="B23" s="588"/>
    </row>
    <row r="24" spans="1:2" ht="15.75">
      <c r="A24" s="84" t="s">
        <v>509</v>
      </c>
      <c r="B24" s="595">
        <f>SUM(B17:B23)</f>
        <v>186114</v>
      </c>
    </row>
    <row r="25" spans="1:2" ht="15.75">
      <c r="A25" s="84"/>
      <c r="B25" s="595"/>
    </row>
    <row r="26" spans="1:2" ht="15.75">
      <c r="A26" s="84" t="s">
        <v>510</v>
      </c>
      <c r="B26" s="595">
        <f>B14+B24</f>
        <v>257114</v>
      </c>
    </row>
    <row r="33" ht="47.25">
      <c r="A33" s="596" t="s">
        <v>511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416" t="s">
        <v>512</v>
      </c>
    </row>
    <row r="3" spans="1:2" ht="15.75">
      <c r="A3" s="934" t="s">
        <v>513</v>
      </c>
      <c r="B3" s="934"/>
    </row>
    <row r="4" spans="1:2" ht="15.75">
      <c r="A4" s="516"/>
      <c r="B4" s="516"/>
    </row>
    <row r="5" spans="1:2" ht="15.75">
      <c r="A5" s="516"/>
      <c r="B5" s="516"/>
    </row>
    <row r="7" spans="1:2" ht="15.75">
      <c r="A7" s="546" t="s">
        <v>514</v>
      </c>
      <c r="B7" s="597" t="s">
        <v>515</v>
      </c>
    </row>
    <row r="8" spans="1:2" ht="15">
      <c r="A8" s="598" t="s">
        <v>516</v>
      </c>
      <c r="B8" s="599">
        <v>68</v>
      </c>
    </row>
    <row r="9" spans="1:2" ht="15">
      <c r="A9" s="598" t="s">
        <v>517</v>
      </c>
      <c r="B9" s="599">
        <v>51</v>
      </c>
    </row>
    <row r="10" spans="1:2" ht="15">
      <c r="A10" s="598" t="s">
        <v>473</v>
      </c>
      <c r="B10" s="599">
        <v>77</v>
      </c>
    </row>
    <row r="11" spans="1:2" ht="15">
      <c r="A11" s="598" t="s">
        <v>470</v>
      </c>
      <c r="B11" s="599">
        <v>50</v>
      </c>
    </row>
    <row r="12" spans="1:2" ht="15">
      <c r="A12" s="598" t="s">
        <v>179</v>
      </c>
      <c r="B12" s="599">
        <v>82</v>
      </c>
    </row>
    <row r="13" spans="1:2" ht="15">
      <c r="A13" s="598" t="s">
        <v>518</v>
      </c>
      <c r="B13" s="599">
        <v>150</v>
      </c>
    </row>
    <row r="14" spans="1:2" ht="15">
      <c r="A14" s="598" t="s">
        <v>519</v>
      </c>
      <c r="B14" s="599">
        <v>81</v>
      </c>
    </row>
    <row r="15" spans="1:2" ht="15">
      <c r="A15" s="598" t="s">
        <v>520</v>
      </c>
      <c r="B15" s="599">
        <v>1</v>
      </c>
    </row>
    <row r="16" spans="1:2" ht="15">
      <c r="A16" s="598" t="s">
        <v>521</v>
      </c>
      <c r="B16" s="599">
        <v>59.5</v>
      </c>
    </row>
    <row r="17" spans="1:2" ht="15">
      <c r="A17" s="598" t="s">
        <v>108</v>
      </c>
      <c r="B17" s="599">
        <v>63</v>
      </c>
    </row>
    <row r="18" spans="1:2" ht="15">
      <c r="A18" s="598" t="s">
        <v>109</v>
      </c>
      <c r="B18" s="599">
        <v>144.2</v>
      </c>
    </row>
    <row r="19" spans="1:2" ht="15">
      <c r="A19" s="598" t="s">
        <v>110</v>
      </c>
      <c r="B19" s="599">
        <v>6.8</v>
      </c>
    </row>
    <row r="20" spans="1:2" ht="15">
      <c r="A20" s="598" t="s">
        <v>522</v>
      </c>
      <c r="B20" s="599">
        <v>21</v>
      </c>
    </row>
    <row r="21" spans="1:2" ht="15">
      <c r="A21" s="600" t="s">
        <v>523</v>
      </c>
      <c r="B21" s="601">
        <v>2</v>
      </c>
    </row>
    <row r="22" spans="1:2" ht="15.75">
      <c r="A22" s="327" t="s">
        <v>524</v>
      </c>
      <c r="B22" s="602">
        <f>SUM(B8:B21)</f>
        <v>856.5</v>
      </c>
    </row>
  </sheetData>
  <sheetProtection/>
  <mergeCells count="1">
    <mergeCell ref="A3:B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603"/>
      <c r="B1" s="603"/>
      <c r="C1" s="936" t="s">
        <v>525</v>
      </c>
      <c r="D1" s="936"/>
    </row>
    <row r="2" spans="1:4" ht="15.75">
      <c r="A2" s="937" t="s">
        <v>526</v>
      </c>
      <c r="B2" s="937"/>
      <c r="C2" s="937"/>
      <c r="D2" s="937"/>
    </row>
    <row r="3" spans="1:4" ht="9" customHeight="1">
      <c r="A3" s="603"/>
      <c r="B3" s="603"/>
      <c r="C3" s="603"/>
      <c r="D3" s="603"/>
    </row>
    <row r="4" spans="1:4" ht="12.75">
      <c r="A4" s="603"/>
      <c r="B4" s="603"/>
      <c r="C4" s="938" t="s">
        <v>34</v>
      </c>
      <c r="D4" s="938"/>
    </row>
    <row r="5" spans="1:4" ht="12.75">
      <c r="A5" s="939" t="s">
        <v>361</v>
      </c>
      <c r="B5" s="939"/>
      <c r="C5" s="939" t="s">
        <v>527</v>
      </c>
      <c r="D5" s="939"/>
    </row>
    <row r="6" spans="1:4" ht="22.5" customHeight="1">
      <c r="A6" s="604" t="s">
        <v>495</v>
      </c>
      <c r="B6" s="605" t="s">
        <v>528</v>
      </c>
      <c r="C6" s="604" t="s">
        <v>495</v>
      </c>
      <c r="D6" s="606" t="s">
        <v>529</v>
      </c>
    </row>
    <row r="7" spans="1:4" ht="12.75">
      <c r="A7" s="607" t="s">
        <v>530</v>
      </c>
      <c r="B7" s="608">
        <f>'2_sz_ melléklet'!D6</f>
        <v>1456952</v>
      </c>
      <c r="C7" s="607" t="s">
        <v>531</v>
      </c>
      <c r="D7" s="609">
        <f>'1_a_sz_ melléklet'!D8</f>
        <v>1767787</v>
      </c>
    </row>
    <row r="8" spans="1:4" ht="12.75">
      <c r="A8" s="607" t="s">
        <v>532</v>
      </c>
      <c r="B8" s="608"/>
      <c r="C8" s="607" t="s">
        <v>533</v>
      </c>
      <c r="D8" s="609">
        <f>'1_a_sz_ melléklet'!D9</f>
        <v>564161</v>
      </c>
    </row>
    <row r="9" spans="1:4" ht="12.75">
      <c r="A9" s="607" t="s">
        <v>534</v>
      </c>
      <c r="B9" s="610">
        <v>0</v>
      </c>
      <c r="C9" s="607" t="s">
        <v>535</v>
      </c>
      <c r="D9" s="609">
        <f>'1_a_sz_ melléklet'!D10</f>
        <v>1011002</v>
      </c>
    </row>
    <row r="10" spans="1:4" ht="12.75">
      <c r="A10" s="607" t="s">
        <v>536</v>
      </c>
      <c r="B10" s="610">
        <v>-5285</v>
      </c>
      <c r="C10" s="607" t="s">
        <v>537</v>
      </c>
      <c r="D10" s="609">
        <v>15097</v>
      </c>
    </row>
    <row r="11" spans="1:4" ht="12.75">
      <c r="A11" s="607" t="s">
        <v>538</v>
      </c>
      <c r="B11" s="608">
        <f>'2_sz_ melléklet'!D13</f>
        <v>2301076.137</v>
      </c>
      <c r="C11" s="607" t="s">
        <v>539</v>
      </c>
      <c r="D11" s="609">
        <f>-'1_a_sz_ melléklet'!D21</f>
        <v>-120152</v>
      </c>
    </row>
    <row r="12" spans="1:4" ht="12.75">
      <c r="A12" s="611" t="s">
        <v>540</v>
      </c>
      <c r="B12" s="610">
        <v>-27593</v>
      </c>
      <c r="C12" s="607" t="s">
        <v>541</v>
      </c>
      <c r="D12" s="609">
        <v>0</v>
      </c>
    </row>
    <row r="13" spans="1:4" ht="12.75">
      <c r="A13" s="612" t="s">
        <v>542</v>
      </c>
      <c r="B13" s="608">
        <f>-('2_sz_ melléklet'!D19+'2_sz_ melléklet'!D23)+(-'2_f_h_sz_ melléklet'!D14)</f>
        <v>-186418</v>
      </c>
      <c r="C13" s="607" t="s">
        <v>543</v>
      </c>
      <c r="D13" s="609">
        <f>'1_a_sz_ melléklet'!D13</f>
        <v>254858</v>
      </c>
    </row>
    <row r="14" spans="1:4" ht="12.75">
      <c r="A14" s="612" t="s">
        <v>544</v>
      </c>
      <c r="B14" s="608">
        <f>'2_sz_ melléklet'!D34</f>
        <v>0</v>
      </c>
      <c r="C14" s="612" t="s">
        <v>545</v>
      </c>
      <c r="D14" s="609">
        <f>'1_a_sz_ melléklet'!D14</f>
        <v>254858</v>
      </c>
    </row>
    <row r="15" spans="1:4" ht="12.75">
      <c r="A15" s="612" t="s">
        <v>546</v>
      </c>
      <c r="B15" s="608">
        <f>'2_sz_ melléklet'!D39</f>
        <v>0</v>
      </c>
      <c r="C15" s="612" t="s">
        <v>547</v>
      </c>
      <c r="D15" s="609">
        <f>'1_a_sz_ melléklet'!D12</f>
        <v>358</v>
      </c>
    </row>
    <row r="16" spans="1:4" ht="12.75">
      <c r="A16" s="612" t="s">
        <v>548</v>
      </c>
      <c r="B16" s="608"/>
      <c r="C16" s="612" t="s">
        <v>549</v>
      </c>
      <c r="D16" s="609">
        <f>'1_a_sz_ melléklet'!D25</f>
        <v>33203</v>
      </c>
    </row>
    <row r="17" spans="1:4" ht="12.75">
      <c r="A17" s="612"/>
      <c r="B17" s="608"/>
      <c r="C17" s="612" t="s">
        <v>550</v>
      </c>
      <c r="D17" s="609">
        <f>'1_a_sz_ melléklet'!D35</f>
        <v>1000</v>
      </c>
    </row>
    <row r="18" spans="1:4" ht="12.75">
      <c r="A18" s="612"/>
      <c r="B18" s="608"/>
      <c r="C18" s="613" t="s">
        <v>551</v>
      </c>
      <c r="D18" s="609">
        <f>'1_a_sz_ melléklet'!D30</f>
        <v>169324</v>
      </c>
    </row>
    <row r="19" spans="1:4" ht="12.75">
      <c r="A19" s="612"/>
      <c r="B19" s="608"/>
      <c r="C19" s="612" t="s">
        <v>552</v>
      </c>
      <c r="D19" s="609">
        <f>D20+D21</f>
        <v>86000</v>
      </c>
    </row>
    <row r="20" spans="1:4" ht="12.75">
      <c r="A20" s="612"/>
      <c r="B20" s="608"/>
      <c r="C20" s="612" t="s">
        <v>553</v>
      </c>
      <c r="D20" s="609">
        <f>'1_a_sz_ melléklet'!D40</f>
        <v>15000</v>
      </c>
    </row>
    <row r="21" spans="1:4" ht="12.75">
      <c r="A21" s="612"/>
      <c r="B21" s="608"/>
      <c r="C21" s="612" t="s">
        <v>554</v>
      </c>
      <c r="D21" s="614">
        <f>'5_sz_ melléklet'!B14</f>
        <v>71000</v>
      </c>
    </row>
    <row r="22" spans="1:4" ht="12.75">
      <c r="A22" s="615" t="s">
        <v>555</v>
      </c>
      <c r="B22" s="616">
        <f>SUM(B7:B20)</f>
        <v>3538732.137</v>
      </c>
      <c r="C22" s="615" t="s">
        <v>556</v>
      </c>
      <c r="D22" s="617">
        <f>D7+D8+D9+D12+D13+D15+D18+D11+D16+D17+D19</f>
        <v>3767541</v>
      </c>
    </row>
    <row r="23" spans="1:4" ht="6.75" customHeight="1">
      <c r="A23" s="618"/>
      <c r="B23" s="619"/>
      <c r="C23" s="620"/>
      <c r="D23" s="621"/>
    </row>
    <row r="24" spans="1:4" ht="7.5" customHeight="1">
      <c r="A24" s="622"/>
      <c r="B24" s="623"/>
      <c r="C24" s="622"/>
      <c r="D24" s="622"/>
    </row>
    <row r="25" spans="1:4" ht="12.75">
      <c r="A25" s="612" t="s">
        <v>557</v>
      </c>
      <c r="B25" s="608">
        <f>D22+D25-B22</f>
        <v>228808.8629999999</v>
      </c>
      <c r="C25" s="612" t="s">
        <v>558</v>
      </c>
      <c r="D25" s="610">
        <f>'1_a_sz_ melléklet'!D47</f>
        <v>0</v>
      </c>
    </row>
    <row r="26" spans="1:4" ht="12.75">
      <c r="A26" s="612" t="s">
        <v>559</v>
      </c>
      <c r="B26" s="608"/>
      <c r="C26" s="612"/>
      <c r="D26" s="608"/>
    </row>
    <row r="27" spans="1:4" ht="12.75">
      <c r="A27" s="612" t="s">
        <v>560</v>
      </c>
      <c r="B27" s="608"/>
      <c r="C27" s="612"/>
      <c r="D27" s="608"/>
    </row>
    <row r="28" spans="1:4" ht="12.75">
      <c r="A28" s="624" t="s">
        <v>561</v>
      </c>
      <c r="B28" s="625">
        <f>B22+B25</f>
        <v>3767541</v>
      </c>
      <c r="C28" s="624" t="s">
        <v>562</v>
      </c>
      <c r="D28" s="625">
        <f>D22+D24+D25</f>
        <v>3767541</v>
      </c>
    </row>
    <row r="29" spans="1:4" ht="8.25" customHeight="1">
      <c r="A29" s="603"/>
      <c r="B29" s="603"/>
      <c r="C29" s="603"/>
      <c r="D29" s="603"/>
    </row>
    <row r="30" spans="1:4" ht="15.75">
      <c r="A30" s="937" t="s">
        <v>563</v>
      </c>
      <c r="B30" s="937"/>
      <c r="C30" s="937"/>
      <c r="D30" s="937"/>
    </row>
    <row r="31" spans="1:4" ht="9.75" customHeight="1">
      <c r="A31" s="603"/>
      <c r="B31" s="603"/>
      <c r="C31" s="603"/>
      <c r="D31" s="603"/>
    </row>
    <row r="32" spans="1:4" ht="12.75">
      <c r="A32" s="603"/>
      <c r="B32" s="603"/>
      <c r="C32" s="938" t="s">
        <v>34</v>
      </c>
      <c r="D32" s="938"/>
    </row>
    <row r="33" spans="1:4" ht="12.75">
      <c r="A33" s="939" t="s">
        <v>361</v>
      </c>
      <c r="B33" s="939"/>
      <c r="C33" s="939" t="s">
        <v>527</v>
      </c>
      <c r="D33" s="939"/>
    </row>
    <row r="34" spans="1:4" ht="25.5">
      <c r="A34" s="626" t="s">
        <v>495</v>
      </c>
      <c r="B34" s="627" t="s">
        <v>528</v>
      </c>
      <c r="C34" s="626" t="s">
        <v>495</v>
      </c>
      <c r="D34" s="627" t="s">
        <v>529</v>
      </c>
    </row>
    <row r="35" spans="1:4" ht="12.75">
      <c r="A35" s="607" t="s">
        <v>564</v>
      </c>
      <c r="B35" s="610">
        <f>'2_sz_ melléklet'!D26</f>
        <v>450000</v>
      </c>
      <c r="C35" s="628" t="s">
        <v>565</v>
      </c>
      <c r="D35" s="609">
        <f>'1_a_sz_ melléklet'!D18</f>
        <v>221837</v>
      </c>
    </row>
    <row r="36" spans="1:4" ht="12.75">
      <c r="A36" s="607" t="s">
        <v>566</v>
      </c>
      <c r="B36" s="608">
        <f>'2_f_h_sz_ melléklet'!D14</f>
        <v>0</v>
      </c>
      <c r="C36" s="628" t="s">
        <v>567</v>
      </c>
      <c r="D36" s="614">
        <f>'1_a_sz_ melléklet'!D19</f>
        <v>85588</v>
      </c>
    </row>
    <row r="37" spans="1:4" ht="12.75">
      <c r="A37" s="323" t="s">
        <v>568</v>
      </c>
      <c r="B37" s="608">
        <f>'2_sz_ melléklet'!D23</f>
        <v>186418</v>
      </c>
      <c r="C37" s="629" t="s">
        <v>569</v>
      </c>
      <c r="D37" s="614">
        <f>'1_a_sz_ melléklet'!D20</f>
        <v>1500</v>
      </c>
    </row>
    <row r="38" spans="1:4" ht="12.75">
      <c r="A38" s="612" t="s">
        <v>570</v>
      </c>
      <c r="B38" s="608"/>
      <c r="C38" s="629" t="s">
        <v>571</v>
      </c>
      <c r="D38" s="614">
        <f>'1_a_sz_ melléklet'!D31</f>
        <v>70276</v>
      </c>
    </row>
    <row r="39" spans="1:4" ht="12.75">
      <c r="A39" s="612" t="s">
        <v>572</v>
      </c>
      <c r="B39" s="608">
        <f>'[1]2_sz_melléklet'!D41</f>
        <v>0</v>
      </c>
      <c r="C39" s="629" t="s">
        <v>550</v>
      </c>
      <c r="D39" s="614">
        <f>'1_a_sz_ melléklet'!D36</f>
        <v>5000</v>
      </c>
    </row>
    <row r="40" spans="1:4" ht="12.75">
      <c r="A40" s="612" t="s">
        <v>573</v>
      </c>
      <c r="B40" s="608">
        <f>'2_sz_ melléklet'!D35</f>
        <v>4500</v>
      </c>
      <c r="C40" s="629" t="s">
        <v>574</v>
      </c>
      <c r="D40" s="614">
        <f>-D11</f>
        <v>120152</v>
      </c>
    </row>
    <row r="41" spans="1:4" ht="12.75">
      <c r="A41" s="612" t="s">
        <v>575</v>
      </c>
      <c r="B41" s="608">
        <f>B42</f>
        <v>27593</v>
      </c>
      <c r="C41" s="629" t="s">
        <v>552</v>
      </c>
      <c r="D41" s="614">
        <f>D42+D43</f>
        <v>186114</v>
      </c>
    </row>
    <row r="42" spans="1:4" ht="25.5">
      <c r="A42" s="630" t="s">
        <v>576</v>
      </c>
      <c r="B42" s="608">
        <f>-B12</f>
        <v>27593</v>
      </c>
      <c r="C42" s="629" t="s">
        <v>577</v>
      </c>
      <c r="D42" s="614"/>
    </row>
    <row r="43" spans="1:4" ht="15.75" customHeight="1">
      <c r="A43" s="612" t="s">
        <v>578</v>
      </c>
      <c r="B43" s="608">
        <f>-B9</f>
        <v>0</v>
      </c>
      <c r="C43" s="629" t="s">
        <v>579</v>
      </c>
      <c r="D43" s="614">
        <f>'5_sz_ melléklet'!B24</f>
        <v>186114</v>
      </c>
    </row>
    <row r="44" spans="1:4" ht="15" customHeight="1">
      <c r="A44" s="612" t="s">
        <v>580</v>
      </c>
      <c r="B44" s="39">
        <f>-B10</f>
        <v>5285</v>
      </c>
      <c r="C44" s="629" t="s">
        <v>581</v>
      </c>
      <c r="D44" s="614">
        <f>-D12</f>
        <v>0</v>
      </c>
    </row>
    <row r="45" spans="1:4" ht="12.75">
      <c r="A45" s="631" t="s">
        <v>548</v>
      </c>
      <c r="B45" s="608"/>
      <c r="C45" s="629" t="s">
        <v>582</v>
      </c>
      <c r="D45" s="614">
        <f>'1_a_sz_ melléklet'!D26</f>
        <v>0</v>
      </c>
    </row>
    <row r="46" spans="1:4" ht="12.75">
      <c r="A46" s="631" t="s">
        <v>583</v>
      </c>
      <c r="B46" s="608">
        <f>-B8</f>
        <v>0</v>
      </c>
      <c r="C46" s="629"/>
      <c r="D46" s="614"/>
    </row>
    <row r="47" spans="1:4" ht="12.75">
      <c r="A47" s="632" t="s">
        <v>584</v>
      </c>
      <c r="B47" s="633">
        <f>B35+B36+B37+B38+B39+B40+B41+B43+B44+B45+B46</f>
        <v>673796</v>
      </c>
      <c r="C47" s="634" t="s">
        <v>585</v>
      </c>
      <c r="D47" s="621">
        <f>SUM(D35:D41)+D44+D45</f>
        <v>690467</v>
      </c>
    </row>
    <row r="48" spans="1:4" ht="6.75" customHeight="1">
      <c r="A48" s="632"/>
      <c r="B48" s="633"/>
      <c r="C48" s="634"/>
      <c r="D48" s="621"/>
    </row>
    <row r="49" spans="1:4" ht="12.75">
      <c r="A49" s="635" t="s">
        <v>586</v>
      </c>
      <c r="B49" s="636">
        <f>D50-B47</f>
        <v>30399</v>
      </c>
      <c r="C49" s="637" t="s">
        <v>558</v>
      </c>
      <c r="D49" s="638">
        <f>'1_a_sz_ melléklet'!D48</f>
        <v>13728</v>
      </c>
    </row>
    <row r="50" spans="1:4" ht="12.75">
      <c r="A50" s="632" t="s">
        <v>587</v>
      </c>
      <c r="B50" s="633">
        <f>SUM(B47:B49)</f>
        <v>704195</v>
      </c>
      <c r="C50" s="634" t="s">
        <v>588</v>
      </c>
      <c r="D50" s="621">
        <f>SUM(D47:D49)</f>
        <v>704195</v>
      </c>
    </row>
    <row r="51" spans="1:4" ht="4.5" customHeight="1">
      <c r="A51" s="639"/>
      <c r="B51" s="640"/>
      <c r="C51" s="641"/>
      <c r="D51" s="642"/>
    </row>
    <row r="52" spans="1:4" ht="12.75">
      <c r="A52" s="643" t="s">
        <v>589</v>
      </c>
      <c r="B52" s="644">
        <f>B22+B47</f>
        <v>4212528.137</v>
      </c>
      <c r="C52" s="645" t="s">
        <v>590</v>
      </c>
      <c r="D52" s="646">
        <f>D22+D47</f>
        <v>4458008</v>
      </c>
    </row>
    <row r="53" spans="1:4" ht="12.75">
      <c r="A53" s="647" t="s">
        <v>557</v>
      </c>
      <c r="B53" s="648">
        <f>B49+B25</f>
        <v>259207.8629999999</v>
      </c>
      <c r="C53" s="649" t="s">
        <v>591</v>
      </c>
      <c r="D53" s="650">
        <f>D25+D49</f>
        <v>13728</v>
      </c>
    </row>
    <row r="54" spans="1:4" ht="12.75">
      <c r="A54" s="651" t="s">
        <v>592</v>
      </c>
      <c r="B54" s="625">
        <f>SUM(B52:B53)</f>
        <v>4471736</v>
      </c>
      <c r="C54" s="624" t="s">
        <v>593</v>
      </c>
      <c r="D54" s="652">
        <f>SUM(D52:D53)</f>
        <v>4471736</v>
      </c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49">
      <selection activeCell="A52" sqref="A52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26" t="s">
        <v>32</v>
      </c>
    </row>
    <row r="2" spans="1:4" ht="15.75">
      <c r="A2" s="904" t="s">
        <v>33</v>
      </c>
      <c r="B2" s="904"/>
      <c r="C2" s="904"/>
      <c r="D2" s="904"/>
    </row>
    <row r="3" spans="1:4" ht="6.75" customHeight="1">
      <c r="A3" s="27"/>
      <c r="B3" s="28"/>
      <c r="C3" s="28"/>
      <c r="D3" s="28"/>
    </row>
    <row r="4" spans="1:4" ht="15.75">
      <c r="A4" s="29"/>
      <c r="B4" s="30"/>
      <c r="D4" s="31" t="s">
        <v>34</v>
      </c>
    </row>
    <row r="5" spans="1:4" ht="15.75">
      <c r="A5" s="32" t="s">
        <v>35</v>
      </c>
      <c r="B5" s="33" t="s">
        <v>36</v>
      </c>
      <c r="C5" s="33" t="s">
        <v>37</v>
      </c>
      <c r="D5" s="33" t="s">
        <v>38</v>
      </c>
    </row>
    <row r="6" spans="1:4" ht="15.75">
      <c r="A6" s="34" t="s">
        <v>39</v>
      </c>
      <c r="B6" s="35" t="s">
        <v>40</v>
      </c>
      <c r="C6" s="35" t="s">
        <v>41</v>
      </c>
      <c r="D6" s="35" t="s">
        <v>42</v>
      </c>
    </row>
    <row r="7" spans="1:4" ht="12.75">
      <c r="A7" s="33" t="s">
        <v>43</v>
      </c>
      <c r="B7" s="36"/>
      <c r="C7" s="37"/>
      <c r="D7" s="36"/>
    </row>
    <row r="8" spans="1:4" ht="12.75">
      <c r="A8" s="38" t="s">
        <v>44</v>
      </c>
      <c r="B8" s="39">
        <f>1_b_sz_melléklet!D8</f>
        <v>353289</v>
      </c>
      <c r="C8" s="40">
        <f>1_d_sz_melléklet!F269</f>
        <v>1414498</v>
      </c>
      <c r="D8" s="39">
        <f>B8+C8</f>
        <v>1767787</v>
      </c>
    </row>
    <row r="9" spans="1:4" ht="12.75">
      <c r="A9" s="19" t="s">
        <v>45</v>
      </c>
      <c r="B9" s="39">
        <f>1_b_sz_melléklet!D9</f>
        <v>108991</v>
      </c>
      <c r="C9" s="40">
        <f>1_d_sz_melléklet!F270</f>
        <v>455170</v>
      </c>
      <c r="D9" s="39">
        <f aca="true" t="shared" si="0" ref="D9:D14">B9+C9</f>
        <v>564161</v>
      </c>
    </row>
    <row r="10" spans="1:4" ht="12.75">
      <c r="A10" s="19" t="s">
        <v>46</v>
      </c>
      <c r="B10" s="39">
        <f>1_b_sz_melléklet!D10</f>
        <v>143830</v>
      </c>
      <c r="C10" s="40">
        <f>1_d_sz_melléklet!F271</f>
        <v>867172</v>
      </c>
      <c r="D10" s="39">
        <f t="shared" si="0"/>
        <v>1011002</v>
      </c>
    </row>
    <row r="11" spans="1:4" ht="12.75">
      <c r="A11" s="19" t="s">
        <v>47</v>
      </c>
      <c r="B11" s="39">
        <f>1_b_sz_melléklet!D11</f>
        <v>0</v>
      </c>
      <c r="C11" s="40">
        <f>1_d_sz_melléklet!D272</f>
        <v>-120152</v>
      </c>
      <c r="D11" s="39">
        <f t="shared" si="0"/>
        <v>-120152</v>
      </c>
    </row>
    <row r="12" spans="1:4" ht="12.75">
      <c r="A12" s="19" t="s">
        <v>48</v>
      </c>
      <c r="B12" s="39">
        <f>1_b_sz_melléklet!D12</f>
        <v>0</v>
      </c>
      <c r="C12" s="40">
        <f>1_d_sz_melléklet!F273</f>
        <v>358</v>
      </c>
      <c r="D12" s="39">
        <f t="shared" si="0"/>
        <v>358</v>
      </c>
    </row>
    <row r="13" spans="1:4" ht="12.75">
      <c r="A13" s="19" t="s">
        <v>49</v>
      </c>
      <c r="B13" s="39">
        <f>1_b_sz_melléklet!D13</f>
        <v>0</v>
      </c>
      <c r="C13" s="40">
        <f>1_d_sz_melléklet!F274</f>
        <v>254858</v>
      </c>
      <c r="D13" s="39">
        <f t="shared" si="0"/>
        <v>254858</v>
      </c>
    </row>
    <row r="14" spans="1:4" ht="12.75">
      <c r="A14" s="41" t="s">
        <v>50</v>
      </c>
      <c r="B14" s="39">
        <f>1_b_sz_melléklet!D14</f>
        <v>0</v>
      </c>
      <c r="C14" s="42">
        <f>1_d_sz_melléklet!F275</f>
        <v>254858</v>
      </c>
      <c r="D14" s="39">
        <f t="shared" si="0"/>
        <v>254858</v>
      </c>
    </row>
    <row r="15" spans="1:4" ht="12.75">
      <c r="A15" s="43" t="s">
        <v>51</v>
      </c>
      <c r="B15" s="16">
        <f>SUM(B8:B13)</f>
        <v>606110</v>
      </c>
      <c r="C15" s="16">
        <f>1_d_sz_melléklet!F276</f>
        <v>2871904</v>
      </c>
      <c r="D15" s="16">
        <f>C15+B15</f>
        <v>3478014</v>
      </c>
    </row>
    <row r="16" spans="1:4" ht="12.75">
      <c r="A16" s="44"/>
      <c r="B16" s="45"/>
      <c r="C16" s="46"/>
      <c r="D16" s="45"/>
    </row>
    <row r="17" spans="1:4" ht="12.75">
      <c r="A17" s="47" t="s">
        <v>52</v>
      </c>
      <c r="B17" s="48"/>
      <c r="C17" s="49"/>
      <c r="D17" s="19"/>
    </row>
    <row r="18" spans="1:4" ht="12.75">
      <c r="A18" s="19" t="s">
        <v>53</v>
      </c>
      <c r="B18" s="48">
        <f>1_b_sz_melléklet!D19</f>
        <v>0</v>
      </c>
      <c r="C18" s="40">
        <f>1_d_sz_melléklet!F279</f>
        <v>221837</v>
      </c>
      <c r="D18" s="39">
        <f>B18+C18</f>
        <v>221837</v>
      </c>
    </row>
    <row r="19" spans="1:4" ht="12.75">
      <c r="A19" s="19" t="s">
        <v>54</v>
      </c>
      <c r="B19" s="48">
        <f>1_b_sz_melléklet!D20</f>
        <v>0</v>
      </c>
      <c r="C19" s="40">
        <f>1_d_sz_melléklet!F280</f>
        <v>85588</v>
      </c>
      <c r="D19" s="39">
        <f>B19+C19</f>
        <v>85588</v>
      </c>
    </row>
    <row r="20" spans="1:4" ht="12.75">
      <c r="A20" s="19" t="s">
        <v>55</v>
      </c>
      <c r="B20" s="48">
        <f>1_b_sz_melléklet!D21</f>
        <v>0</v>
      </c>
      <c r="C20" s="40">
        <f>1_d_sz_melléklet!F281</f>
        <v>1500</v>
      </c>
      <c r="D20" s="39">
        <f>B20+C20</f>
        <v>1500</v>
      </c>
    </row>
    <row r="21" spans="1:4" ht="12.75">
      <c r="A21" s="19" t="s">
        <v>56</v>
      </c>
      <c r="B21" s="48">
        <f>1_b_sz_melléklet!D22</f>
        <v>0</v>
      </c>
      <c r="C21" s="40">
        <f>1_d_sz_melléklet!F282</f>
        <v>120152</v>
      </c>
      <c r="D21" s="39">
        <f>B21+C21</f>
        <v>120152</v>
      </c>
    </row>
    <row r="22" spans="1:4" ht="12.75">
      <c r="A22" s="43" t="s">
        <v>57</v>
      </c>
      <c r="B22" s="16">
        <f>SUM(B18:B21)</f>
        <v>0</v>
      </c>
      <c r="C22" s="16">
        <f>1_d_sz_melléklet!F284</f>
        <v>429077</v>
      </c>
      <c r="D22" s="16">
        <f>B22+C22</f>
        <v>429077</v>
      </c>
    </row>
    <row r="23" spans="1:4" ht="12.75">
      <c r="A23" s="50"/>
      <c r="B23" s="51"/>
      <c r="C23" s="52"/>
      <c r="D23" s="53"/>
    </row>
    <row r="24" spans="1:4" ht="12.75">
      <c r="A24" s="50" t="s">
        <v>58</v>
      </c>
      <c r="B24" s="51"/>
      <c r="C24" s="48"/>
      <c r="D24" s="53"/>
    </row>
    <row r="25" spans="1:4" ht="12.75">
      <c r="A25" s="54" t="s">
        <v>59</v>
      </c>
      <c r="B25" s="55">
        <f>1_b_sz_melléklet!D26</f>
        <v>0</v>
      </c>
      <c r="C25" s="39">
        <f>1_d_sz_melléklet!F287</f>
        <v>33203</v>
      </c>
      <c r="D25" s="56">
        <f>B25+C25</f>
        <v>33203</v>
      </c>
    </row>
    <row r="26" spans="1:4" ht="12.75">
      <c r="A26" s="57" t="s">
        <v>60</v>
      </c>
      <c r="B26" s="55">
        <f>1_b_sz_melléklet!D27</f>
        <v>0</v>
      </c>
      <c r="C26" s="58">
        <f>1_d_sz_melléklet!F288</f>
        <v>0</v>
      </c>
      <c r="D26" s="59">
        <f>B26+C26</f>
        <v>0</v>
      </c>
    </row>
    <row r="27" spans="1:4" ht="12.75">
      <c r="A27" s="43" t="s">
        <v>61</v>
      </c>
      <c r="B27" s="60">
        <f>SUM(B25:B26)</f>
        <v>0</v>
      </c>
      <c r="C27" s="16">
        <f>SUM(C25:C26)</f>
        <v>33203</v>
      </c>
      <c r="D27" s="61">
        <f>B27+C27</f>
        <v>33203</v>
      </c>
    </row>
    <row r="28" spans="1:4" ht="12.75">
      <c r="A28" s="50"/>
      <c r="B28" s="51"/>
      <c r="C28" s="52"/>
      <c r="D28" s="53"/>
    </row>
    <row r="29" spans="1:4" ht="12.75">
      <c r="A29" s="62" t="s">
        <v>62</v>
      </c>
      <c r="B29" s="51"/>
      <c r="C29" s="48"/>
      <c r="D29" s="53"/>
    </row>
    <row r="30" spans="1:4" ht="12.75">
      <c r="A30" s="54" t="s">
        <v>59</v>
      </c>
      <c r="B30" s="55">
        <f>1_b_sz_melléklet!D31</f>
        <v>0</v>
      </c>
      <c r="C30" s="39">
        <f>1_d_sz_melléklet!F292</f>
        <v>169324</v>
      </c>
      <c r="D30" s="56">
        <f>B30+C30</f>
        <v>169324</v>
      </c>
    </row>
    <row r="31" spans="1:4" ht="12.75">
      <c r="A31" s="57" t="s">
        <v>60</v>
      </c>
      <c r="B31" s="55">
        <f>1_b_sz_melléklet!D32</f>
        <v>0</v>
      </c>
      <c r="C31" s="63">
        <f>1_d_sz_melléklet!F293</f>
        <v>70276</v>
      </c>
      <c r="D31" s="56">
        <f>B31+C31</f>
        <v>70276</v>
      </c>
    </row>
    <row r="32" spans="1:4" ht="12.75">
      <c r="A32" s="43" t="s">
        <v>63</v>
      </c>
      <c r="B32" s="16">
        <f>SUM(B30:B31)</f>
        <v>0</v>
      </c>
      <c r="C32" s="16">
        <f>1_d_sz_melléklet!F294</f>
        <v>239600</v>
      </c>
      <c r="D32" s="16">
        <f>B32+C32</f>
        <v>239600</v>
      </c>
    </row>
    <row r="33" spans="1:4" ht="12.75">
      <c r="A33" s="50"/>
      <c r="B33" s="64"/>
      <c r="C33" s="49"/>
      <c r="D33" s="64"/>
    </row>
    <row r="34" spans="1:4" ht="12.75">
      <c r="A34" s="47" t="s">
        <v>64</v>
      </c>
      <c r="B34" s="48"/>
      <c r="C34" s="40"/>
      <c r="D34" s="48"/>
    </row>
    <row r="35" spans="1:4" ht="12.75">
      <c r="A35" s="19" t="s">
        <v>65</v>
      </c>
      <c r="B35" s="48">
        <f>1_b_sz_melléklet!D36</f>
        <v>0</v>
      </c>
      <c r="C35" s="40">
        <f>1_d_sz_melléklet!F296</f>
        <v>1000</v>
      </c>
      <c r="D35" s="48">
        <f>B35+C35</f>
        <v>1000</v>
      </c>
    </row>
    <row r="36" spans="1:4" ht="12.75">
      <c r="A36" s="65" t="s">
        <v>66</v>
      </c>
      <c r="B36" s="48">
        <f>1_b_sz_melléklet!D37</f>
        <v>0</v>
      </c>
      <c r="C36" s="42">
        <f>1_d_sz_melléklet!F297</f>
        <v>5000</v>
      </c>
      <c r="D36" s="48">
        <f>B36+C36</f>
        <v>5000</v>
      </c>
    </row>
    <row r="37" spans="1:4" ht="12.75">
      <c r="A37" s="43" t="s">
        <v>67</v>
      </c>
      <c r="B37" s="16">
        <f>SUM(B35:B36)</f>
        <v>0</v>
      </c>
      <c r="C37" s="16">
        <f>SUM(C35:C36)</f>
        <v>6000</v>
      </c>
      <c r="D37" s="16">
        <f>B37+C37</f>
        <v>6000</v>
      </c>
    </row>
    <row r="38" spans="1:4" ht="12.75">
      <c r="A38" s="66"/>
      <c r="B38" s="52"/>
      <c r="C38" s="67"/>
      <c r="D38" s="52"/>
    </row>
    <row r="39" spans="1:4" ht="12.75">
      <c r="A39" s="68" t="s">
        <v>68</v>
      </c>
      <c r="B39" s="69"/>
      <c r="C39" s="49"/>
      <c r="D39" s="69"/>
    </row>
    <row r="40" spans="1:4" ht="12.75">
      <c r="A40" s="70" t="s">
        <v>69</v>
      </c>
      <c r="B40" s="48">
        <f>1_b_sz_melléklet!D41</f>
        <v>0</v>
      </c>
      <c r="C40" s="40">
        <f>1_d_sz_melléklet!F300</f>
        <v>15000</v>
      </c>
      <c r="D40" s="48">
        <f>C40+B40</f>
        <v>15000</v>
      </c>
    </row>
    <row r="41" spans="1:4" ht="12.75">
      <c r="A41" s="71" t="s">
        <v>70</v>
      </c>
      <c r="B41" s="48">
        <f>1_b_sz_melléklet!D42</f>
        <v>0</v>
      </c>
      <c r="C41" s="42">
        <f>1_d_sz_melléklet!F301</f>
        <v>257114</v>
      </c>
      <c r="D41" s="48">
        <f>C41+B41</f>
        <v>257114</v>
      </c>
    </row>
    <row r="42" spans="1:4" ht="12.75">
      <c r="A42" s="43" t="s">
        <v>71</v>
      </c>
      <c r="B42" s="16">
        <f>SUM(B40:B41)</f>
        <v>0</v>
      </c>
      <c r="C42" s="16">
        <f>1_d_sz_melléklet!F302</f>
        <v>272114</v>
      </c>
      <c r="D42" s="16">
        <f>C42+B42</f>
        <v>272114</v>
      </c>
    </row>
    <row r="43" spans="1:4" ht="12.75">
      <c r="A43" s="50"/>
      <c r="B43" s="64"/>
      <c r="C43" s="72"/>
      <c r="D43" s="64"/>
    </row>
    <row r="44" spans="1:4" ht="19.5" customHeight="1">
      <c r="A44" s="73" t="s">
        <v>72</v>
      </c>
      <c r="B44" s="74">
        <f>B42+B37+B32+B27+B22+B15</f>
        <v>606110</v>
      </c>
      <c r="C44" s="74">
        <f>C42+C37+C32+C27+C22+C15</f>
        <v>3851898</v>
      </c>
      <c r="D44" s="74">
        <f>D42+D37+D32+D27+D22+D15</f>
        <v>4458008</v>
      </c>
    </row>
    <row r="45" spans="1:4" ht="12.75">
      <c r="A45" s="75"/>
      <c r="B45" s="76"/>
      <c r="C45" s="49"/>
      <c r="D45" s="77"/>
    </row>
    <row r="46" spans="1:4" ht="12.75">
      <c r="A46" s="35" t="s">
        <v>73</v>
      </c>
      <c r="B46" s="78"/>
      <c r="D46" s="78"/>
    </row>
    <row r="47" spans="1:4" s="81" customFormat="1" ht="12.75">
      <c r="A47" s="79" t="s">
        <v>74</v>
      </c>
      <c r="B47" s="80">
        <f>1_b_sz_melléklet!D48</f>
        <v>0</v>
      </c>
      <c r="C47" s="69">
        <f>1_d_sz_melléklet!F307</f>
        <v>0</v>
      </c>
      <c r="D47" s="80">
        <f>SUM(B47:C47)</f>
        <v>0</v>
      </c>
    </row>
    <row r="48" spans="1:4" s="81" customFormat="1" ht="12.75">
      <c r="A48" s="57" t="s">
        <v>75</v>
      </c>
      <c r="B48" s="80">
        <f>1_b_sz_melléklet!D49</f>
        <v>0</v>
      </c>
      <c r="C48" s="64">
        <f>1_d_sz_melléklet!F308</f>
        <v>13728</v>
      </c>
      <c r="D48" s="82">
        <f>SUM(B48:C48)</f>
        <v>13728</v>
      </c>
    </row>
    <row r="49" spans="1:4" ht="12.75">
      <c r="A49" s="43" t="s">
        <v>76</v>
      </c>
      <c r="B49" s="16">
        <f>SUM(B47:B48)</f>
        <v>0</v>
      </c>
      <c r="C49" s="16">
        <f>1_d_sz_melléklet!F309</f>
        <v>13728</v>
      </c>
      <c r="D49" s="16">
        <f>SUM(D47:D48)</f>
        <v>13728</v>
      </c>
    </row>
    <row r="50" spans="1:4" ht="12.75">
      <c r="A50" s="65"/>
      <c r="B50" s="64"/>
      <c r="C50" s="72"/>
      <c r="D50" s="48"/>
    </row>
    <row r="51" spans="1:4" ht="24.75" customHeight="1">
      <c r="A51" s="73" t="s">
        <v>77</v>
      </c>
      <c r="B51" s="74">
        <f>B49+B44</f>
        <v>606110</v>
      </c>
      <c r="C51" s="16">
        <f>1_d_sz_melléklet!F311</f>
        <v>3865626</v>
      </c>
      <c r="D51" s="74">
        <f>D49+D44</f>
        <v>4471736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940" t="s">
        <v>594</v>
      </c>
      <c r="B1" s="940"/>
      <c r="C1" s="940"/>
      <c r="D1" s="940"/>
    </row>
    <row r="2" spans="1:4" s="81" customFormat="1" ht="12.75">
      <c r="A2" s="918" t="s">
        <v>595</v>
      </c>
      <c r="B2" s="918"/>
      <c r="C2" s="918"/>
      <c r="D2" s="918"/>
    </row>
    <row r="3" ht="12.75">
      <c r="D3" s="653" t="s">
        <v>34</v>
      </c>
    </row>
    <row r="4" spans="1:4" s="657" customFormat="1" ht="15.75" customHeight="1">
      <c r="A4" s="654" t="s">
        <v>596</v>
      </c>
      <c r="B4" s="655" t="s">
        <v>2</v>
      </c>
      <c r="C4" s="656" t="s">
        <v>597</v>
      </c>
      <c r="D4" s="655" t="s">
        <v>598</v>
      </c>
    </row>
    <row r="5" spans="1:4" s="657" customFormat="1" ht="12.75">
      <c r="A5" s="658" t="s">
        <v>599</v>
      </c>
      <c r="B5" s="659"/>
      <c r="C5" s="660"/>
      <c r="D5" s="659"/>
    </row>
    <row r="6" spans="1:4" ht="12.75">
      <c r="A6" s="661" t="s">
        <v>600</v>
      </c>
      <c r="B6" s="662">
        <f>'2_sz_ melléklet'!D7-'2_a_d_sz_ melléklet'!D10</f>
        <v>240400</v>
      </c>
      <c r="C6" s="662">
        <v>328185</v>
      </c>
      <c r="D6" s="663">
        <v>317600</v>
      </c>
    </row>
    <row r="7" spans="1:4" ht="12.75">
      <c r="A7" s="664" t="s">
        <v>601</v>
      </c>
      <c r="B7" s="663">
        <f>'2_sz_ melléklet'!D8-'2_sz_ melléklet'!D10+'2_a_d_sz_ melléklet'!B46</f>
        <v>783564</v>
      </c>
      <c r="C7" s="663">
        <v>485000</v>
      </c>
      <c r="D7" s="663">
        <v>473200</v>
      </c>
    </row>
    <row r="8" spans="1:4" ht="12.75">
      <c r="A8" s="664" t="s">
        <v>602</v>
      </c>
      <c r="B8" s="663">
        <f>'2_sz_ melléklet'!D14+'2_a_d_sz_ melléklet'!B43+'2_a_d_sz_ melléklet'!B44</f>
        <v>2156379.137</v>
      </c>
      <c r="C8" s="663">
        <v>2410062</v>
      </c>
      <c r="D8" s="663">
        <v>2415600</v>
      </c>
    </row>
    <row r="9" spans="1:4" ht="12.75">
      <c r="A9" s="664" t="s">
        <v>603</v>
      </c>
      <c r="B9" s="663">
        <f>'2_a_d_sz_ melléklet'!D10</f>
        <v>860</v>
      </c>
      <c r="C9" s="663">
        <v>2254</v>
      </c>
      <c r="D9" s="663">
        <v>2220</v>
      </c>
    </row>
    <row r="10" spans="1:4" ht="12.75">
      <c r="A10" s="665" t="s">
        <v>604</v>
      </c>
      <c r="B10" s="663">
        <f>'2_sz_ melléklet'!D21</f>
        <v>390407</v>
      </c>
      <c r="C10" s="663">
        <v>420500</v>
      </c>
      <c r="D10" s="663">
        <v>407300</v>
      </c>
    </row>
    <row r="11" spans="1:4" ht="12.75">
      <c r="A11" s="665" t="s">
        <v>605</v>
      </c>
      <c r="B11" s="663">
        <v>0</v>
      </c>
      <c r="C11" s="663">
        <v>0</v>
      </c>
      <c r="D11" s="663">
        <v>0</v>
      </c>
    </row>
    <row r="12" spans="1:4" ht="12.75">
      <c r="A12" s="665" t="s">
        <v>606</v>
      </c>
      <c r="B12" s="663">
        <f>'2_sz_ melléklet'!D34</f>
        <v>0</v>
      </c>
      <c r="C12" s="663">
        <v>500</v>
      </c>
      <c r="D12" s="663">
        <v>500</v>
      </c>
    </row>
    <row r="13" spans="1:4" ht="12.75">
      <c r="A13" s="665" t="s">
        <v>607</v>
      </c>
      <c r="B13" s="663">
        <f>'2_sz_ melléklet'!D43</f>
        <v>228808.8629999999</v>
      </c>
      <c r="C13" s="663">
        <v>418000</v>
      </c>
      <c r="D13" s="663">
        <v>427000</v>
      </c>
    </row>
    <row r="14" spans="1:4" ht="12.75">
      <c r="A14" s="665" t="s">
        <v>608</v>
      </c>
      <c r="B14" s="663">
        <v>0</v>
      </c>
      <c r="C14" s="663">
        <v>0</v>
      </c>
      <c r="D14" s="663">
        <v>0</v>
      </c>
    </row>
    <row r="15" spans="1:4" ht="12.75">
      <c r="A15" s="666" t="s">
        <v>609</v>
      </c>
      <c r="B15" s="667">
        <f>'2_sz_ melléklet'!D39</f>
        <v>0</v>
      </c>
      <c r="C15" s="667">
        <v>0</v>
      </c>
      <c r="D15" s="667">
        <v>0</v>
      </c>
    </row>
    <row r="16" spans="1:4" s="81" customFormat="1" ht="12.75">
      <c r="A16" s="668" t="s">
        <v>610</v>
      </c>
      <c r="B16" s="669">
        <f>SUM(B6:B15)</f>
        <v>3800419</v>
      </c>
      <c r="C16" s="669">
        <f>SUM(C6:C15)</f>
        <v>4064501</v>
      </c>
      <c r="D16" s="669">
        <f>SUM(D6:D15)</f>
        <v>4043420</v>
      </c>
    </row>
    <row r="17" spans="1:4" ht="12.75">
      <c r="A17" s="670" t="s">
        <v>531</v>
      </c>
      <c r="B17" s="663">
        <f>'1_a_sz_ melléklet'!D8</f>
        <v>1767787</v>
      </c>
      <c r="C17" s="663">
        <v>1820100</v>
      </c>
      <c r="D17" s="663">
        <v>1860100</v>
      </c>
    </row>
    <row r="18" spans="1:4" ht="12.75">
      <c r="A18" s="664" t="s">
        <v>533</v>
      </c>
      <c r="B18" s="663">
        <f>'1_a_sz_ melléklet'!D9</f>
        <v>564161</v>
      </c>
      <c r="C18" s="663">
        <v>582432</v>
      </c>
      <c r="D18" s="663">
        <v>595232</v>
      </c>
    </row>
    <row r="19" spans="1:4" ht="12.75">
      <c r="A19" s="664" t="s">
        <v>611</v>
      </c>
      <c r="B19" s="663">
        <f>'7_sz_ melléklet'!D9+'7_sz_ melléklet'!D11-'7_sz_ melléklet'!D10</f>
        <v>875753</v>
      </c>
      <c r="C19" s="663">
        <v>965800</v>
      </c>
      <c r="D19" s="663">
        <v>983400</v>
      </c>
    </row>
    <row r="20" spans="1:4" ht="12.75">
      <c r="A20" s="664" t="s">
        <v>612</v>
      </c>
      <c r="B20" s="663">
        <f>'7_sz_ melléklet'!D13+'7_sz_ melléklet'!D18</f>
        <v>424182</v>
      </c>
      <c r="C20" s="663">
        <v>377000</v>
      </c>
      <c r="D20" s="663">
        <v>381000</v>
      </c>
    </row>
    <row r="21" spans="1:4" ht="12.75">
      <c r="A21" s="665" t="s">
        <v>613</v>
      </c>
      <c r="B21" s="663">
        <f>'1_a_sz_ melléklet'!D25</f>
        <v>33203</v>
      </c>
      <c r="C21" s="663">
        <v>6000</v>
      </c>
      <c r="D21" s="663">
        <v>6500</v>
      </c>
    </row>
    <row r="22" spans="1:4" ht="12.75">
      <c r="A22" s="665" t="s">
        <v>614</v>
      </c>
      <c r="B22" s="663"/>
      <c r="C22" s="663">
        <v>0</v>
      </c>
      <c r="D22" s="663">
        <v>0</v>
      </c>
    </row>
    <row r="23" spans="1:4" ht="12.75">
      <c r="A23" s="664" t="s">
        <v>615</v>
      </c>
      <c r="B23" s="663">
        <f>'1_a_sz_ melléklet'!D12</f>
        <v>358</v>
      </c>
      <c r="C23" s="663">
        <v>680</v>
      </c>
      <c r="D23" s="663">
        <v>678</v>
      </c>
    </row>
    <row r="24" spans="1:4" ht="12.75">
      <c r="A24" s="665" t="s">
        <v>616</v>
      </c>
      <c r="B24" s="663">
        <f>'1_a_sz_ melléklet'!D35</f>
        <v>1000</v>
      </c>
      <c r="C24" s="663">
        <v>1000</v>
      </c>
      <c r="D24" s="663">
        <v>1000</v>
      </c>
    </row>
    <row r="25" spans="1:4" ht="12.75">
      <c r="A25" s="665" t="s">
        <v>617</v>
      </c>
      <c r="B25" s="671">
        <f>'1_a_sz_ melléklet'!D47</f>
        <v>0</v>
      </c>
      <c r="C25" s="671">
        <v>213352</v>
      </c>
      <c r="D25" s="671">
        <v>150000</v>
      </c>
    </row>
    <row r="26" spans="1:4" ht="12.75">
      <c r="A26" s="665" t="s">
        <v>618</v>
      </c>
      <c r="B26" s="671">
        <f>'7_sz_ melléklet'!D10</f>
        <v>15097</v>
      </c>
      <c r="C26" s="671">
        <v>17000</v>
      </c>
      <c r="D26" s="671">
        <v>15000</v>
      </c>
    </row>
    <row r="27" spans="1:4" ht="12.75">
      <c r="A27" s="665" t="s">
        <v>619</v>
      </c>
      <c r="B27" s="671">
        <v>0</v>
      </c>
      <c r="C27" s="671">
        <v>0</v>
      </c>
      <c r="D27" s="671">
        <v>0</v>
      </c>
    </row>
    <row r="28" spans="1:4" ht="12.75">
      <c r="A28" s="665" t="s">
        <v>552</v>
      </c>
      <c r="B28" s="672">
        <f>'7_sz_ melléklet'!D19</f>
        <v>86000</v>
      </c>
      <c r="C28" s="672">
        <v>40000</v>
      </c>
      <c r="D28" s="672">
        <v>38000</v>
      </c>
    </row>
    <row r="29" spans="1:4" s="81" customFormat="1" ht="12.75">
      <c r="A29" s="668" t="s">
        <v>620</v>
      </c>
      <c r="B29" s="669">
        <f>SUM(B17:B28)</f>
        <v>3767541</v>
      </c>
      <c r="C29" s="669">
        <f>SUM(C17:C28)</f>
        <v>4023364</v>
      </c>
      <c r="D29" s="669">
        <f>SUM(D17:D28)</f>
        <v>4030910</v>
      </c>
    </row>
    <row r="30" spans="1:4" s="81" customFormat="1" ht="12.75">
      <c r="A30" s="658" t="s">
        <v>621</v>
      </c>
      <c r="B30" s="659"/>
      <c r="C30" s="659"/>
      <c r="D30" s="673"/>
    </row>
    <row r="31" spans="1:4" ht="12.75">
      <c r="A31" s="661" t="s">
        <v>622</v>
      </c>
      <c r="B31" s="662">
        <f>'2_sz_ melléklet'!D30</f>
        <v>276000</v>
      </c>
      <c r="C31" s="663">
        <v>125000</v>
      </c>
      <c r="D31" s="663">
        <v>123700</v>
      </c>
    </row>
    <row r="32" spans="1:4" ht="12.75">
      <c r="A32" s="665" t="s">
        <v>623</v>
      </c>
      <c r="B32" s="663">
        <f>'2_sz_ melléklet'!D29</f>
        <v>167000</v>
      </c>
      <c r="C32" s="663">
        <v>145792</v>
      </c>
      <c r="D32" s="663">
        <v>139600</v>
      </c>
    </row>
    <row r="33" spans="1:4" ht="12.75">
      <c r="A33" s="664" t="s">
        <v>624</v>
      </c>
      <c r="B33" s="663">
        <f>'2_sz_ melléklet'!D19</f>
        <v>0</v>
      </c>
      <c r="C33" s="663">
        <v>81700</v>
      </c>
      <c r="D33" s="663">
        <v>79300</v>
      </c>
    </row>
    <row r="34" spans="1:4" ht="12.75">
      <c r="A34" s="664" t="s">
        <v>625</v>
      </c>
      <c r="B34" s="663">
        <f>'2_sz_ melléklet'!D32</f>
        <v>7000</v>
      </c>
      <c r="C34" s="663">
        <v>74700</v>
      </c>
      <c r="D34" s="663">
        <v>74000</v>
      </c>
    </row>
    <row r="35" spans="1:4" ht="12.75">
      <c r="A35" s="674" t="s">
        <v>626</v>
      </c>
      <c r="B35" s="663">
        <f>'2_sz_ melléklet'!D23</f>
        <v>186418</v>
      </c>
      <c r="C35" s="663">
        <v>100900</v>
      </c>
      <c r="D35" s="663">
        <v>98400</v>
      </c>
    </row>
    <row r="36" spans="1:4" ht="12.75">
      <c r="A36" s="665" t="s">
        <v>627</v>
      </c>
      <c r="B36" s="671">
        <v>0</v>
      </c>
      <c r="C36" s="671">
        <v>0</v>
      </c>
      <c r="D36" s="671">
        <v>0</v>
      </c>
    </row>
    <row r="37" spans="1:4" ht="12.75">
      <c r="A37" s="665" t="s">
        <v>628</v>
      </c>
      <c r="B37" s="671">
        <f>'7_sz_ melléklet'!B46</f>
        <v>0</v>
      </c>
      <c r="C37" s="671">
        <v>0</v>
      </c>
      <c r="D37" s="671">
        <v>0</v>
      </c>
    </row>
    <row r="38" spans="1:4" ht="12.75">
      <c r="A38" s="665" t="s">
        <v>629</v>
      </c>
      <c r="B38" s="671">
        <v>0</v>
      </c>
      <c r="C38" s="671">
        <v>0</v>
      </c>
      <c r="D38" s="671">
        <v>0</v>
      </c>
    </row>
    <row r="39" spans="1:4" ht="12.75">
      <c r="A39" s="665" t="s">
        <v>630</v>
      </c>
      <c r="B39" s="671">
        <f>'2_sz_ melléklet'!D35</f>
        <v>4500</v>
      </c>
      <c r="C39" s="671">
        <v>4500</v>
      </c>
      <c r="D39" s="671">
        <v>4000</v>
      </c>
    </row>
    <row r="40" spans="1:4" ht="12.75">
      <c r="A40" s="665" t="s">
        <v>631</v>
      </c>
      <c r="B40" s="671">
        <f>'2_sz_ melléklet'!D44</f>
        <v>30399</v>
      </c>
      <c r="C40" s="671">
        <v>21000</v>
      </c>
      <c r="D40" s="671">
        <v>20000</v>
      </c>
    </row>
    <row r="41" spans="1:4" ht="12.75">
      <c r="A41" s="664" t="s">
        <v>632</v>
      </c>
      <c r="B41" s="663">
        <f>'2_sz_ melléklet'!D36</f>
        <v>0</v>
      </c>
      <c r="C41" s="663">
        <v>0</v>
      </c>
      <c r="D41" s="663">
        <v>0</v>
      </c>
    </row>
    <row r="42" spans="1:4" ht="12.75">
      <c r="A42" s="666" t="s">
        <v>633</v>
      </c>
      <c r="B42" s="667">
        <f>'2_sz_ melléklet'!D40</f>
        <v>0</v>
      </c>
      <c r="C42" s="672">
        <v>0</v>
      </c>
      <c r="D42" s="672">
        <v>0</v>
      </c>
    </row>
    <row r="43" spans="1:4" s="81" customFormat="1" ht="12.75">
      <c r="A43" s="668" t="s">
        <v>634</v>
      </c>
      <c r="B43" s="669">
        <f>SUM(B31:B42)</f>
        <v>671317</v>
      </c>
      <c r="C43" s="669">
        <f>SUM(C31:C42)</f>
        <v>553592</v>
      </c>
      <c r="D43" s="669">
        <f>SUM(D31:D42)</f>
        <v>539000</v>
      </c>
    </row>
    <row r="44" spans="1:4" ht="12.75">
      <c r="A44" s="661" t="s">
        <v>635</v>
      </c>
      <c r="B44" s="663">
        <f>'7_sz_ melléklet'!D35</f>
        <v>221837</v>
      </c>
      <c r="C44" s="663">
        <v>307800</v>
      </c>
      <c r="D44" s="663">
        <v>293973</v>
      </c>
    </row>
    <row r="45" spans="1:4" ht="12.75">
      <c r="A45" s="664" t="s">
        <v>636</v>
      </c>
      <c r="B45" s="663">
        <f>'7_sz_ melléklet'!D36</f>
        <v>85588</v>
      </c>
      <c r="C45" s="663">
        <v>81200</v>
      </c>
      <c r="D45" s="663">
        <v>80700</v>
      </c>
    </row>
    <row r="46" spans="1:4" ht="12.75">
      <c r="A46" s="664" t="s">
        <v>637</v>
      </c>
      <c r="B46" s="663">
        <f>'7_sz_ melléklet'!D44</f>
        <v>0</v>
      </c>
      <c r="C46" s="663">
        <v>0</v>
      </c>
      <c r="D46" s="663">
        <v>0</v>
      </c>
    </row>
    <row r="47" spans="1:4" ht="12.75">
      <c r="A47" s="664" t="s">
        <v>638</v>
      </c>
      <c r="B47" s="663">
        <f>'7_sz_ melléklet'!D38</f>
        <v>70276</v>
      </c>
      <c r="C47" s="663">
        <v>68500</v>
      </c>
      <c r="D47" s="663">
        <v>68500</v>
      </c>
    </row>
    <row r="48" spans="1:4" ht="12.75">
      <c r="A48" s="664" t="s">
        <v>639</v>
      </c>
      <c r="B48" s="663">
        <f>'7_sz_ melléklet'!D45</f>
        <v>0</v>
      </c>
      <c r="C48" s="663">
        <v>0</v>
      </c>
      <c r="D48" s="663">
        <v>0</v>
      </c>
    </row>
    <row r="49" spans="1:4" ht="12.75">
      <c r="A49" s="665" t="s">
        <v>640</v>
      </c>
      <c r="B49" s="663"/>
      <c r="C49" s="663">
        <v>0</v>
      </c>
      <c r="D49" s="663">
        <v>0</v>
      </c>
    </row>
    <row r="50" spans="1:4" ht="12.75">
      <c r="A50" s="664" t="s">
        <v>641</v>
      </c>
      <c r="B50" s="663">
        <f>'7_sz_ melléklet'!D39</f>
        <v>5000</v>
      </c>
      <c r="C50" s="663">
        <v>52278</v>
      </c>
      <c r="D50" s="663">
        <v>52278</v>
      </c>
    </row>
    <row r="51" spans="1:4" ht="12.75">
      <c r="A51" s="664" t="s">
        <v>642</v>
      </c>
      <c r="B51" s="663">
        <f>'7_sz_ melléklet'!D49</f>
        <v>13728</v>
      </c>
      <c r="C51" s="663">
        <v>32104</v>
      </c>
      <c r="D51" s="663">
        <v>11759</v>
      </c>
    </row>
    <row r="52" spans="1:4" ht="12.75">
      <c r="A52" s="664" t="s">
        <v>643</v>
      </c>
      <c r="B52" s="663">
        <f>'7_sz_ melléklet'!D40</f>
        <v>120152</v>
      </c>
      <c r="C52" s="663">
        <v>22847</v>
      </c>
      <c r="D52" s="663">
        <v>19300</v>
      </c>
    </row>
    <row r="53" spans="1:4" ht="12.75">
      <c r="A53" s="664" t="s">
        <v>644</v>
      </c>
      <c r="B53" s="663">
        <f>'7_sz_ melléklet'!D37</f>
        <v>1500</v>
      </c>
      <c r="C53" s="663">
        <v>0</v>
      </c>
      <c r="D53" s="663">
        <v>0</v>
      </c>
    </row>
    <row r="54" spans="1:4" ht="12.75">
      <c r="A54" s="675" t="s">
        <v>645</v>
      </c>
      <c r="B54" s="663">
        <f>'7_sz_ melléklet'!D41</f>
        <v>186114</v>
      </c>
      <c r="C54" s="663">
        <v>30000</v>
      </c>
      <c r="D54" s="663">
        <v>25000</v>
      </c>
    </row>
    <row r="55" spans="1:4" s="81" customFormat="1" ht="12.75">
      <c r="A55" s="668" t="s">
        <v>646</v>
      </c>
      <c r="B55" s="669">
        <f>SUM(B44:B54)</f>
        <v>704195</v>
      </c>
      <c r="C55" s="669">
        <f>SUM(C44:C54)</f>
        <v>594729</v>
      </c>
      <c r="D55" s="669">
        <f>SUM(D44:D54)</f>
        <v>551510</v>
      </c>
    </row>
    <row r="56" spans="1:4" s="81" customFormat="1" ht="12.75">
      <c r="A56" s="668" t="s">
        <v>647</v>
      </c>
      <c r="B56" s="669">
        <f>B43+B16</f>
        <v>4471736</v>
      </c>
      <c r="C56" s="669">
        <f>C43+C16</f>
        <v>4618093</v>
      </c>
      <c r="D56" s="669">
        <f>D43+D16</f>
        <v>4582420</v>
      </c>
    </row>
    <row r="57" spans="1:4" s="81" customFormat="1" ht="12.75">
      <c r="A57" s="676" t="s">
        <v>648</v>
      </c>
      <c r="B57" s="677">
        <f>B55+B29</f>
        <v>4471736</v>
      </c>
      <c r="C57" s="677">
        <f>C55+C29</f>
        <v>4618093</v>
      </c>
      <c r="D57" s="677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515" t="s">
        <v>649</v>
      </c>
    </row>
    <row r="3" ht="12.75">
      <c r="E3" s="515"/>
    </row>
    <row r="5" ht="15.75">
      <c r="B5" s="29" t="s">
        <v>650</v>
      </c>
    </row>
    <row r="6" spans="2:5" ht="15.75">
      <c r="B6" s="29" t="s">
        <v>651</v>
      </c>
      <c r="C6" s="29"/>
      <c r="D6" s="29"/>
      <c r="E6" s="29"/>
    </row>
    <row r="7" spans="2:5" ht="15.75">
      <c r="B7" s="29"/>
      <c r="C7" s="29"/>
      <c r="D7" s="29"/>
      <c r="E7" s="29"/>
    </row>
    <row r="8" spans="2:5" ht="15.75">
      <c r="B8" s="29"/>
      <c r="C8" s="29"/>
      <c r="D8" s="29" t="s">
        <v>652</v>
      </c>
      <c r="E8" s="29"/>
    </row>
    <row r="9" spans="2:5" ht="15.75">
      <c r="B9" s="29"/>
      <c r="C9" s="29"/>
      <c r="D9" s="29"/>
      <c r="E9" s="29"/>
    </row>
    <row r="10" spans="2:5" ht="15.75">
      <c r="B10" s="29"/>
      <c r="C10" s="29"/>
      <c r="D10" s="29"/>
      <c r="E10" s="29"/>
    </row>
    <row r="12" spans="1:4" ht="15">
      <c r="A12" s="30" t="s">
        <v>653</v>
      </c>
      <c r="B12" s="30"/>
      <c r="C12" s="30"/>
      <c r="D12" s="30"/>
    </row>
    <row r="15" spans="1:5" ht="15">
      <c r="A15" s="30" t="s">
        <v>654</v>
      </c>
      <c r="B15" s="30"/>
      <c r="C15" s="30"/>
      <c r="D15" s="30"/>
      <c r="E15" s="30"/>
    </row>
    <row r="16" spans="1:5" ht="15">
      <c r="A16" s="30" t="s">
        <v>655</v>
      </c>
      <c r="B16" s="30"/>
      <c r="C16" s="30"/>
      <c r="D16" s="30"/>
      <c r="E16" s="30"/>
    </row>
    <row r="17" ht="12.75">
      <c r="A17" s="678" t="s">
        <v>656</v>
      </c>
    </row>
    <row r="18" ht="12.75">
      <c r="A18" s="678"/>
    </row>
    <row r="19" ht="12.75">
      <c r="A19" s="678"/>
    </row>
    <row r="21" spans="1:5" ht="12.75">
      <c r="A21" s="36"/>
      <c r="B21" s="314"/>
      <c r="C21" s="679"/>
      <c r="D21" s="680"/>
      <c r="E21" s="247" t="s">
        <v>657</v>
      </c>
    </row>
    <row r="22" spans="1:5" ht="12.75">
      <c r="A22" s="681" t="s">
        <v>658</v>
      </c>
      <c r="B22" s="941" t="s">
        <v>659</v>
      </c>
      <c r="C22" s="941"/>
      <c r="D22" s="941"/>
      <c r="E22" s="681" t="s">
        <v>660</v>
      </c>
    </row>
    <row r="23" spans="1:5" ht="12.75">
      <c r="A23" s="248"/>
      <c r="B23" s="251"/>
      <c r="C23" s="682"/>
      <c r="D23" s="683"/>
      <c r="E23" s="249" t="s">
        <v>661</v>
      </c>
    </row>
    <row r="24" spans="1:5" ht="12.75">
      <c r="A24" s="36"/>
      <c r="B24" s="37"/>
      <c r="C24" s="37"/>
      <c r="D24" s="37"/>
      <c r="E24" s="247"/>
    </row>
    <row r="25" spans="1:5" ht="12.75">
      <c r="A25" s="684">
        <v>1</v>
      </c>
      <c r="B25" s="685" t="s">
        <v>662</v>
      </c>
      <c r="C25" s="685"/>
      <c r="D25" s="685"/>
      <c r="E25" s="19"/>
    </row>
    <row r="26" spans="1:5" ht="12.75">
      <c r="A26" s="686">
        <v>2</v>
      </c>
      <c r="B26" s="37" t="s">
        <v>663</v>
      </c>
      <c r="C26" s="37"/>
      <c r="D26" s="425"/>
      <c r="E26" s="65"/>
    </row>
    <row r="27" spans="1:5" ht="12.75">
      <c r="A27" s="684"/>
      <c r="B27" s="685" t="s">
        <v>664</v>
      </c>
      <c r="C27" s="685"/>
      <c r="D27" s="687"/>
      <c r="E27" s="19"/>
    </row>
    <row r="28" spans="1:5" ht="12.75">
      <c r="A28" s="686">
        <v>3</v>
      </c>
      <c r="B28" s="37" t="s">
        <v>665</v>
      </c>
      <c r="C28" s="37"/>
      <c r="D28" s="425"/>
      <c r="E28" s="65"/>
    </row>
    <row r="29" spans="1:5" ht="12.75">
      <c r="A29" s="684"/>
      <c r="B29" s="685" t="s">
        <v>666</v>
      </c>
      <c r="C29" s="685"/>
      <c r="D29" s="687"/>
      <c r="E29" s="19"/>
    </row>
    <row r="30" spans="1:5" ht="12.75">
      <c r="A30" s="684">
        <v>4</v>
      </c>
      <c r="B30" s="685" t="s">
        <v>667</v>
      </c>
      <c r="C30" s="685"/>
      <c r="D30" s="687"/>
      <c r="E30" s="19"/>
    </row>
    <row r="31" spans="1:5" ht="12.75">
      <c r="A31" s="686">
        <v>5</v>
      </c>
      <c r="B31" s="37" t="s">
        <v>668</v>
      </c>
      <c r="C31" s="37"/>
      <c r="D31" s="425"/>
      <c r="E31" s="65"/>
    </row>
    <row r="32" spans="1:5" ht="12.75">
      <c r="A32" s="684"/>
      <c r="B32" s="685" t="s">
        <v>669</v>
      </c>
      <c r="C32" s="685"/>
      <c r="D32" s="687"/>
      <c r="E32" s="19"/>
    </row>
    <row r="33" spans="1:5" ht="12.75">
      <c r="A33" s="688">
        <v>6</v>
      </c>
      <c r="B33" s="88" t="s">
        <v>670</v>
      </c>
      <c r="C33" s="349"/>
      <c r="D33" s="360"/>
      <c r="E33" s="8"/>
    </row>
    <row r="34" spans="1:5" ht="12.75">
      <c r="A34" s="689">
        <v>7</v>
      </c>
      <c r="B34" s="682" t="s">
        <v>671</v>
      </c>
      <c r="C34" s="682"/>
      <c r="D34" s="683"/>
      <c r="E34" s="234"/>
    </row>
    <row r="35" spans="2:5" ht="15.75">
      <c r="B35" s="84" t="s">
        <v>187</v>
      </c>
      <c r="C35" s="354"/>
      <c r="D35" s="690"/>
      <c r="E35" s="169"/>
    </row>
    <row r="37" spans="2:5" ht="12.75">
      <c r="B37" s="678" t="s">
        <v>672</v>
      </c>
      <c r="C37" s="678"/>
      <c r="D37" s="678"/>
      <c r="E37" s="678"/>
    </row>
    <row r="38" spans="2:5" ht="12.75">
      <c r="B38" s="678" t="s">
        <v>673</v>
      </c>
      <c r="C38" s="678"/>
      <c r="D38" s="678"/>
      <c r="E38" s="678"/>
    </row>
    <row r="40" ht="12.75">
      <c r="B40" s="81" t="s">
        <v>674</v>
      </c>
    </row>
    <row r="43" ht="12.75">
      <c r="E43" t="s">
        <v>675</v>
      </c>
    </row>
    <row r="44" ht="12.75">
      <c r="E44" t="s">
        <v>676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74"/>
  <sheetViews>
    <sheetView zoomScalePageLayoutView="0" workbookViewId="0" topLeftCell="A1">
      <selection activeCell="A74" sqref="A74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3" spans="2:3" ht="12.75">
      <c r="B3" s="545"/>
      <c r="C3" s="545" t="s">
        <v>677</v>
      </c>
    </row>
    <row r="4" spans="2:3" ht="12.75">
      <c r="B4" s="545"/>
      <c r="C4" s="545"/>
    </row>
    <row r="6" spans="1:4" ht="18">
      <c r="A6" s="942" t="s">
        <v>678</v>
      </c>
      <c r="B6" s="942"/>
      <c r="C6" s="942"/>
      <c r="D6" s="942"/>
    </row>
    <row r="7" spans="1:4" ht="18">
      <c r="A7" s="943" t="s">
        <v>679</v>
      </c>
      <c r="B7" s="943"/>
      <c r="C7" s="943"/>
      <c r="D7" s="943"/>
    </row>
    <row r="10" spans="1:4" ht="18">
      <c r="A10" s="942" t="s">
        <v>680</v>
      </c>
      <c r="B10" s="942"/>
      <c r="C10" s="942"/>
      <c r="D10" s="942"/>
    </row>
    <row r="11" spans="1:4" ht="18">
      <c r="A11" s="691"/>
      <c r="B11" s="691"/>
      <c r="C11" s="691"/>
      <c r="D11" s="691"/>
    </row>
    <row r="12" spans="1:3" ht="12.75">
      <c r="A12" s="682"/>
      <c r="B12" s="921" t="s">
        <v>384</v>
      </c>
      <c r="C12" s="921"/>
    </row>
    <row r="13" spans="1:4" ht="12.75">
      <c r="A13" s="383" t="s">
        <v>5</v>
      </c>
      <c r="B13" s="944" t="s">
        <v>449</v>
      </c>
      <c r="C13" s="944"/>
      <c r="D13" s="28"/>
    </row>
    <row r="14" spans="1:4" ht="15">
      <c r="A14" s="692" t="s">
        <v>681</v>
      </c>
      <c r="B14" s="945">
        <v>571</v>
      </c>
      <c r="C14" s="945"/>
      <c r="D14" s="30"/>
    </row>
    <row r="15" spans="1:4" ht="15">
      <c r="A15" s="438" t="s">
        <v>682</v>
      </c>
      <c r="B15" s="946">
        <v>571</v>
      </c>
      <c r="C15" s="946"/>
      <c r="D15" s="30"/>
    </row>
    <row r="16" spans="1:4" ht="15">
      <c r="A16" s="693" t="s">
        <v>683</v>
      </c>
      <c r="B16" s="947"/>
      <c r="C16" s="947"/>
      <c r="D16" s="30"/>
    </row>
    <row r="17" spans="1:4" ht="15.75">
      <c r="A17" s="417" t="s">
        <v>684</v>
      </c>
      <c r="B17" s="948">
        <f>SUM(B14:B16)</f>
        <v>1142</v>
      </c>
      <c r="C17" s="948"/>
      <c r="D17" s="29"/>
    </row>
    <row r="21" spans="1:4" ht="18">
      <c r="A21" s="942" t="s">
        <v>685</v>
      </c>
      <c r="B21" s="942"/>
      <c r="C21" s="942"/>
      <c r="D21" s="942"/>
    </row>
    <row r="22" spans="1:4" ht="18">
      <c r="A22" s="691"/>
      <c r="B22" s="691"/>
      <c r="C22" s="691"/>
      <c r="D22" s="691"/>
    </row>
    <row r="23" spans="2:4" ht="12.75">
      <c r="B23" s="416"/>
      <c r="C23" s="416"/>
      <c r="D23" s="416" t="s">
        <v>384</v>
      </c>
    </row>
    <row r="24" spans="1:4" ht="31.5">
      <c r="A24" s="417" t="s">
        <v>495</v>
      </c>
      <c r="B24" s="579" t="s">
        <v>686</v>
      </c>
      <c r="C24" s="694" t="s">
        <v>687</v>
      </c>
      <c r="D24" s="546" t="s">
        <v>187</v>
      </c>
    </row>
    <row r="25" spans="1:4" ht="23.25" customHeight="1">
      <c r="A25" s="695" t="s">
        <v>688</v>
      </c>
      <c r="B25" s="696"/>
      <c r="C25" s="697"/>
      <c r="D25" s="696">
        <f>C25+B25</f>
        <v>0</v>
      </c>
    </row>
    <row r="26" spans="1:4" ht="15.75">
      <c r="A26" s="698" t="s">
        <v>689</v>
      </c>
      <c r="B26" s="699">
        <v>50</v>
      </c>
      <c r="C26" s="700"/>
      <c r="D26" s="696">
        <f aca="true" t="shared" si="0" ref="D26:D37">C26+B26</f>
        <v>50</v>
      </c>
    </row>
    <row r="27" spans="1:4" ht="15.75">
      <c r="A27" s="701" t="s">
        <v>690</v>
      </c>
      <c r="B27" s="702">
        <v>50</v>
      </c>
      <c r="C27" s="703"/>
      <c r="D27" s="696">
        <f t="shared" si="0"/>
        <v>50</v>
      </c>
    </row>
    <row r="28" spans="1:4" ht="15.75">
      <c r="A28" s="704" t="s">
        <v>691</v>
      </c>
      <c r="B28" s="702"/>
      <c r="C28" s="703">
        <v>100</v>
      </c>
      <c r="D28" s="696">
        <f t="shared" si="0"/>
        <v>100</v>
      </c>
    </row>
    <row r="29" spans="1:4" ht="15.75">
      <c r="A29" s="704" t="s">
        <v>692</v>
      </c>
      <c r="B29" s="702">
        <v>71</v>
      </c>
      <c r="C29" s="703"/>
      <c r="D29" s="696">
        <f t="shared" si="0"/>
        <v>71</v>
      </c>
    </row>
    <row r="30" spans="1:4" ht="15.75">
      <c r="A30" s="705" t="s">
        <v>693</v>
      </c>
      <c r="B30" s="702">
        <v>100</v>
      </c>
      <c r="C30" s="703"/>
      <c r="D30" s="696">
        <f t="shared" si="0"/>
        <v>100</v>
      </c>
    </row>
    <row r="31" spans="1:4" ht="15.75">
      <c r="A31" s="705" t="s">
        <v>694</v>
      </c>
      <c r="B31" s="702">
        <v>250</v>
      </c>
      <c r="C31" s="703">
        <v>100</v>
      </c>
      <c r="D31" s="696">
        <f t="shared" si="0"/>
        <v>350</v>
      </c>
    </row>
    <row r="32" spans="1:4" ht="15.75">
      <c r="A32" s="706" t="s">
        <v>695</v>
      </c>
      <c r="B32" s="702"/>
      <c r="C32" s="703">
        <v>100</v>
      </c>
      <c r="D32" s="696">
        <f t="shared" si="0"/>
        <v>100</v>
      </c>
    </row>
    <row r="33" spans="1:4" ht="25.5">
      <c r="A33" s="707" t="s">
        <v>696</v>
      </c>
      <c r="B33" s="696"/>
      <c r="C33" s="697">
        <v>200</v>
      </c>
      <c r="D33" s="696">
        <f t="shared" si="0"/>
        <v>200</v>
      </c>
    </row>
    <row r="34" spans="1:4" ht="15.75">
      <c r="A34" s="708" t="s">
        <v>697</v>
      </c>
      <c r="B34" s="696">
        <v>50</v>
      </c>
      <c r="C34" s="697"/>
      <c r="D34" s="696">
        <f t="shared" si="0"/>
        <v>50</v>
      </c>
    </row>
    <row r="35" spans="1:4" ht="15.75">
      <c r="A35" s="704" t="s">
        <v>698</v>
      </c>
      <c r="B35" s="702"/>
      <c r="C35" s="703">
        <v>50</v>
      </c>
      <c r="D35" s="702">
        <f t="shared" si="0"/>
        <v>50</v>
      </c>
    </row>
    <row r="36" spans="1:4" ht="15.75">
      <c r="A36" s="709" t="s">
        <v>699</v>
      </c>
      <c r="B36" s="710"/>
      <c r="C36" s="711">
        <v>21</v>
      </c>
      <c r="D36" s="710">
        <f t="shared" si="0"/>
        <v>21</v>
      </c>
    </row>
    <row r="37" spans="1:4" ht="15.75">
      <c r="A37" s="712" t="s">
        <v>700</v>
      </c>
      <c r="B37" s="713">
        <f>SUM(B25:B36)</f>
        <v>571</v>
      </c>
      <c r="C37" s="714">
        <f>SUM(C25:C36)</f>
        <v>571</v>
      </c>
      <c r="D37" s="713">
        <f t="shared" si="0"/>
        <v>1142</v>
      </c>
    </row>
    <row r="39" spans="1:4" ht="31.5">
      <c r="A39" s="541" t="s">
        <v>495</v>
      </c>
      <c r="B39" s="715" t="s">
        <v>686</v>
      </c>
      <c r="C39" s="716" t="s">
        <v>687</v>
      </c>
      <c r="D39" s="717" t="s">
        <v>187</v>
      </c>
    </row>
    <row r="40" spans="1:4" ht="12.75">
      <c r="A40" s="88" t="s">
        <v>701</v>
      </c>
      <c r="B40" s="88"/>
      <c r="C40" s="8"/>
      <c r="D40" s="360">
        <f>SUM(B40:C40)</f>
        <v>0</v>
      </c>
    </row>
    <row r="41" spans="1:4" ht="12.75">
      <c r="A41" s="88" t="s">
        <v>702</v>
      </c>
      <c r="B41" s="88"/>
      <c r="C41" s="8"/>
      <c r="D41" s="360">
        <f>SUM(B41:C41)</f>
        <v>0</v>
      </c>
    </row>
    <row r="42" spans="1:4" ht="12.75">
      <c r="A42" s="298" t="s">
        <v>703</v>
      </c>
      <c r="B42" s="298">
        <v>571</v>
      </c>
      <c r="C42" s="234">
        <v>571</v>
      </c>
      <c r="D42" s="59">
        <f>SUM(B42:C42)</f>
        <v>1142</v>
      </c>
    </row>
    <row r="43" spans="1:4" s="91" customFormat="1" ht="12.75">
      <c r="A43" s="718" t="s">
        <v>704</v>
      </c>
      <c r="B43" s="718">
        <f>SUM(B40:B42)</f>
        <v>571</v>
      </c>
      <c r="C43" s="15">
        <f>SUM(C40:C42)</f>
        <v>571</v>
      </c>
      <c r="D43" s="61">
        <f>SUM(B43:C43)</f>
        <v>1142</v>
      </c>
    </row>
    <row r="48" spans="2:3" ht="12.75">
      <c r="B48" s="719"/>
      <c r="C48" s="719" t="s">
        <v>705</v>
      </c>
    </row>
    <row r="49" spans="2:3" ht="12.75">
      <c r="B49" s="545"/>
      <c r="C49" s="545"/>
    </row>
    <row r="51" spans="1:4" ht="18">
      <c r="A51" s="942" t="s">
        <v>706</v>
      </c>
      <c r="B51" s="942"/>
      <c r="C51" s="942"/>
      <c r="D51" s="942"/>
    </row>
    <row r="52" spans="1:4" ht="18">
      <c r="A52" s="943" t="s">
        <v>679</v>
      </c>
      <c r="B52" s="943"/>
      <c r="C52" s="943"/>
      <c r="D52" s="943"/>
    </row>
    <row r="55" spans="1:4" ht="18">
      <c r="A55" s="942" t="s">
        <v>680</v>
      </c>
      <c r="B55" s="942"/>
      <c r="C55" s="942"/>
      <c r="D55" s="942"/>
    </row>
    <row r="56" spans="1:4" ht="18">
      <c r="A56" s="691"/>
      <c r="B56" s="691"/>
      <c r="C56" s="691"/>
      <c r="D56" s="691"/>
    </row>
    <row r="57" spans="1:3" ht="12.75">
      <c r="A57" s="682"/>
      <c r="B57" s="921" t="s">
        <v>384</v>
      </c>
      <c r="C57" s="921"/>
    </row>
    <row r="58" spans="1:4" ht="12.75">
      <c r="A58" s="383" t="s">
        <v>5</v>
      </c>
      <c r="B58" s="944" t="s">
        <v>449</v>
      </c>
      <c r="C58" s="944"/>
      <c r="D58" s="28"/>
    </row>
    <row r="59" spans="1:4" ht="15">
      <c r="A59" s="692" t="s">
        <v>681</v>
      </c>
      <c r="B59" s="945">
        <v>571</v>
      </c>
      <c r="C59" s="945"/>
      <c r="D59" s="30"/>
    </row>
    <row r="60" spans="1:4" ht="15">
      <c r="A60" s="438" t="s">
        <v>682</v>
      </c>
      <c r="B60" s="946"/>
      <c r="C60" s="946"/>
      <c r="D60" s="30"/>
    </row>
    <row r="61" spans="1:4" ht="15">
      <c r="A61" s="693" t="s">
        <v>707</v>
      </c>
      <c r="B61" s="947">
        <v>0</v>
      </c>
      <c r="C61" s="947"/>
      <c r="D61" s="30"/>
    </row>
    <row r="62" spans="1:4" ht="15.75">
      <c r="A62" s="417" t="s">
        <v>684</v>
      </c>
      <c r="B62" s="948">
        <f>SUM(B59:B60)</f>
        <v>571</v>
      </c>
      <c r="C62" s="948"/>
      <c r="D62" s="29"/>
    </row>
    <row r="66" spans="1:4" ht="18">
      <c r="A66" s="942" t="s">
        <v>685</v>
      </c>
      <c r="B66" s="942"/>
      <c r="C66" s="942"/>
      <c r="D66" s="942"/>
    </row>
    <row r="67" spans="1:4" ht="18">
      <c r="A67" s="691"/>
      <c r="B67" s="691"/>
      <c r="C67" s="691"/>
      <c r="D67" s="691"/>
    </row>
    <row r="68" spans="2:4" ht="12.75">
      <c r="B68" s="416"/>
      <c r="C68" s="416"/>
      <c r="D68" s="416" t="s">
        <v>384</v>
      </c>
    </row>
    <row r="69" spans="1:4" ht="31.5">
      <c r="A69" s="417" t="s">
        <v>495</v>
      </c>
      <c r="B69" s="579" t="s">
        <v>686</v>
      </c>
      <c r="C69" s="694" t="s">
        <v>687</v>
      </c>
      <c r="D69" s="546" t="s">
        <v>187</v>
      </c>
    </row>
    <row r="70" spans="1:4" ht="15.75">
      <c r="A70" s="529"/>
      <c r="B70" s="720"/>
      <c r="C70" s="721"/>
      <c r="D70" s="722"/>
    </row>
    <row r="71" spans="1:4" ht="15.75">
      <c r="A71" s="704" t="s">
        <v>708</v>
      </c>
      <c r="B71" s="702">
        <v>416</v>
      </c>
      <c r="C71" s="703">
        <v>0</v>
      </c>
      <c r="D71" s="702">
        <f>C71+B71</f>
        <v>416</v>
      </c>
    </row>
    <row r="72" spans="1:4" ht="15.75">
      <c r="A72" s="704" t="s">
        <v>709</v>
      </c>
      <c r="B72" s="702">
        <v>155</v>
      </c>
      <c r="C72" s="703">
        <v>0</v>
      </c>
      <c r="D72" s="702">
        <f>C72+B72</f>
        <v>155</v>
      </c>
    </row>
    <row r="73" spans="1:4" ht="15.75">
      <c r="A73" s="709"/>
      <c r="B73" s="710"/>
      <c r="C73" s="711"/>
      <c r="D73" s="710"/>
    </row>
    <row r="74" spans="1:4" ht="15.75">
      <c r="A74" s="712" t="s">
        <v>700</v>
      </c>
      <c r="B74" s="713">
        <f>SUM(B71:B72)</f>
        <v>571</v>
      </c>
      <c r="C74" s="713">
        <f>SUM(C71:C72)</f>
        <v>0</v>
      </c>
      <c r="D74" s="713">
        <f>SUM(D71:D72)</f>
        <v>571</v>
      </c>
    </row>
  </sheetData>
  <sheetProtection/>
  <mergeCells count="20">
    <mergeCell ref="B62:C62"/>
    <mergeCell ref="A66:D66"/>
    <mergeCell ref="A55:D55"/>
    <mergeCell ref="B57:C57"/>
    <mergeCell ref="B58:C58"/>
    <mergeCell ref="B59:C59"/>
    <mergeCell ref="B60:C60"/>
    <mergeCell ref="B61:C61"/>
    <mergeCell ref="B15:C15"/>
    <mergeCell ref="B16:C16"/>
    <mergeCell ref="B17:C17"/>
    <mergeCell ref="A21:D21"/>
    <mergeCell ref="A51:D51"/>
    <mergeCell ref="A52:D52"/>
    <mergeCell ref="A6:D6"/>
    <mergeCell ref="A7:D7"/>
    <mergeCell ref="A10:D10"/>
    <mergeCell ref="B12:C12"/>
    <mergeCell ref="B13:C13"/>
    <mergeCell ref="B14:C1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3.7109375" style="0" customWidth="1"/>
    <col min="4" max="4" width="14.57421875" style="0" customWidth="1"/>
    <col min="5" max="5" width="17.57421875" style="0" customWidth="1"/>
  </cols>
  <sheetData>
    <row r="1" ht="15">
      <c r="E1" s="723" t="s">
        <v>710</v>
      </c>
    </row>
    <row r="5" spans="2:3" ht="15.75">
      <c r="B5" s="724" t="s">
        <v>711</v>
      </c>
      <c r="C5" s="29"/>
    </row>
    <row r="6" spans="2:3" ht="15.75">
      <c r="B6" s="30"/>
      <c r="C6" s="724" t="s">
        <v>712</v>
      </c>
    </row>
    <row r="7" spans="2:3" ht="15.75">
      <c r="B7" s="30"/>
      <c r="C7" s="724"/>
    </row>
    <row r="8" spans="2:3" ht="15.75">
      <c r="B8" s="30"/>
      <c r="C8" s="724"/>
    </row>
    <row r="11" ht="12.75">
      <c r="E11" s="416" t="s">
        <v>34</v>
      </c>
    </row>
    <row r="12" spans="1:5" ht="15.75">
      <c r="A12" s="546" t="s">
        <v>713</v>
      </c>
      <c r="B12" s="725" t="s">
        <v>714</v>
      </c>
      <c r="C12" s="546" t="s">
        <v>715</v>
      </c>
      <c r="D12" s="546" t="s">
        <v>716</v>
      </c>
      <c r="E12" s="726" t="s">
        <v>717</v>
      </c>
    </row>
    <row r="13" spans="1:5" ht="15">
      <c r="A13" s="727" t="s">
        <v>718</v>
      </c>
      <c r="B13" s="728">
        <v>290000</v>
      </c>
      <c r="C13" s="531">
        <v>320000</v>
      </c>
      <c r="D13" s="728">
        <f>C13+E13-B13</f>
        <v>30018</v>
      </c>
      <c r="E13" s="531">
        <v>18</v>
      </c>
    </row>
    <row r="14" spans="1:5" ht="15">
      <c r="A14" s="727" t="s">
        <v>719</v>
      </c>
      <c r="B14" s="728">
        <v>290000</v>
      </c>
      <c r="C14" s="531">
        <v>340000</v>
      </c>
      <c r="D14" s="728">
        <f aca="true" t="shared" si="0" ref="D14:D23">C14+E14-B14</f>
        <v>50018</v>
      </c>
      <c r="E14" s="531">
        <v>18</v>
      </c>
    </row>
    <row r="15" spans="1:5" ht="15">
      <c r="A15" s="727" t="s">
        <v>720</v>
      </c>
      <c r="B15" s="728">
        <v>490000</v>
      </c>
      <c r="C15" s="531">
        <v>450000</v>
      </c>
      <c r="D15" s="728">
        <v>0</v>
      </c>
      <c r="E15" s="531">
        <v>3396</v>
      </c>
    </row>
    <row r="16" spans="1:5" ht="15">
      <c r="A16" s="727" t="s">
        <v>721</v>
      </c>
      <c r="B16" s="728">
        <v>295000</v>
      </c>
      <c r="C16" s="531">
        <v>310000</v>
      </c>
      <c r="D16" s="728">
        <f t="shared" si="0"/>
        <v>15018</v>
      </c>
      <c r="E16" s="531">
        <v>18</v>
      </c>
    </row>
    <row r="17" spans="1:5" ht="15">
      <c r="A17" s="727" t="s">
        <v>722</v>
      </c>
      <c r="B17" s="728">
        <v>310000</v>
      </c>
      <c r="C17" s="531">
        <v>335000</v>
      </c>
      <c r="D17" s="728">
        <f t="shared" si="0"/>
        <v>25018</v>
      </c>
      <c r="E17" s="531">
        <v>18</v>
      </c>
    </row>
    <row r="18" spans="1:5" ht="15">
      <c r="A18" s="727" t="s">
        <v>723</v>
      </c>
      <c r="B18" s="728">
        <v>450000</v>
      </c>
      <c r="C18" s="531">
        <v>460000</v>
      </c>
      <c r="D18" s="728">
        <f t="shared" si="0"/>
        <v>13396</v>
      </c>
      <c r="E18" s="531">
        <v>3396</v>
      </c>
    </row>
    <row r="19" spans="1:5" ht="15">
      <c r="A19" s="727" t="s">
        <v>724</v>
      </c>
      <c r="B19" s="728">
        <v>290000</v>
      </c>
      <c r="C19" s="531">
        <v>350000</v>
      </c>
      <c r="D19" s="728">
        <f t="shared" si="0"/>
        <v>60018</v>
      </c>
      <c r="E19" s="531">
        <v>18</v>
      </c>
    </row>
    <row r="20" spans="1:5" ht="15">
      <c r="A20" s="727" t="s">
        <v>725</v>
      </c>
      <c r="B20" s="728">
        <v>285000</v>
      </c>
      <c r="C20" s="531">
        <v>350000</v>
      </c>
      <c r="D20" s="728">
        <f t="shared" si="0"/>
        <v>65018</v>
      </c>
      <c r="E20" s="531">
        <v>18</v>
      </c>
    </row>
    <row r="21" spans="1:5" ht="15">
      <c r="A21" s="727" t="s">
        <v>726</v>
      </c>
      <c r="B21" s="728">
        <v>490000</v>
      </c>
      <c r="C21" s="531">
        <v>453008</v>
      </c>
      <c r="D21" s="728">
        <v>0</v>
      </c>
      <c r="E21" s="531">
        <v>3396</v>
      </c>
    </row>
    <row r="22" spans="1:5" ht="15">
      <c r="A22" s="727" t="s">
        <v>727</v>
      </c>
      <c r="B22" s="728">
        <v>315500</v>
      </c>
      <c r="C22" s="531">
        <v>350000</v>
      </c>
      <c r="D22" s="728">
        <v>0</v>
      </c>
      <c r="E22" s="531">
        <v>18</v>
      </c>
    </row>
    <row r="23" spans="1:5" ht="15">
      <c r="A23" s="727" t="s">
        <v>728</v>
      </c>
      <c r="B23" s="728">
        <v>390000</v>
      </c>
      <c r="C23" s="531">
        <v>390000</v>
      </c>
      <c r="D23" s="728">
        <f t="shared" si="0"/>
        <v>18</v>
      </c>
      <c r="E23" s="533">
        <v>18</v>
      </c>
    </row>
    <row r="24" spans="1:5" ht="15">
      <c r="A24" s="729" t="s">
        <v>729</v>
      </c>
      <c r="B24" s="730">
        <v>317028</v>
      </c>
      <c r="C24" s="731">
        <v>350000</v>
      </c>
      <c r="D24" s="728">
        <v>686</v>
      </c>
      <c r="E24" s="732">
        <v>3396</v>
      </c>
    </row>
    <row r="25" spans="1:5" ht="15.75">
      <c r="A25" s="733" t="s">
        <v>187</v>
      </c>
      <c r="B25" s="734">
        <f>SUM(B13:B24)</f>
        <v>4212528</v>
      </c>
      <c r="C25" s="540">
        <f>SUM(C13:C24)</f>
        <v>4458008</v>
      </c>
      <c r="D25" s="734">
        <f>SUM(D13:D24)</f>
        <v>259208</v>
      </c>
      <c r="E25" s="540">
        <f>SUM(E13:E24)</f>
        <v>13728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545"/>
      <c r="E1" s="545"/>
      <c r="F1" s="949" t="s">
        <v>730</v>
      </c>
      <c r="G1" s="949"/>
      <c r="H1" s="949"/>
      <c r="I1" s="949"/>
      <c r="J1" s="949"/>
      <c r="K1" s="949"/>
    </row>
    <row r="2" ht="7.5" customHeight="1"/>
    <row r="3" spans="1:11" ht="12.75">
      <c r="A3" s="949" t="s">
        <v>731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</row>
    <row r="4" spans="1:11" ht="12.75">
      <c r="A4" s="949" t="s">
        <v>732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</row>
    <row r="5" spans="1:11" ht="12.75">
      <c r="A5" s="545"/>
      <c r="B5" s="545"/>
      <c r="C5" s="545"/>
      <c r="D5" s="545"/>
      <c r="E5" s="545"/>
      <c r="F5" s="545"/>
      <c r="G5" s="545"/>
      <c r="H5" s="545"/>
      <c r="I5" s="545"/>
      <c r="J5" s="545"/>
      <c r="K5" s="545" t="s">
        <v>733</v>
      </c>
    </row>
    <row r="6" spans="1:11" ht="12.75">
      <c r="A6" s="950" t="s">
        <v>734</v>
      </c>
      <c r="B6" s="951" t="s">
        <v>735</v>
      </c>
      <c r="C6" s="951"/>
      <c r="D6" s="952" t="s">
        <v>736</v>
      </c>
      <c r="E6" s="952"/>
      <c r="F6" s="952"/>
      <c r="G6" s="952"/>
      <c r="H6" s="952"/>
      <c r="I6" s="952"/>
      <c r="J6" s="952"/>
      <c r="K6" s="950" t="s">
        <v>737</v>
      </c>
    </row>
    <row r="7" spans="1:11" ht="30" customHeight="1">
      <c r="A7" s="950"/>
      <c r="B7" s="735" t="s">
        <v>738</v>
      </c>
      <c r="C7" s="735" t="s">
        <v>739</v>
      </c>
      <c r="D7" s="735" t="s">
        <v>740</v>
      </c>
      <c r="E7" s="736" t="s">
        <v>741</v>
      </c>
      <c r="F7" s="736" t="s">
        <v>742</v>
      </c>
      <c r="G7" s="736" t="s">
        <v>743</v>
      </c>
      <c r="H7" s="736" t="s">
        <v>744</v>
      </c>
      <c r="I7" s="736" t="s">
        <v>745</v>
      </c>
      <c r="J7" s="736" t="s">
        <v>746</v>
      </c>
      <c r="K7" s="950"/>
    </row>
    <row r="8" spans="1:11" ht="43.5" customHeight="1">
      <c r="A8" s="737" t="s">
        <v>747</v>
      </c>
      <c r="B8" s="738">
        <v>0</v>
      </c>
      <c r="C8" s="739">
        <v>0</v>
      </c>
      <c r="D8" s="739"/>
      <c r="E8" s="739">
        <v>50000</v>
      </c>
      <c r="F8" s="740">
        <v>40000</v>
      </c>
      <c r="G8" s="741"/>
      <c r="H8" s="741">
        <v>3005480</v>
      </c>
      <c r="I8" s="741"/>
      <c r="J8" s="741">
        <v>138693</v>
      </c>
      <c r="K8" s="741">
        <f>SUM(B8:J8)</f>
        <v>3234173</v>
      </c>
    </row>
    <row r="9" spans="1:11" ht="28.5" customHeight="1">
      <c r="A9" s="742" t="s">
        <v>748</v>
      </c>
      <c r="B9" s="743">
        <v>228749</v>
      </c>
      <c r="C9" s="744"/>
      <c r="D9" s="744">
        <v>29000</v>
      </c>
      <c r="E9" s="744"/>
      <c r="F9" s="745">
        <v>0</v>
      </c>
      <c r="G9" s="746">
        <v>1399</v>
      </c>
      <c r="H9" s="746"/>
      <c r="I9" s="746"/>
      <c r="J9" s="746"/>
      <c r="K9" s="747">
        <f>SUM(B9:J9)</f>
        <v>259148</v>
      </c>
    </row>
    <row r="10" spans="1:11" ht="23.25" customHeight="1">
      <c r="A10" s="742" t="s">
        <v>749</v>
      </c>
      <c r="B10" s="748"/>
      <c r="C10" s="744"/>
      <c r="D10" s="744"/>
      <c r="E10" s="744"/>
      <c r="F10" s="745"/>
      <c r="G10" s="746"/>
      <c r="H10" s="746"/>
      <c r="I10" s="746"/>
      <c r="J10" s="746"/>
      <c r="K10" s="747"/>
    </row>
    <row r="11" spans="1:11" ht="12.75">
      <c r="A11" s="749">
        <v>2009</v>
      </c>
      <c r="B11" s="750"/>
      <c r="C11" s="743">
        <v>0</v>
      </c>
      <c r="D11" s="743"/>
      <c r="E11" s="744">
        <v>2940</v>
      </c>
      <c r="F11" s="751">
        <v>1875</v>
      </c>
      <c r="G11" s="752">
        <v>217</v>
      </c>
      <c r="H11" s="752">
        <v>0</v>
      </c>
      <c r="I11" s="752"/>
      <c r="J11" s="752">
        <v>8696</v>
      </c>
      <c r="K11" s="747">
        <f aca="true" t="shared" si="0" ref="K11:K27">SUM(B11:J11)</f>
        <v>13728</v>
      </c>
    </row>
    <row r="12" spans="1:11" ht="12.75">
      <c r="A12" s="753">
        <v>2010</v>
      </c>
      <c r="B12" s="750">
        <v>228749</v>
      </c>
      <c r="C12" s="743">
        <v>0</v>
      </c>
      <c r="D12" s="743"/>
      <c r="E12" s="744">
        <v>2940</v>
      </c>
      <c r="F12" s="751">
        <v>2500</v>
      </c>
      <c r="G12" s="752">
        <v>292</v>
      </c>
      <c r="H12" s="752">
        <v>0</v>
      </c>
      <c r="I12" s="752"/>
      <c r="J12" s="752">
        <v>8696</v>
      </c>
      <c r="K12" s="747">
        <f t="shared" si="0"/>
        <v>243177</v>
      </c>
    </row>
    <row r="13" spans="1:11" ht="12.75">
      <c r="A13" s="753">
        <v>2011</v>
      </c>
      <c r="B13" s="750">
        <v>0</v>
      </c>
      <c r="C13" s="743">
        <v>0</v>
      </c>
      <c r="D13" s="743"/>
      <c r="E13" s="744">
        <v>2940</v>
      </c>
      <c r="F13" s="751">
        <v>2500</v>
      </c>
      <c r="G13" s="752">
        <v>380</v>
      </c>
      <c r="H13" s="752">
        <v>0</v>
      </c>
      <c r="I13" s="752"/>
      <c r="J13" s="752">
        <v>8696</v>
      </c>
      <c r="K13" s="747">
        <f t="shared" si="0"/>
        <v>14516</v>
      </c>
    </row>
    <row r="14" spans="1:11" ht="12.75">
      <c r="A14" s="754">
        <v>2012</v>
      </c>
      <c r="B14" s="750">
        <v>0</v>
      </c>
      <c r="C14" s="755">
        <v>0</v>
      </c>
      <c r="D14" s="755"/>
      <c r="E14" s="744">
        <v>2940</v>
      </c>
      <c r="F14" s="751">
        <v>2500</v>
      </c>
      <c r="G14" s="752">
        <v>467</v>
      </c>
      <c r="H14" s="752">
        <v>0</v>
      </c>
      <c r="I14" s="752"/>
      <c r="J14" s="752">
        <v>8696</v>
      </c>
      <c r="K14" s="756">
        <f t="shared" si="0"/>
        <v>14603</v>
      </c>
    </row>
    <row r="15" spans="1:11" ht="12.75">
      <c r="A15" s="753">
        <v>2013</v>
      </c>
      <c r="B15" s="750">
        <v>0</v>
      </c>
      <c r="C15" s="755">
        <v>0</v>
      </c>
      <c r="D15" s="757">
        <v>1075</v>
      </c>
      <c r="E15" s="744">
        <v>2940</v>
      </c>
      <c r="F15" s="751">
        <v>2500</v>
      </c>
      <c r="G15" s="758">
        <v>43</v>
      </c>
      <c r="H15" s="758">
        <v>69113</v>
      </c>
      <c r="I15" s="758"/>
      <c r="J15" s="752">
        <v>8696</v>
      </c>
      <c r="K15" s="758">
        <f t="shared" si="0"/>
        <v>84367</v>
      </c>
    </row>
    <row r="16" spans="1:11" ht="12.75">
      <c r="A16" s="753">
        <v>2014</v>
      </c>
      <c r="B16" s="750">
        <v>0</v>
      </c>
      <c r="C16" s="755">
        <v>0</v>
      </c>
      <c r="D16" s="757">
        <v>1432</v>
      </c>
      <c r="E16" s="744">
        <v>2940</v>
      </c>
      <c r="F16" s="751">
        <v>2500</v>
      </c>
      <c r="G16" s="758">
        <v>0</v>
      </c>
      <c r="H16" s="758">
        <v>76792</v>
      </c>
      <c r="I16" s="758"/>
      <c r="J16" s="752">
        <v>8696</v>
      </c>
      <c r="K16" s="758">
        <f t="shared" si="0"/>
        <v>92360</v>
      </c>
    </row>
    <row r="17" spans="1:11" ht="12.75">
      <c r="A17" s="753">
        <v>2015</v>
      </c>
      <c r="B17" s="750">
        <v>0</v>
      </c>
      <c r="C17" s="755">
        <v>0</v>
      </c>
      <c r="D17" s="757">
        <v>1432</v>
      </c>
      <c r="E17" s="744">
        <v>2940</v>
      </c>
      <c r="F17" s="751">
        <v>2500</v>
      </c>
      <c r="G17" s="758">
        <v>0</v>
      </c>
      <c r="H17" s="758">
        <v>85796</v>
      </c>
      <c r="I17" s="758"/>
      <c r="J17" s="752">
        <v>8696</v>
      </c>
      <c r="K17" s="758">
        <f t="shared" si="0"/>
        <v>101364</v>
      </c>
    </row>
    <row r="18" spans="1:11" ht="12.75">
      <c r="A18" s="753">
        <v>2016</v>
      </c>
      <c r="B18" s="750">
        <v>0</v>
      </c>
      <c r="C18" s="755">
        <v>0</v>
      </c>
      <c r="D18" s="757">
        <v>1432</v>
      </c>
      <c r="E18" s="744">
        <v>2940</v>
      </c>
      <c r="F18" s="751">
        <v>2500</v>
      </c>
      <c r="G18" s="758">
        <v>0</v>
      </c>
      <c r="H18" s="758">
        <v>85796</v>
      </c>
      <c r="I18" s="758"/>
      <c r="J18" s="752">
        <v>8696</v>
      </c>
      <c r="K18" s="758">
        <f t="shared" si="0"/>
        <v>101364</v>
      </c>
    </row>
    <row r="19" spans="1:11" ht="12.75">
      <c r="A19" s="753">
        <v>2017</v>
      </c>
      <c r="B19" s="750">
        <v>0</v>
      </c>
      <c r="C19" s="755">
        <v>0</v>
      </c>
      <c r="D19" s="757">
        <v>1432</v>
      </c>
      <c r="E19" s="744">
        <v>2940</v>
      </c>
      <c r="F19" s="751">
        <v>2500</v>
      </c>
      <c r="G19" s="758">
        <v>0</v>
      </c>
      <c r="H19" s="758">
        <v>88443</v>
      </c>
      <c r="I19" s="758"/>
      <c r="J19" s="752">
        <v>8696</v>
      </c>
      <c r="K19" s="758">
        <f t="shared" si="0"/>
        <v>104011</v>
      </c>
    </row>
    <row r="20" spans="1:11" ht="12.75">
      <c r="A20" s="753">
        <v>2018</v>
      </c>
      <c r="B20" s="750">
        <v>0</v>
      </c>
      <c r="C20" s="755">
        <v>0</v>
      </c>
      <c r="D20" s="757">
        <v>1432</v>
      </c>
      <c r="E20" s="744">
        <v>2940</v>
      </c>
      <c r="F20" s="751">
        <v>2500</v>
      </c>
      <c r="G20" s="758">
        <v>0</v>
      </c>
      <c r="H20" s="758">
        <v>94798</v>
      </c>
      <c r="I20" s="758"/>
      <c r="J20" s="752">
        <v>8696</v>
      </c>
      <c r="K20" s="758">
        <f t="shared" si="0"/>
        <v>110366</v>
      </c>
    </row>
    <row r="21" spans="1:11" ht="12.75">
      <c r="A21" s="753">
        <v>2019</v>
      </c>
      <c r="B21" s="750">
        <v>0</v>
      </c>
      <c r="C21" s="755">
        <v>0</v>
      </c>
      <c r="D21" s="757">
        <v>1432</v>
      </c>
      <c r="E21" s="744">
        <v>2940</v>
      </c>
      <c r="F21" s="751">
        <v>2500</v>
      </c>
      <c r="G21" s="758">
        <v>0</v>
      </c>
      <c r="H21" s="758">
        <v>96387</v>
      </c>
      <c r="I21" s="758"/>
      <c r="J21" s="752">
        <v>8696</v>
      </c>
      <c r="K21" s="758">
        <f t="shared" si="0"/>
        <v>111955</v>
      </c>
    </row>
    <row r="22" spans="1:11" ht="12.75">
      <c r="A22" s="753">
        <v>2020</v>
      </c>
      <c r="B22" s="750">
        <v>0</v>
      </c>
      <c r="C22" s="755">
        <v>0</v>
      </c>
      <c r="D22" s="757">
        <v>1432</v>
      </c>
      <c r="E22" s="744">
        <v>2940</v>
      </c>
      <c r="F22" s="751">
        <v>2500</v>
      </c>
      <c r="G22" s="758">
        <v>0</v>
      </c>
      <c r="H22" s="758">
        <v>97446</v>
      </c>
      <c r="I22" s="758"/>
      <c r="J22" s="752">
        <v>8696</v>
      </c>
      <c r="K22" s="758">
        <f t="shared" si="0"/>
        <v>113014</v>
      </c>
    </row>
    <row r="23" spans="1:11" ht="12.75">
      <c r="A23" s="753">
        <v>2021</v>
      </c>
      <c r="B23" s="750">
        <v>0</v>
      </c>
      <c r="C23" s="755">
        <v>0</v>
      </c>
      <c r="D23" s="757">
        <v>1432</v>
      </c>
      <c r="E23" s="744">
        <v>2940</v>
      </c>
      <c r="F23" s="751">
        <v>2500</v>
      </c>
      <c r="G23" s="758">
        <v>0</v>
      </c>
      <c r="H23" s="758">
        <v>102213</v>
      </c>
      <c r="I23" s="758"/>
      <c r="J23" s="752">
        <v>8696</v>
      </c>
      <c r="K23" s="758">
        <f t="shared" si="0"/>
        <v>117781</v>
      </c>
    </row>
    <row r="24" spans="1:11" ht="12.75">
      <c r="A24" s="753">
        <v>2022</v>
      </c>
      <c r="B24" s="750">
        <v>0</v>
      </c>
      <c r="C24" s="755">
        <v>0</v>
      </c>
      <c r="D24" s="757">
        <v>1432</v>
      </c>
      <c r="E24" s="744">
        <v>2940</v>
      </c>
      <c r="F24" s="751">
        <v>2500</v>
      </c>
      <c r="G24" s="758">
        <v>0</v>
      </c>
      <c r="H24" s="758">
        <v>105390</v>
      </c>
      <c r="I24" s="758"/>
      <c r="J24" s="752">
        <v>8696</v>
      </c>
      <c r="K24" s="758">
        <f t="shared" si="0"/>
        <v>120958</v>
      </c>
    </row>
    <row r="25" spans="1:11" ht="12.75">
      <c r="A25" s="753">
        <v>2023</v>
      </c>
      <c r="B25" s="750">
        <v>0</v>
      </c>
      <c r="C25" s="755">
        <v>0</v>
      </c>
      <c r="D25" s="757">
        <v>1432</v>
      </c>
      <c r="E25" s="744">
        <v>2940</v>
      </c>
      <c r="F25" s="751">
        <v>2500</v>
      </c>
      <c r="G25" s="758">
        <v>0</v>
      </c>
      <c r="H25" s="758">
        <v>108038</v>
      </c>
      <c r="I25" s="758"/>
      <c r="J25" s="752">
        <v>8696</v>
      </c>
      <c r="K25" s="758">
        <f t="shared" si="0"/>
        <v>123606</v>
      </c>
    </row>
    <row r="26" spans="1:11" ht="12.75">
      <c r="A26" s="753">
        <v>2024</v>
      </c>
      <c r="B26" s="750">
        <v>0</v>
      </c>
      <c r="C26" s="755">
        <v>0</v>
      </c>
      <c r="D26" s="757">
        <v>1432</v>
      </c>
      <c r="E26" s="744">
        <v>2940</v>
      </c>
      <c r="F26" s="751">
        <v>2500</v>
      </c>
      <c r="G26" s="758">
        <v>0</v>
      </c>
      <c r="H26" s="758">
        <v>112804</v>
      </c>
      <c r="I26" s="758"/>
      <c r="J26" s="752">
        <v>8253</v>
      </c>
      <c r="K26" s="758">
        <f t="shared" si="0"/>
        <v>127929</v>
      </c>
    </row>
    <row r="27" spans="1:11" ht="12.75">
      <c r="A27" s="754">
        <v>2025</v>
      </c>
      <c r="B27" s="759">
        <v>0</v>
      </c>
      <c r="C27" s="755">
        <v>0</v>
      </c>
      <c r="D27" s="757">
        <v>1432</v>
      </c>
      <c r="E27" s="755">
        <v>2960</v>
      </c>
      <c r="F27" s="760">
        <v>625</v>
      </c>
      <c r="G27" s="761">
        <v>0</v>
      </c>
      <c r="H27" s="761">
        <v>118630</v>
      </c>
      <c r="I27" s="761"/>
      <c r="J27" s="762"/>
      <c r="K27" s="761">
        <f t="shared" si="0"/>
        <v>123647</v>
      </c>
    </row>
    <row r="28" spans="1:11" ht="12.75">
      <c r="A28" s="753">
        <v>2026</v>
      </c>
      <c r="B28" s="750"/>
      <c r="C28" s="743"/>
      <c r="D28" s="757">
        <v>1432</v>
      </c>
      <c r="E28" s="743"/>
      <c r="F28" s="763"/>
      <c r="G28" s="758"/>
      <c r="H28" s="758">
        <v>126045</v>
      </c>
      <c r="I28" s="758"/>
      <c r="J28" s="764"/>
      <c r="K28" s="761">
        <f aca="true" t="shared" si="1" ref="K28:K35">SUM(B28:J28)</f>
        <v>127477</v>
      </c>
    </row>
    <row r="29" spans="1:11" ht="12.75">
      <c r="A29" s="753">
        <v>2027</v>
      </c>
      <c r="B29" s="750"/>
      <c r="C29" s="743"/>
      <c r="D29" s="757">
        <v>1432</v>
      </c>
      <c r="E29" s="743"/>
      <c r="F29" s="763"/>
      <c r="G29" s="758"/>
      <c r="H29" s="758">
        <v>67789</v>
      </c>
      <c r="I29" s="758"/>
      <c r="J29" s="764"/>
      <c r="K29" s="761">
        <f t="shared" si="1"/>
        <v>69221</v>
      </c>
    </row>
    <row r="30" spans="1:11" ht="12.75">
      <c r="A30" s="753">
        <v>2028</v>
      </c>
      <c r="B30" s="750"/>
      <c r="C30" s="743"/>
      <c r="D30" s="757">
        <v>1432</v>
      </c>
      <c r="E30" s="743"/>
      <c r="F30" s="763"/>
      <c r="G30" s="758"/>
      <c r="H30" s="758">
        <v>1570000</v>
      </c>
      <c r="I30" s="758"/>
      <c r="J30" s="764"/>
      <c r="K30" s="761">
        <f t="shared" si="1"/>
        <v>1571432</v>
      </c>
    </row>
    <row r="31" spans="1:11" ht="12.75">
      <c r="A31" s="753">
        <v>2029</v>
      </c>
      <c r="B31" s="750"/>
      <c r="C31" s="743"/>
      <c r="D31" s="757">
        <v>1432</v>
      </c>
      <c r="E31" s="743"/>
      <c r="F31" s="763"/>
      <c r="G31" s="758"/>
      <c r="H31" s="758">
        <v>0</v>
      </c>
      <c r="I31" s="758"/>
      <c r="J31" s="764"/>
      <c r="K31" s="761">
        <f t="shared" si="1"/>
        <v>1432</v>
      </c>
    </row>
    <row r="32" spans="1:11" ht="12.75">
      <c r="A32" s="753">
        <v>2030</v>
      </c>
      <c r="B32" s="750"/>
      <c r="C32" s="743"/>
      <c r="D32" s="757">
        <v>1432</v>
      </c>
      <c r="E32" s="743"/>
      <c r="F32" s="763"/>
      <c r="G32" s="758"/>
      <c r="H32" s="758">
        <v>0</v>
      </c>
      <c r="I32" s="758"/>
      <c r="J32" s="764"/>
      <c r="K32" s="761">
        <f t="shared" si="1"/>
        <v>1432</v>
      </c>
    </row>
    <row r="33" spans="1:11" ht="12.75">
      <c r="A33" s="753">
        <v>2031</v>
      </c>
      <c r="B33" s="750"/>
      <c r="C33" s="743"/>
      <c r="D33" s="757">
        <v>1432</v>
      </c>
      <c r="E33" s="743"/>
      <c r="F33" s="763"/>
      <c r="G33" s="758"/>
      <c r="H33" s="758">
        <v>0</v>
      </c>
      <c r="I33" s="758"/>
      <c r="J33" s="764"/>
      <c r="K33" s="761">
        <f t="shared" si="1"/>
        <v>1432</v>
      </c>
    </row>
    <row r="34" spans="1:11" ht="12.75">
      <c r="A34" s="753">
        <v>2032</v>
      </c>
      <c r="B34" s="750"/>
      <c r="C34" s="743"/>
      <c r="D34" s="757">
        <v>1432</v>
      </c>
      <c r="E34" s="743"/>
      <c r="F34" s="763"/>
      <c r="G34" s="758"/>
      <c r="H34" s="758">
        <v>0</v>
      </c>
      <c r="I34" s="758"/>
      <c r="J34" s="764"/>
      <c r="K34" s="758">
        <f t="shared" si="1"/>
        <v>1432</v>
      </c>
    </row>
    <row r="35" spans="1:11" ht="12.75">
      <c r="A35" s="765">
        <v>2033</v>
      </c>
      <c r="B35" s="380"/>
      <c r="C35" s="380"/>
      <c r="D35" s="380">
        <v>717</v>
      </c>
      <c r="E35" s="380"/>
      <c r="F35" s="245"/>
      <c r="G35" s="766"/>
      <c r="H35" s="202">
        <v>0</v>
      </c>
      <c r="I35" s="766"/>
      <c r="J35" s="766"/>
      <c r="K35" s="767">
        <f t="shared" si="1"/>
        <v>717</v>
      </c>
    </row>
    <row r="36" spans="1:11" ht="12.75">
      <c r="A36" s="768"/>
      <c r="B36" s="37"/>
      <c r="C36" s="37"/>
      <c r="D36" s="37"/>
      <c r="E36" s="37"/>
      <c r="F36" s="37"/>
      <c r="G36" s="37"/>
      <c r="H36" s="37"/>
      <c r="I36" s="37"/>
      <c r="J36" s="37"/>
      <c r="K36" s="769"/>
    </row>
    <row r="37" spans="1:11" ht="12.75">
      <c r="A37" s="768"/>
      <c r="B37" s="37"/>
      <c r="C37" s="37"/>
      <c r="D37" s="37"/>
      <c r="E37" s="37"/>
      <c r="F37" s="37"/>
      <c r="G37" s="37"/>
      <c r="H37" s="37"/>
      <c r="I37" s="37"/>
      <c r="J37" s="37"/>
      <c r="K37" s="769"/>
    </row>
    <row r="38" spans="1:11" ht="12.75">
      <c r="A38" s="768"/>
      <c r="B38" s="37"/>
      <c r="C38" s="37"/>
      <c r="D38" s="37"/>
      <c r="E38" s="37"/>
      <c r="F38" s="37"/>
      <c r="G38" s="37"/>
      <c r="H38" s="37"/>
      <c r="I38" s="37"/>
      <c r="J38" s="37"/>
      <c r="K38" s="769"/>
    </row>
    <row r="39" spans="1:11" ht="12.75">
      <c r="A39" s="768"/>
      <c r="B39" s="37"/>
      <c r="C39" s="37"/>
      <c r="D39" s="37"/>
      <c r="E39" s="37"/>
      <c r="F39" s="37"/>
      <c r="G39" s="37"/>
      <c r="H39" s="37"/>
      <c r="I39" s="37"/>
      <c r="J39" s="37"/>
      <c r="K39" s="769"/>
    </row>
    <row r="40" spans="1:11" ht="12.75">
      <c r="A40" s="81" t="s">
        <v>750</v>
      </c>
      <c r="B40" s="770">
        <f>SUM(B11:B35)</f>
        <v>228749</v>
      </c>
      <c r="C40" s="770">
        <f aca="true" t="shared" si="2" ref="C40:K40">SUM(C11:C35)</f>
        <v>0</v>
      </c>
      <c r="D40" s="770">
        <f t="shared" si="2"/>
        <v>29000</v>
      </c>
      <c r="E40" s="770">
        <f t="shared" si="2"/>
        <v>50000</v>
      </c>
      <c r="F40" s="770">
        <f t="shared" si="2"/>
        <v>40000</v>
      </c>
      <c r="G40" s="770">
        <f t="shared" si="2"/>
        <v>1399</v>
      </c>
      <c r="H40" s="770">
        <f t="shared" si="2"/>
        <v>3005480</v>
      </c>
      <c r="I40" s="770">
        <f t="shared" si="2"/>
        <v>0</v>
      </c>
      <c r="J40" s="770">
        <f t="shared" si="2"/>
        <v>138693</v>
      </c>
      <c r="K40" s="770">
        <f t="shared" si="2"/>
        <v>3493321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/>
  <headerFooter alignWithMargins="0">
    <oddFooter>&amp;C                                                                               **     A kötvény visszafizetését a kibocsátáskori € árfolyamon számítva tartalmazza a táblázat.&amp;R&amp;P.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771" t="s">
        <v>751</v>
      </c>
    </row>
    <row r="5" spans="1:3" ht="15.75">
      <c r="A5" s="934" t="s">
        <v>752</v>
      </c>
      <c r="B5" s="934"/>
      <c r="C5" s="934"/>
    </row>
    <row r="6" spans="1:3" ht="15.75">
      <c r="A6" s="904" t="s">
        <v>753</v>
      </c>
      <c r="B6" s="904"/>
      <c r="C6" s="904"/>
    </row>
    <row r="7" spans="1:3" ht="15.75">
      <c r="A7" s="904" t="s">
        <v>754</v>
      </c>
      <c r="B7" s="904"/>
      <c r="C7" s="904"/>
    </row>
    <row r="8" spans="1:3" ht="15.75">
      <c r="A8" s="27"/>
      <c r="B8" s="27"/>
      <c r="C8" s="27"/>
    </row>
    <row r="12" ht="12.75">
      <c r="C12" s="416" t="s">
        <v>34</v>
      </c>
    </row>
    <row r="13" spans="1:3" ht="38.25">
      <c r="A13" s="517" t="s">
        <v>5</v>
      </c>
      <c r="B13" s="119" t="s">
        <v>755</v>
      </c>
      <c r="C13" s="772" t="s">
        <v>756</v>
      </c>
    </row>
    <row r="14" spans="1:3" ht="15">
      <c r="A14" s="692" t="s">
        <v>757</v>
      </c>
      <c r="B14" s="773">
        <v>5000</v>
      </c>
      <c r="C14" s="774" t="s">
        <v>758</v>
      </c>
    </row>
    <row r="15" spans="1:3" ht="15">
      <c r="A15" s="438" t="s">
        <v>759</v>
      </c>
      <c r="B15" s="775">
        <v>1000</v>
      </c>
      <c r="C15" s="776" t="s">
        <v>758</v>
      </c>
    </row>
    <row r="16" spans="1:3" ht="15">
      <c r="A16" s="438" t="s">
        <v>760</v>
      </c>
      <c r="B16" s="775">
        <v>0</v>
      </c>
      <c r="C16" s="776" t="s">
        <v>758</v>
      </c>
    </row>
    <row r="17" spans="1:3" ht="15">
      <c r="A17" s="693"/>
      <c r="B17" s="777"/>
      <c r="C17" s="778"/>
    </row>
    <row r="18" spans="1:3" ht="12.75">
      <c r="A18" s="298"/>
      <c r="B18" s="235"/>
      <c r="C18" s="779"/>
    </row>
    <row r="19" spans="1:3" ht="15.75">
      <c r="A19" s="417" t="s">
        <v>469</v>
      </c>
      <c r="B19" s="540">
        <f>SUM(B14:B17)</f>
        <v>6000</v>
      </c>
      <c r="C19" s="690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8.57421875" style="0" customWidth="1"/>
    <col min="2" max="2" width="22.7109375" style="0" customWidth="1"/>
  </cols>
  <sheetData>
    <row r="1" spans="1:2" ht="14.25">
      <c r="A1" s="780"/>
      <c r="B1" s="781" t="s">
        <v>761</v>
      </c>
    </row>
    <row r="2" spans="1:2" ht="12" customHeight="1">
      <c r="A2" s="780"/>
      <c r="B2" s="781"/>
    </row>
    <row r="3" spans="1:5" ht="15.75">
      <c r="A3" s="953" t="s">
        <v>752</v>
      </c>
      <c r="B3" s="953"/>
      <c r="C3" s="516"/>
      <c r="D3" s="516"/>
      <c r="E3" s="516"/>
    </row>
    <row r="4" spans="1:5" ht="15.75">
      <c r="A4" s="954" t="s">
        <v>762</v>
      </c>
      <c r="B4" s="954"/>
      <c r="C4" s="27"/>
      <c r="D4" s="27"/>
      <c r="E4" s="27"/>
    </row>
    <row r="5" spans="1:2" ht="12.75">
      <c r="A5" s="782"/>
      <c r="B5" s="783"/>
    </row>
    <row r="6" spans="1:2" ht="12.75">
      <c r="A6" s="782"/>
      <c r="B6" s="784" t="s">
        <v>34</v>
      </c>
    </row>
    <row r="7" spans="1:2" ht="12.75">
      <c r="A7" s="955" t="s">
        <v>763</v>
      </c>
      <c r="B7" s="956" t="s">
        <v>764</v>
      </c>
    </row>
    <row r="8" spans="1:2" ht="12.75">
      <c r="A8" s="955"/>
      <c r="B8" s="956"/>
    </row>
    <row r="9" spans="1:2" ht="15.75">
      <c r="A9" s="785" t="s">
        <v>765</v>
      </c>
      <c r="B9" s="786">
        <v>0</v>
      </c>
    </row>
    <row r="10" spans="1:2" ht="15.75">
      <c r="A10" s="787" t="s">
        <v>766</v>
      </c>
      <c r="B10" s="788"/>
    </row>
    <row r="11" spans="1:2" ht="15.75">
      <c r="A11" s="789" t="s">
        <v>767</v>
      </c>
      <c r="B11" s="790">
        <v>1200</v>
      </c>
    </row>
    <row r="12" spans="1:2" ht="15.75">
      <c r="A12" s="791"/>
      <c r="B12" s="792"/>
    </row>
    <row r="13" spans="1:2" ht="15.75">
      <c r="A13" s="793"/>
      <c r="B13" s="794"/>
    </row>
    <row r="14" spans="1:2" ht="15.75">
      <c r="A14" s="793" t="s">
        <v>768</v>
      </c>
      <c r="B14" s="790"/>
    </row>
    <row r="15" spans="1:2" ht="15.75">
      <c r="A15" s="793"/>
      <c r="B15" s="794"/>
    </row>
    <row r="16" spans="1:2" ht="31.5">
      <c r="A16" s="795" t="s">
        <v>769</v>
      </c>
      <c r="B16" s="796">
        <v>9300</v>
      </c>
    </row>
    <row r="17" spans="1:2" ht="15.75">
      <c r="A17" s="797" t="s">
        <v>770</v>
      </c>
      <c r="B17" s="798">
        <f>SUM(B10:B16)</f>
        <v>10500</v>
      </c>
    </row>
    <row r="18" spans="1:2" ht="12.75">
      <c r="A18" s="780"/>
      <c r="B18" s="780"/>
    </row>
    <row r="19" spans="1:2" ht="12.75">
      <c r="A19" s="957" t="s">
        <v>771</v>
      </c>
      <c r="B19" s="957"/>
    </row>
    <row r="20" spans="1:2" ht="12.75">
      <c r="A20" s="957" t="s">
        <v>772</v>
      </c>
      <c r="B20" s="957"/>
    </row>
    <row r="21" spans="1:2" ht="13.5" customHeight="1">
      <c r="A21" s="957" t="s">
        <v>773</v>
      </c>
      <c r="B21" s="957"/>
    </row>
    <row r="22" spans="1:2" ht="13.5" customHeight="1">
      <c r="A22" s="799" t="s">
        <v>774</v>
      </c>
      <c r="B22" s="799"/>
    </row>
    <row r="23" spans="1:2" ht="12.75">
      <c r="A23" s="780"/>
      <c r="B23" s="780"/>
    </row>
    <row r="24" spans="1:2" ht="12.75">
      <c r="A24" s="780" t="s">
        <v>775</v>
      </c>
      <c r="B24" s="780"/>
    </row>
    <row r="25" spans="1:2" ht="12.75">
      <c r="A25" s="780" t="s">
        <v>776</v>
      </c>
      <c r="B25" s="780"/>
    </row>
    <row r="26" spans="1:2" ht="12.75">
      <c r="A26" s="780"/>
      <c r="B26" s="780"/>
    </row>
    <row r="27" spans="1:2" ht="12.75">
      <c r="A27" s="780"/>
      <c r="B27" s="780"/>
    </row>
    <row r="28" spans="1:2" ht="12.75">
      <c r="A28" s="780"/>
      <c r="B28" s="780"/>
    </row>
    <row r="29" spans="1:2" ht="14.25">
      <c r="A29" s="780"/>
      <c r="B29" s="781" t="s">
        <v>777</v>
      </c>
    </row>
    <row r="30" spans="1:2" ht="14.25">
      <c r="A30" s="780"/>
      <c r="B30" s="800"/>
    </row>
    <row r="31" spans="1:2" ht="15.75">
      <c r="A31" s="953" t="s">
        <v>752</v>
      </c>
      <c r="B31" s="953"/>
    </row>
    <row r="32" spans="1:2" ht="15.75">
      <c r="A32" s="954" t="s">
        <v>778</v>
      </c>
      <c r="B32" s="954"/>
    </row>
    <row r="33" spans="1:2" ht="12.75">
      <c r="A33" s="958"/>
      <c r="B33" s="958"/>
    </row>
    <row r="34" spans="1:2" ht="12.75">
      <c r="A34" s="780"/>
      <c r="B34" s="783" t="s">
        <v>34</v>
      </c>
    </row>
    <row r="35" spans="1:2" ht="12.75">
      <c r="A35" s="801" t="s">
        <v>779</v>
      </c>
      <c r="B35" s="802" t="s">
        <v>780</v>
      </c>
    </row>
    <row r="36" spans="1:2" ht="12.75">
      <c r="A36" s="803" t="s">
        <v>781</v>
      </c>
      <c r="B36" s="804">
        <v>3191114</v>
      </c>
    </row>
    <row r="37" spans="1:2" ht="12.75">
      <c r="A37" s="803" t="s">
        <v>782</v>
      </c>
      <c r="B37" s="805">
        <f>'1_sz_ melléklet'!B29</f>
        <v>4471736</v>
      </c>
    </row>
    <row r="38" spans="1:2" ht="12.75">
      <c r="A38" s="803" t="s">
        <v>783</v>
      </c>
      <c r="B38" s="806">
        <f>'1_sz_ melléklet'!D29</f>
        <v>4471736</v>
      </c>
    </row>
    <row r="39" spans="1:2" ht="12.75">
      <c r="A39" s="807" t="s">
        <v>784</v>
      </c>
      <c r="B39" s="808">
        <f>B36+B37-B38</f>
        <v>3191114</v>
      </c>
    </row>
  </sheetData>
  <sheetProtection/>
  <mergeCells count="10">
    <mergeCell ref="A21:B21"/>
    <mergeCell ref="A31:B31"/>
    <mergeCell ref="A32:B32"/>
    <mergeCell ref="A33:B33"/>
    <mergeCell ref="A3:B3"/>
    <mergeCell ref="A4:B4"/>
    <mergeCell ref="A7:A8"/>
    <mergeCell ref="B7:B8"/>
    <mergeCell ref="A19:B19"/>
    <mergeCell ref="A20:B2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913" t="s">
        <v>785</v>
      </c>
      <c r="F1" s="913"/>
    </row>
    <row r="2" ht="15.75">
      <c r="C2" s="29" t="s">
        <v>786</v>
      </c>
    </row>
    <row r="3" spans="1:6" ht="12.75">
      <c r="A3" s="918" t="s">
        <v>787</v>
      </c>
      <c r="B3" s="918"/>
      <c r="C3" s="918"/>
      <c r="D3" s="918"/>
      <c r="E3" s="918"/>
      <c r="F3" s="918"/>
    </row>
    <row r="4" spans="2:4" ht="12.75">
      <c r="B4" s="515"/>
      <c r="C4" s="515" t="s">
        <v>788</v>
      </c>
      <c r="D4" s="515"/>
    </row>
    <row r="5" ht="12.75">
      <c r="F5" s="31" t="s">
        <v>34</v>
      </c>
    </row>
    <row r="6" spans="1:6" ht="12.75">
      <c r="A6" s="959" t="s">
        <v>789</v>
      </c>
      <c r="B6" s="960" t="s">
        <v>790</v>
      </c>
      <c r="C6" s="809" t="s">
        <v>791</v>
      </c>
      <c r="D6" s="810" t="s">
        <v>586</v>
      </c>
      <c r="E6" s="809" t="s">
        <v>792</v>
      </c>
      <c r="F6" s="811" t="s">
        <v>793</v>
      </c>
    </row>
    <row r="7" spans="1:6" ht="12.75">
      <c r="A7" s="959"/>
      <c r="B7" s="959"/>
      <c r="C7" s="686" t="s">
        <v>794</v>
      </c>
      <c r="D7" s="812" t="s">
        <v>795</v>
      </c>
      <c r="E7" s="686" t="s">
        <v>796</v>
      </c>
      <c r="F7" s="813" t="s">
        <v>797</v>
      </c>
    </row>
    <row r="8" spans="1:6" ht="12.75">
      <c r="A8" s="959"/>
      <c r="B8" s="960"/>
      <c r="C8" s="689" t="s">
        <v>798</v>
      </c>
      <c r="D8" s="814" t="s">
        <v>799</v>
      </c>
      <c r="E8" s="689" t="s">
        <v>799</v>
      </c>
      <c r="F8" s="815" t="s">
        <v>800</v>
      </c>
    </row>
    <row r="9" spans="1:6" ht="12.75">
      <c r="A9" s="88" t="s">
        <v>801</v>
      </c>
      <c r="B9" s="177" t="s">
        <v>802</v>
      </c>
      <c r="C9" s="69"/>
      <c r="D9" s="49"/>
      <c r="E9" s="69"/>
      <c r="F9" s="94"/>
    </row>
    <row r="10" spans="1:6" ht="12.75">
      <c r="A10" s="88" t="s">
        <v>801</v>
      </c>
      <c r="B10" s="479" t="s">
        <v>803</v>
      </c>
      <c r="C10" s="39"/>
      <c r="D10" s="40"/>
      <c r="E10" s="39"/>
      <c r="F10" s="56"/>
    </row>
    <row r="11" spans="1:6" ht="12.75">
      <c r="A11" s="88" t="s">
        <v>801</v>
      </c>
      <c r="B11" s="19" t="s">
        <v>804</v>
      </c>
      <c r="C11" s="48"/>
      <c r="D11" s="49"/>
      <c r="E11" s="48"/>
      <c r="F11" s="94"/>
    </row>
    <row r="12" spans="1:6" ht="12.75">
      <c r="A12" s="88" t="s">
        <v>801</v>
      </c>
      <c r="B12" s="479" t="s">
        <v>805</v>
      </c>
      <c r="C12" s="39"/>
      <c r="D12" s="40"/>
      <c r="E12" s="58"/>
      <c r="F12" s="59"/>
    </row>
    <row r="13" spans="1:6" ht="12.75">
      <c r="A13" s="88" t="s">
        <v>801</v>
      </c>
      <c r="B13" s="479"/>
      <c r="C13" s="39"/>
      <c r="D13" s="40"/>
      <c r="E13" s="39"/>
      <c r="F13" s="56"/>
    </row>
    <row r="14" spans="1:6" ht="12.75">
      <c r="A14" s="88" t="s">
        <v>801</v>
      </c>
      <c r="B14" s="8"/>
      <c r="C14" s="8"/>
      <c r="D14" s="349"/>
      <c r="E14" s="8"/>
      <c r="F14" s="360"/>
    </row>
    <row r="15" spans="1:6" ht="12.75">
      <c r="A15" s="88" t="s">
        <v>801</v>
      </c>
      <c r="B15" s="479"/>
      <c r="C15" s="39"/>
      <c r="D15" s="40"/>
      <c r="E15" s="39"/>
      <c r="F15" s="56"/>
    </row>
    <row r="16" spans="1:6" ht="12.75">
      <c r="A16" s="88" t="s">
        <v>801</v>
      </c>
      <c r="B16" s="479"/>
      <c r="C16" s="39"/>
      <c r="D16" s="40"/>
      <c r="E16" s="39"/>
      <c r="F16" s="56"/>
    </row>
    <row r="17" spans="1:6" ht="12.75">
      <c r="A17" s="88" t="s">
        <v>801</v>
      </c>
      <c r="B17" s="479"/>
      <c r="C17" s="39"/>
      <c r="D17" s="40"/>
      <c r="E17" s="39"/>
      <c r="F17" s="56"/>
    </row>
    <row r="18" spans="1:6" ht="12.75">
      <c r="A18" s="88" t="s">
        <v>801</v>
      </c>
      <c r="B18" s="8"/>
      <c r="C18" s="8"/>
      <c r="D18" s="349"/>
      <c r="E18" s="8"/>
      <c r="F18" s="360"/>
    </row>
    <row r="19" spans="1:6" ht="12.75">
      <c r="A19" s="298"/>
      <c r="B19" s="479"/>
      <c r="C19" s="39"/>
      <c r="D19" s="40"/>
      <c r="E19" s="39"/>
      <c r="F19" s="56"/>
    </row>
    <row r="20" spans="1:6" ht="12.75">
      <c r="A20" s="88"/>
      <c r="B20" s="479"/>
      <c r="C20" s="39"/>
      <c r="D20" s="40"/>
      <c r="E20" s="39"/>
      <c r="F20" s="56"/>
    </row>
    <row r="21" spans="1:6" ht="12.75">
      <c r="A21" s="251" t="s">
        <v>187</v>
      </c>
      <c r="B21" s="689" t="s">
        <v>806</v>
      </c>
      <c r="C21" s="190">
        <f>SUM(C9:C20)</f>
        <v>0</v>
      </c>
      <c r="D21" s="816">
        <f>SUM(D9:D20)</f>
        <v>0</v>
      </c>
      <c r="E21" s="190">
        <f>SUM(E9:E20)</f>
        <v>0</v>
      </c>
      <c r="F21" s="368">
        <f>SUM(F9:F20)</f>
        <v>0</v>
      </c>
    </row>
    <row r="22" spans="1:6" ht="12.75">
      <c r="A22" s="37"/>
      <c r="B22" s="812"/>
      <c r="C22" s="72"/>
      <c r="D22" s="72"/>
      <c r="E22" s="72"/>
      <c r="F22" s="72"/>
    </row>
    <row r="23" spans="5:6" ht="15">
      <c r="E23" s="913" t="s">
        <v>807</v>
      </c>
      <c r="F23" s="913"/>
    </row>
    <row r="24" spans="1:6" ht="15.75">
      <c r="A24" s="904" t="s">
        <v>808</v>
      </c>
      <c r="B24" s="904"/>
      <c r="C24" s="904"/>
      <c r="D24" s="904"/>
      <c r="E24" s="904"/>
      <c r="F24" s="904"/>
    </row>
    <row r="25" spans="1:6" ht="12.75">
      <c r="A25" s="918" t="s">
        <v>809</v>
      </c>
      <c r="B25" s="918"/>
      <c r="C25" s="918"/>
      <c r="D25" s="918"/>
      <c r="E25" s="918"/>
      <c r="F25" s="918"/>
    </row>
    <row r="26" spans="1:6" ht="12.75">
      <c r="A26" s="918" t="s">
        <v>810</v>
      </c>
      <c r="B26" s="918"/>
      <c r="C26" s="918"/>
      <c r="D26" s="918"/>
      <c r="E26" s="918"/>
      <c r="F26" s="918"/>
    </row>
    <row r="27" spans="2:6" ht="12.75">
      <c r="B27" s="515"/>
      <c r="C27" s="515"/>
      <c r="D27" s="515"/>
      <c r="F27" s="31" t="s">
        <v>34</v>
      </c>
    </row>
    <row r="28" spans="1:6" ht="12.75">
      <c r="A28" s="961" t="s">
        <v>811</v>
      </c>
      <c r="B28" s="961"/>
      <c r="C28" s="809" t="s">
        <v>812</v>
      </c>
      <c r="D28" s="810" t="s">
        <v>813</v>
      </c>
      <c r="E28" s="809" t="s">
        <v>814</v>
      </c>
      <c r="F28" s="811" t="s">
        <v>815</v>
      </c>
    </row>
    <row r="29" spans="1:6" ht="12.75">
      <c r="A29" s="961"/>
      <c r="B29" s="961"/>
      <c r="C29" s="686" t="s">
        <v>794</v>
      </c>
      <c r="D29" s="812" t="s">
        <v>816</v>
      </c>
      <c r="E29" s="686" t="s">
        <v>817</v>
      </c>
      <c r="F29" s="813" t="s">
        <v>818</v>
      </c>
    </row>
    <row r="30" spans="1:6" ht="12.75">
      <c r="A30" s="961"/>
      <c r="B30" s="961"/>
      <c r="C30" s="689" t="s">
        <v>819</v>
      </c>
      <c r="D30" s="814" t="s">
        <v>820</v>
      </c>
      <c r="E30" s="689" t="s">
        <v>799</v>
      </c>
      <c r="F30" s="815" t="s">
        <v>821</v>
      </c>
    </row>
    <row r="31" spans="1:6" ht="12.75">
      <c r="A31" s="377"/>
      <c r="B31" s="817"/>
      <c r="C31" s="177"/>
      <c r="D31" s="178"/>
      <c r="E31" s="177"/>
      <c r="F31" s="817"/>
    </row>
    <row r="32" spans="1:6" ht="12.75">
      <c r="A32" s="87"/>
      <c r="B32" s="687"/>
      <c r="C32" s="19"/>
      <c r="D32" s="685"/>
      <c r="E32" s="19"/>
      <c r="F32" s="687"/>
    </row>
    <row r="33" spans="1:6" ht="12.75">
      <c r="A33" s="87"/>
      <c r="B33" s="687"/>
      <c r="C33" s="19"/>
      <c r="D33" s="685"/>
      <c r="E33" s="19"/>
      <c r="F33" s="687"/>
    </row>
    <row r="34" spans="1:6" ht="12.75">
      <c r="A34" s="87"/>
      <c r="B34" s="687"/>
      <c r="C34" s="19"/>
      <c r="D34" s="685"/>
      <c r="E34" s="19"/>
      <c r="F34" s="687"/>
    </row>
    <row r="35" spans="1:6" ht="12.75">
      <c r="A35" s="194"/>
      <c r="B35" s="425"/>
      <c r="C35" s="65"/>
      <c r="D35" s="37"/>
      <c r="E35" s="65"/>
      <c r="F35" s="425"/>
    </row>
    <row r="36" spans="1:6" ht="12.75">
      <c r="A36" s="90" t="s">
        <v>187</v>
      </c>
      <c r="B36" s="818"/>
      <c r="C36" s="169"/>
      <c r="D36" s="354"/>
      <c r="E36" s="169"/>
      <c r="F36" s="690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723" t="s">
        <v>822</v>
      </c>
    </row>
    <row r="2" ht="14.25">
      <c r="C2" s="333"/>
    </row>
    <row r="3" spans="1:3" ht="15.75">
      <c r="A3" s="934" t="s">
        <v>752</v>
      </c>
      <c r="B3" s="934"/>
      <c r="C3" s="934"/>
    </row>
    <row r="4" spans="1:3" ht="15.75">
      <c r="A4" s="904" t="s">
        <v>823</v>
      </c>
      <c r="B4" s="904"/>
      <c r="C4" s="904"/>
    </row>
    <row r="5" spans="1:3" ht="15.75">
      <c r="A5" s="904" t="s">
        <v>2</v>
      </c>
      <c r="B5" s="904"/>
      <c r="C5" s="904"/>
    </row>
    <row r="6" spans="1:3" ht="15.75">
      <c r="A6" s="27"/>
      <c r="B6" s="27"/>
      <c r="C6" s="27"/>
    </row>
    <row r="7" ht="12.75">
      <c r="C7" s="819" t="s">
        <v>81</v>
      </c>
    </row>
    <row r="8" spans="1:3" ht="15.75">
      <c r="A8" s="962" t="s">
        <v>824</v>
      </c>
      <c r="B8" s="84" t="s">
        <v>825</v>
      </c>
      <c r="C8" s="820"/>
    </row>
    <row r="9" spans="1:3" ht="15.75">
      <c r="A9" s="962"/>
      <c r="B9" s="821" t="s">
        <v>826</v>
      </c>
      <c r="C9" s="409" t="s">
        <v>827</v>
      </c>
    </row>
    <row r="10" spans="1:3" ht="15">
      <c r="A10" s="692" t="s">
        <v>765</v>
      </c>
      <c r="B10" s="727"/>
      <c r="C10" s="727"/>
    </row>
    <row r="11" spans="1:3" ht="15">
      <c r="A11" s="692" t="s">
        <v>828</v>
      </c>
      <c r="B11" s="727"/>
      <c r="C11" s="727"/>
    </row>
    <row r="12" spans="1:3" ht="15">
      <c r="A12" s="692"/>
      <c r="B12" s="727"/>
      <c r="C12" s="727"/>
    </row>
    <row r="13" spans="1:3" ht="15">
      <c r="A13" s="692"/>
      <c r="B13" s="727"/>
      <c r="C13" s="727"/>
    </row>
    <row r="14" spans="1:3" ht="15">
      <c r="A14" s="692"/>
      <c r="B14" s="727"/>
      <c r="C14" s="727"/>
    </row>
    <row r="15" spans="1:3" ht="15">
      <c r="A15" s="822"/>
      <c r="B15" s="823"/>
      <c r="C15" s="823"/>
    </row>
    <row r="16" spans="1:3" ht="15.75">
      <c r="A16" s="417" t="s">
        <v>187</v>
      </c>
      <c r="B16" s="824"/>
      <c r="C16" s="824"/>
    </row>
    <row r="17" spans="1:2" ht="12.75">
      <c r="A17" s="326"/>
      <c r="B17" s="37"/>
    </row>
    <row r="18" spans="1:2" ht="12.75">
      <c r="A18" s="326"/>
      <c r="B18" s="37"/>
    </row>
    <row r="19" ht="15">
      <c r="C19" s="723" t="s">
        <v>829</v>
      </c>
    </row>
    <row r="21" spans="1:3" ht="15.75">
      <c r="A21" s="934" t="s">
        <v>752</v>
      </c>
      <c r="B21" s="934"/>
      <c r="C21" s="934"/>
    </row>
    <row r="22" spans="1:3" ht="15.75">
      <c r="A22" s="904" t="s">
        <v>830</v>
      </c>
      <c r="B22" s="904"/>
      <c r="C22" s="904"/>
    </row>
    <row r="23" spans="1:3" ht="15.75">
      <c r="A23" s="904" t="s">
        <v>2</v>
      </c>
      <c r="B23" s="904"/>
      <c r="C23" s="904"/>
    </row>
    <row r="25" ht="12.75">
      <c r="C25" s="819" t="s">
        <v>831</v>
      </c>
    </row>
    <row r="26" spans="1:3" ht="15.75">
      <c r="A26" s="962" t="s">
        <v>5</v>
      </c>
      <c r="B26" s="84" t="s">
        <v>825</v>
      </c>
      <c r="C26" s="825"/>
    </row>
    <row r="27" spans="1:3" ht="15.75">
      <c r="A27" s="962"/>
      <c r="B27" s="826" t="s">
        <v>826</v>
      </c>
      <c r="C27" s="409" t="s">
        <v>832</v>
      </c>
    </row>
    <row r="28" spans="1:3" ht="15">
      <c r="A28" s="827" t="s">
        <v>833</v>
      </c>
      <c r="B28" s="434"/>
      <c r="C28" s="827"/>
    </row>
    <row r="29" spans="1:3" ht="15">
      <c r="A29" s="727" t="s">
        <v>834</v>
      </c>
      <c r="B29" s="828"/>
      <c r="C29" s="727"/>
    </row>
    <row r="30" spans="1:3" ht="15">
      <c r="A30" s="727" t="s">
        <v>835</v>
      </c>
      <c r="B30" s="828"/>
      <c r="C30" s="727"/>
    </row>
    <row r="31" spans="1:3" ht="15">
      <c r="A31" s="829" t="s">
        <v>836</v>
      </c>
      <c r="B31" s="830"/>
      <c r="C31" s="829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4.00390625" style="0" customWidth="1"/>
    <col min="2" max="2" width="8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3:20" ht="12.75">
      <c r="C1" s="545"/>
      <c r="D1" s="545"/>
      <c r="E1" s="545"/>
      <c r="F1" s="545"/>
      <c r="G1" s="545"/>
      <c r="H1" s="545"/>
      <c r="I1" s="545"/>
      <c r="J1" s="545"/>
      <c r="K1" s="545"/>
      <c r="L1" s="545" t="s">
        <v>837</v>
      </c>
      <c r="M1" s="545"/>
      <c r="N1" s="545"/>
      <c r="O1" s="657"/>
      <c r="P1" s="657"/>
      <c r="Q1" s="657"/>
      <c r="R1" s="657"/>
      <c r="T1" s="657"/>
    </row>
    <row r="2" spans="15:20" ht="12.75">
      <c r="O2" s="831"/>
      <c r="P2" s="831"/>
      <c r="Q2" s="831"/>
      <c r="R2" s="831"/>
      <c r="T2" s="657"/>
    </row>
    <row r="3" spans="1:20" ht="18">
      <c r="A3" s="942" t="s">
        <v>838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T3" s="657"/>
    </row>
    <row r="4" spans="15:20" ht="12.75">
      <c r="O4" s="832"/>
      <c r="P4" s="832"/>
      <c r="Q4" s="832"/>
      <c r="R4" s="832"/>
      <c r="T4" s="657"/>
    </row>
    <row r="5" spans="1:20" ht="15.75">
      <c r="A5" s="657"/>
      <c r="B5" s="657"/>
      <c r="C5" s="833"/>
      <c r="D5" s="833"/>
      <c r="E5" s="833"/>
      <c r="F5" s="833"/>
      <c r="G5" s="833"/>
      <c r="H5" s="833"/>
      <c r="I5" s="833"/>
      <c r="J5" s="833"/>
      <c r="K5" s="833"/>
      <c r="L5" s="833" t="s">
        <v>384</v>
      </c>
      <c r="M5" s="833"/>
      <c r="N5" s="833"/>
      <c r="T5" s="657"/>
    </row>
    <row r="6" spans="1:20" ht="12.75">
      <c r="A6" s="834" t="s">
        <v>5</v>
      </c>
      <c r="B6" s="835">
        <v>2010</v>
      </c>
      <c r="C6" s="834">
        <v>2011</v>
      </c>
      <c r="D6" s="835">
        <v>2012</v>
      </c>
      <c r="E6" s="834">
        <v>2013</v>
      </c>
      <c r="F6" s="835">
        <v>2014</v>
      </c>
      <c r="G6" s="834">
        <v>2015</v>
      </c>
      <c r="H6" s="834">
        <v>2016</v>
      </c>
      <c r="I6" s="834">
        <v>2017</v>
      </c>
      <c r="J6" s="834">
        <v>2018</v>
      </c>
      <c r="K6" s="834">
        <v>2019</v>
      </c>
      <c r="L6" s="834">
        <v>2020</v>
      </c>
      <c r="M6" s="834">
        <v>2021</v>
      </c>
      <c r="N6" s="834" t="s">
        <v>40</v>
      </c>
      <c r="T6" s="657"/>
    </row>
    <row r="7" spans="1:20" ht="45.75" customHeight="1">
      <c r="A7" s="836" t="s">
        <v>839</v>
      </c>
      <c r="B7" s="837">
        <v>31656</v>
      </c>
      <c r="C7" s="838">
        <v>31656</v>
      </c>
      <c r="D7" s="839">
        <v>31656</v>
      </c>
      <c r="E7" s="840">
        <v>2638</v>
      </c>
      <c r="F7" s="839">
        <v>0</v>
      </c>
      <c r="G7" s="840">
        <v>0</v>
      </c>
      <c r="H7" s="841">
        <v>0</v>
      </c>
      <c r="I7" s="841">
        <v>0</v>
      </c>
      <c r="J7" s="841">
        <v>0</v>
      </c>
      <c r="K7" s="841">
        <v>0</v>
      </c>
      <c r="L7" s="841">
        <v>0</v>
      </c>
      <c r="M7" s="841">
        <v>0</v>
      </c>
      <c r="N7" s="841">
        <f>SUM(B7:M7)</f>
        <v>97606</v>
      </c>
      <c r="T7" s="657"/>
    </row>
    <row r="8" spans="1:20" ht="38.25" customHeight="1">
      <c r="A8" s="836"/>
      <c r="B8" s="842"/>
      <c r="C8" s="842"/>
      <c r="D8" s="843"/>
      <c r="E8" s="844"/>
      <c r="F8" s="843"/>
      <c r="G8" s="844"/>
      <c r="H8" s="845"/>
      <c r="I8" s="845"/>
      <c r="J8" s="845"/>
      <c r="K8" s="845"/>
      <c r="L8" s="845"/>
      <c r="M8" s="845"/>
      <c r="N8" s="845"/>
      <c r="T8" s="657"/>
    </row>
    <row r="9" spans="1:20" ht="32.25" customHeight="1">
      <c r="A9" s="836"/>
      <c r="B9" s="846"/>
      <c r="C9" s="847"/>
      <c r="D9" s="848"/>
      <c r="E9" s="849"/>
      <c r="F9" s="848"/>
      <c r="G9" s="849"/>
      <c r="H9" s="841"/>
      <c r="I9" s="841"/>
      <c r="J9" s="841"/>
      <c r="K9" s="841"/>
      <c r="L9" s="841"/>
      <c r="M9" s="841"/>
      <c r="N9" s="841"/>
      <c r="T9" s="657"/>
    </row>
    <row r="10" spans="1:20" ht="15.75">
      <c r="A10" s="850" t="s">
        <v>840</v>
      </c>
      <c r="B10" s="851">
        <f>SUM(B7:B7)</f>
        <v>31656</v>
      </c>
      <c r="C10" s="851">
        <f>SUM(C7:C7)</f>
        <v>31656</v>
      </c>
      <c r="D10" s="852">
        <f>SUM(D7:D7)</f>
        <v>31656</v>
      </c>
      <c r="E10" s="853">
        <f>SUM(E7:E7)</f>
        <v>2638</v>
      </c>
      <c r="F10" s="854">
        <f>SUM(F7:F7)</f>
        <v>0</v>
      </c>
      <c r="G10" s="855">
        <f aca="true" t="shared" si="0" ref="G10:M10">SUM(F7:F7)</f>
        <v>0</v>
      </c>
      <c r="H10" s="855">
        <f t="shared" si="0"/>
        <v>0</v>
      </c>
      <c r="I10" s="855">
        <f t="shared" si="0"/>
        <v>0</v>
      </c>
      <c r="J10" s="855">
        <f t="shared" si="0"/>
        <v>0</v>
      </c>
      <c r="K10" s="855">
        <f t="shared" si="0"/>
        <v>0</v>
      </c>
      <c r="L10" s="855">
        <f t="shared" si="0"/>
        <v>0</v>
      </c>
      <c r="M10" s="855">
        <f t="shared" si="0"/>
        <v>0</v>
      </c>
      <c r="N10" s="855">
        <f>SUM(N7:N9)</f>
        <v>97606</v>
      </c>
      <c r="T10" s="657"/>
    </row>
    <row r="11" spans="1:20" ht="12.75">
      <c r="A11" s="657"/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T11" s="657"/>
    </row>
    <row r="12" spans="1:20" ht="12.75">
      <c r="A12" s="657"/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T12" s="657"/>
    </row>
    <row r="13" spans="1:20" ht="12.75">
      <c r="A13" s="657"/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T13" s="856"/>
    </row>
    <row r="14" spans="1:14" ht="12.75">
      <c r="A14" s="657"/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</row>
    <row r="15" spans="1:20" ht="32.25" customHeight="1">
      <c r="A15" s="963" t="s">
        <v>841</v>
      </c>
      <c r="B15" s="963"/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T15" s="832"/>
    </row>
    <row r="17" spans="1:14" ht="12.75">
      <c r="A17" s="832"/>
      <c r="B17" s="832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</row>
    <row r="20" ht="39.75" customHeight="1"/>
    <row r="22" ht="25.5" customHeight="1"/>
  </sheetData>
  <sheetProtection/>
  <mergeCells count="2">
    <mergeCell ref="A3:N3"/>
    <mergeCell ref="A15:N1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3">
      <selection activeCell="A52" sqref="A52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26"/>
      <c r="B1" s="26"/>
      <c r="C1" s="905" t="s">
        <v>78</v>
      </c>
      <c r="D1" s="905"/>
    </row>
    <row r="2" spans="1:4" ht="15.75">
      <c r="A2" s="904" t="s">
        <v>79</v>
      </c>
      <c r="B2" s="904"/>
      <c r="C2" s="904"/>
      <c r="D2" s="904"/>
    </row>
    <row r="3" spans="1:4" ht="15.75">
      <c r="A3" s="904" t="s">
        <v>80</v>
      </c>
      <c r="B3" s="904"/>
      <c r="C3" s="904"/>
      <c r="D3" s="904"/>
    </row>
    <row r="4" ht="6.75" customHeight="1"/>
    <row r="5" ht="12.75">
      <c r="D5" s="31" t="s">
        <v>81</v>
      </c>
    </row>
    <row r="6" spans="1:4" ht="29.25" customHeight="1">
      <c r="A6" s="84" t="s">
        <v>82</v>
      </c>
      <c r="B6" s="85" t="s">
        <v>83</v>
      </c>
      <c r="C6" s="85" t="s">
        <v>84</v>
      </c>
      <c r="D6" s="86" t="s">
        <v>85</v>
      </c>
    </row>
    <row r="7" spans="1:4" ht="12.75">
      <c r="A7" s="68" t="s">
        <v>43</v>
      </c>
      <c r="B7" s="69"/>
      <c r="C7" s="52"/>
      <c r="D7" s="52"/>
    </row>
    <row r="8" spans="1:4" ht="12.75">
      <c r="A8" s="70" t="s">
        <v>44</v>
      </c>
      <c r="B8" s="39">
        <v>154260</v>
      </c>
      <c r="C8" s="39">
        <v>199029</v>
      </c>
      <c r="D8" s="39">
        <f>SUM(B8:C8)</f>
        <v>353289</v>
      </c>
    </row>
    <row r="9" spans="1:4" ht="12.75">
      <c r="A9" s="87" t="s">
        <v>45</v>
      </c>
      <c r="B9" s="39">
        <v>48053</v>
      </c>
      <c r="C9" s="48">
        <v>60938</v>
      </c>
      <c r="D9" s="39">
        <f aca="true" t="shared" si="0" ref="D9:D15">SUM(B9:C9)</f>
        <v>108991</v>
      </c>
    </row>
    <row r="10" spans="1:4" ht="12.75">
      <c r="A10" s="87" t="s">
        <v>46</v>
      </c>
      <c r="B10" s="39">
        <v>123252</v>
      </c>
      <c r="C10" s="48">
        <v>20578</v>
      </c>
      <c r="D10" s="39">
        <f t="shared" si="0"/>
        <v>143830</v>
      </c>
    </row>
    <row r="11" spans="1:4" ht="12.75">
      <c r="A11" s="87" t="s">
        <v>86</v>
      </c>
      <c r="B11" s="48">
        <v>0</v>
      </c>
      <c r="C11" s="48">
        <v>0</v>
      </c>
      <c r="D11" s="39">
        <f t="shared" si="0"/>
        <v>0</v>
      </c>
    </row>
    <row r="12" spans="1:4" ht="12.75">
      <c r="A12" s="87" t="s">
        <v>48</v>
      </c>
      <c r="B12" s="39">
        <v>0</v>
      </c>
      <c r="C12" s="48"/>
      <c r="D12" s="39">
        <f t="shared" si="0"/>
        <v>0</v>
      </c>
    </row>
    <row r="13" spans="1:4" ht="12.75">
      <c r="A13" s="88" t="s">
        <v>87</v>
      </c>
      <c r="B13" s="39">
        <v>0</v>
      </c>
      <c r="C13" s="48">
        <v>0</v>
      </c>
      <c r="D13" s="39">
        <f t="shared" si="0"/>
        <v>0</v>
      </c>
    </row>
    <row r="14" spans="1:4" ht="12.75">
      <c r="A14" s="88" t="s">
        <v>88</v>
      </c>
      <c r="B14" s="39"/>
      <c r="C14" s="48"/>
      <c r="D14" s="39">
        <f t="shared" si="0"/>
        <v>0</v>
      </c>
    </row>
    <row r="15" spans="1:4" ht="12.75">
      <c r="A15" s="89" t="s">
        <v>89</v>
      </c>
      <c r="B15" s="39">
        <v>0</v>
      </c>
      <c r="C15" s="39">
        <v>0</v>
      </c>
      <c r="D15" s="39">
        <f t="shared" si="0"/>
        <v>0</v>
      </c>
    </row>
    <row r="16" spans="1:4" s="91" customFormat="1" ht="12.75">
      <c r="A16" s="90" t="s">
        <v>90</v>
      </c>
      <c r="B16" s="16">
        <f>SUM(B8:B13)</f>
        <v>325565</v>
      </c>
      <c r="C16" s="16">
        <f>SUM(C8:C13)</f>
        <v>280545</v>
      </c>
      <c r="D16" s="16">
        <f>SUM(D8:D13)</f>
        <v>606110</v>
      </c>
    </row>
    <row r="17" spans="1:4" ht="12.75">
      <c r="A17" s="66"/>
      <c r="B17" s="52"/>
      <c r="C17" s="92"/>
      <c r="D17" s="64"/>
    </row>
    <row r="18" spans="1:4" ht="12.75">
      <c r="A18" s="93" t="s">
        <v>52</v>
      </c>
      <c r="B18" s="48"/>
      <c r="C18" s="94"/>
      <c r="D18" s="48"/>
    </row>
    <row r="19" spans="1:4" ht="12.75">
      <c r="A19" s="87" t="s">
        <v>53</v>
      </c>
      <c r="B19" s="39"/>
      <c r="C19" s="94"/>
      <c r="D19" s="48">
        <f>SUM(B19:C19)</f>
        <v>0</v>
      </c>
    </row>
    <row r="20" spans="1:4" ht="12.75">
      <c r="A20" s="87" t="s">
        <v>91</v>
      </c>
      <c r="B20" s="39">
        <v>0</v>
      </c>
      <c r="C20" s="94">
        <v>0</v>
      </c>
      <c r="D20" s="48">
        <f>SUM(B20:C20)</f>
        <v>0</v>
      </c>
    </row>
    <row r="21" spans="1:4" ht="12.75">
      <c r="A21" s="87" t="s">
        <v>55</v>
      </c>
      <c r="B21" s="39">
        <v>0</v>
      </c>
      <c r="C21" s="94">
        <v>0</v>
      </c>
      <c r="D21" s="48">
        <f>SUM(B21:C21)</f>
        <v>0</v>
      </c>
    </row>
    <row r="22" spans="1:4" ht="12.75">
      <c r="A22" s="95" t="s">
        <v>56</v>
      </c>
      <c r="B22" s="48">
        <f>-B11</f>
        <v>0</v>
      </c>
      <c r="C22" s="48">
        <f>-C11</f>
        <v>0</v>
      </c>
      <c r="D22" s="48">
        <f>SUM(B22:C22)</f>
        <v>0</v>
      </c>
    </row>
    <row r="23" spans="1:4" s="91" customFormat="1" ht="12.75">
      <c r="A23" s="90" t="s">
        <v>92</v>
      </c>
      <c r="B23" s="16">
        <f>SUM(B19:B22)</f>
        <v>0</v>
      </c>
      <c r="C23" s="16">
        <f>SUM(C19:C22)</f>
        <v>0</v>
      </c>
      <c r="D23" s="16">
        <f>SUM(D19:D22)</f>
        <v>0</v>
      </c>
    </row>
    <row r="24" spans="1:4" ht="12.75">
      <c r="A24" s="96"/>
      <c r="B24" s="52"/>
      <c r="C24" s="72"/>
      <c r="D24" s="52"/>
    </row>
    <row r="25" spans="1:4" ht="12.75">
      <c r="A25" s="96" t="s">
        <v>93</v>
      </c>
      <c r="B25" s="64"/>
      <c r="C25" s="72"/>
      <c r="D25" s="64"/>
    </row>
    <row r="26" spans="1:4" ht="12.75">
      <c r="A26" s="97" t="s">
        <v>59</v>
      </c>
      <c r="B26" s="39"/>
      <c r="C26" s="40">
        <v>0</v>
      </c>
      <c r="D26" s="39">
        <f>SUM(B26:C26)</f>
        <v>0</v>
      </c>
    </row>
    <row r="27" spans="1:4" ht="12.75">
      <c r="A27" s="98" t="s">
        <v>60</v>
      </c>
      <c r="B27" s="78">
        <v>0</v>
      </c>
      <c r="C27" s="72">
        <v>0</v>
      </c>
      <c r="D27" s="39">
        <f>SUM(B27:C27)</f>
        <v>0</v>
      </c>
    </row>
    <row r="28" spans="1:4" s="91" customFormat="1" ht="12.75">
      <c r="A28" s="90" t="s">
        <v>94</v>
      </c>
      <c r="B28" s="16">
        <f>SUM(B26:B27)</f>
        <v>0</v>
      </c>
      <c r="C28" s="61">
        <f>SUM(C26:C27)</f>
        <v>0</v>
      </c>
      <c r="D28" s="61">
        <f>SUM(D26:D27)</f>
        <v>0</v>
      </c>
    </row>
    <row r="29" spans="1:4" ht="12.75">
      <c r="A29" s="96"/>
      <c r="B29" s="64"/>
      <c r="C29" s="64"/>
      <c r="D29" s="64"/>
    </row>
    <row r="30" spans="1:4" ht="12.75">
      <c r="A30" s="99" t="s">
        <v>95</v>
      </c>
      <c r="B30" s="64"/>
      <c r="C30" s="64"/>
      <c r="D30" s="64"/>
    </row>
    <row r="31" spans="1:4" ht="12.75">
      <c r="A31" s="97" t="s">
        <v>59</v>
      </c>
      <c r="B31" s="39">
        <v>0</v>
      </c>
      <c r="C31" s="39">
        <v>0</v>
      </c>
      <c r="D31" s="39">
        <f>SUM(B31:C31)</f>
        <v>0</v>
      </c>
    </row>
    <row r="32" spans="1:4" ht="12.75">
      <c r="A32" s="100" t="s">
        <v>60</v>
      </c>
      <c r="B32" s="58">
        <v>0</v>
      </c>
      <c r="C32" s="58">
        <v>0</v>
      </c>
      <c r="D32" s="39">
        <f>SUM(B32:C32)</f>
        <v>0</v>
      </c>
    </row>
    <row r="33" spans="1:4" ht="12.75">
      <c r="A33" s="90" t="s">
        <v>96</v>
      </c>
      <c r="B33" s="16">
        <f>B31+B32</f>
        <v>0</v>
      </c>
      <c r="C33" s="61">
        <f>C31+C32</f>
        <v>0</v>
      </c>
      <c r="D33" s="61">
        <f>D31+D32</f>
        <v>0</v>
      </c>
    </row>
    <row r="34" spans="1:4" ht="12.75">
      <c r="A34" s="96"/>
      <c r="B34" s="64"/>
      <c r="C34" s="64"/>
      <c r="D34" s="64"/>
    </row>
    <row r="35" spans="1:4" ht="12.75">
      <c r="A35" s="101" t="s">
        <v>64</v>
      </c>
      <c r="B35" s="78"/>
      <c r="C35" s="78"/>
      <c r="D35" s="78"/>
    </row>
    <row r="36" spans="1:4" ht="12.75">
      <c r="A36" s="70" t="s">
        <v>97</v>
      </c>
      <c r="B36" s="48">
        <v>0</v>
      </c>
      <c r="C36" s="48">
        <v>0</v>
      </c>
      <c r="D36" s="48">
        <f>SUM(B36:C36)</f>
        <v>0</v>
      </c>
    </row>
    <row r="37" spans="1:4" ht="12.75">
      <c r="A37" s="102" t="s">
        <v>98</v>
      </c>
      <c r="B37" s="78">
        <v>0</v>
      </c>
      <c r="C37" s="78">
        <v>0</v>
      </c>
      <c r="D37" s="39">
        <f>SUM(B37:C37)</f>
        <v>0</v>
      </c>
    </row>
    <row r="38" spans="1:4" ht="12.75">
      <c r="A38" s="66" t="s">
        <v>99</v>
      </c>
      <c r="B38" s="16">
        <f>B36+B37</f>
        <v>0</v>
      </c>
      <c r="C38" s="61">
        <f>C36+C37</f>
        <v>0</v>
      </c>
      <c r="D38" s="61">
        <f>D36+D37</f>
        <v>0</v>
      </c>
    </row>
    <row r="39" spans="1:4" ht="12.75">
      <c r="A39" s="66"/>
      <c r="B39" s="52"/>
      <c r="C39" s="52"/>
      <c r="D39" s="52"/>
    </row>
    <row r="40" spans="1:4" ht="12.75">
      <c r="A40" s="103" t="s">
        <v>68</v>
      </c>
      <c r="B40" s="39"/>
      <c r="C40" s="39"/>
      <c r="D40" s="39"/>
    </row>
    <row r="41" spans="1:4" ht="12.75">
      <c r="A41" s="70" t="s">
        <v>69</v>
      </c>
      <c r="B41" s="48">
        <v>0</v>
      </c>
      <c r="C41" s="39">
        <v>0</v>
      </c>
      <c r="D41" s="39">
        <f>SUM(B41:C41)</f>
        <v>0</v>
      </c>
    </row>
    <row r="42" spans="1:4" ht="12.75">
      <c r="A42" s="71" t="s">
        <v>70</v>
      </c>
      <c r="B42" s="48">
        <v>0</v>
      </c>
      <c r="C42" s="64">
        <v>0</v>
      </c>
      <c r="D42" s="39">
        <f>SUM(B42:C42)</f>
        <v>0</v>
      </c>
    </row>
    <row r="43" spans="1:4" ht="12.75">
      <c r="A43" s="90" t="s">
        <v>71</v>
      </c>
      <c r="B43" s="60">
        <f>B41+B42</f>
        <v>0</v>
      </c>
      <c r="C43" s="60">
        <f>C41+C42</f>
        <v>0</v>
      </c>
      <c r="D43" s="16">
        <f>D41+D42</f>
        <v>0</v>
      </c>
    </row>
    <row r="44" spans="1:4" ht="11.25" customHeight="1">
      <c r="A44" s="90"/>
      <c r="B44" s="104"/>
      <c r="C44" s="52"/>
      <c r="D44" s="52"/>
    </row>
    <row r="45" spans="1:4" s="91" customFormat="1" ht="12.75">
      <c r="A45" s="105" t="s">
        <v>100</v>
      </c>
      <c r="B45" s="106">
        <f>B43+B38+B33+B28+B23+B16</f>
        <v>325565</v>
      </c>
      <c r="C45" s="16">
        <f>SUM(C43+C38+C33+C28+C23+C16)</f>
        <v>280545</v>
      </c>
      <c r="D45" s="16">
        <f>SUM(D43+D38+D33+D28+D23+D16)</f>
        <v>606110</v>
      </c>
    </row>
    <row r="46" spans="1:4" ht="12.75" customHeight="1">
      <c r="A46" s="107"/>
      <c r="B46" s="108"/>
      <c r="C46" s="67"/>
      <c r="D46" s="67"/>
    </row>
    <row r="47" spans="1:4" ht="12.75">
      <c r="A47" s="68" t="s">
        <v>101</v>
      </c>
      <c r="B47" s="109"/>
      <c r="C47" s="69"/>
      <c r="D47" s="110"/>
    </row>
    <row r="48" spans="1:4" s="81" customFormat="1" ht="12.75">
      <c r="A48" s="70" t="s">
        <v>74</v>
      </c>
      <c r="B48" s="111">
        <v>0</v>
      </c>
      <c r="C48" s="20">
        <v>0</v>
      </c>
      <c r="D48" s="112">
        <v>0</v>
      </c>
    </row>
    <row r="49" spans="1:4" s="81" customFormat="1" ht="12.75">
      <c r="A49" s="113" t="s">
        <v>102</v>
      </c>
      <c r="B49" s="114">
        <v>0</v>
      </c>
      <c r="C49" s="115">
        <v>0</v>
      </c>
      <c r="D49" s="116">
        <v>0</v>
      </c>
    </row>
    <row r="50" spans="1:4" ht="12.75">
      <c r="A50" s="90" t="s">
        <v>76</v>
      </c>
      <c r="B50" s="60">
        <f>B48+B49</f>
        <v>0</v>
      </c>
      <c r="C50" s="16">
        <f>C48+C49</f>
        <v>0</v>
      </c>
      <c r="D50" s="16">
        <f>D48+D49</f>
        <v>0</v>
      </c>
    </row>
    <row r="51" spans="1:4" ht="12.75">
      <c r="A51" s="96"/>
      <c r="B51" s="51"/>
      <c r="C51" s="64"/>
      <c r="D51" s="64"/>
    </row>
    <row r="52" spans="1:4" ht="12.75">
      <c r="A52" s="117" t="s">
        <v>103</v>
      </c>
      <c r="B52" s="16">
        <f>SUM(B50+B45)</f>
        <v>325565</v>
      </c>
      <c r="C52" s="16">
        <f>SUM(C50+C45)</f>
        <v>280545</v>
      </c>
      <c r="D52" s="61">
        <f>SUM(D50+D45)</f>
        <v>606110</v>
      </c>
    </row>
    <row r="57" ht="6" customHeight="1"/>
    <row r="59" ht="15.75" customHeight="1"/>
    <row r="60" ht="24.75" customHeight="1"/>
    <row r="70" s="91" customFormat="1" ht="12.75"/>
    <row r="77" s="91" customFormat="1" ht="12.75"/>
    <row r="82" s="91" customFormat="1" ht="12.75"/>
    <row r="87" s="91" customFormat="1" ht="12.75"/>
    <row r="92" s="91" customFormat="1" ht="12.75"/>
    <row r="97" s="91" customFormat="1" ht="12.75"/>
    <row r="98" ht="12" customHeight="1"/>
    <row r="99" s="91" customFormat="1" ht="12.75"/>
    <row r="100" ht="11.25" customHeight="1"/>
    <row r="104" s="91" customFormat="1" ht="12.75"/>
    <row r="105" ht="9.75" customHeight="1"/>
    <row r="106" s="9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41"/>
  <sheetViews>
    <sheetView tabSelected="1" zoomScalePageLayoutView="0" workbookViewId="0" topLeftCell="A1">
      <selection activeCell="A241" sqref="A241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842</v>
      </c>
    </row>
    <row r="2" ht="12" customHeight="1"/>
    <row r="3" spans="1:4" ht="15.75">
      <c r="A3" s="964" t="s">
        <v>843</v>
      </c>
      <c r="B3" s="964"/>
      <c r="C3" s="964"/>
      <c r="D3" s="964"/>
    </row>
    <row r="4" spans="1:4" ht="15.75">
      <c r="A4" s="964" t="s">
        <v>844</v>
      </c>
      <c r="B4" s="964"/>
      <c r="C4" s="964"/>
      <c r="D4" s="964"/>
    </row>
    <row r="5" ht="12.75">
      <c r="D5" t="s">
        <v>845</v>
      </c>
    </row>
    <row r="6" spans="1:4" ht="15.75">
      <c r="A6" s="857" t="s">
        <v>846</v>
      </c>
      <c r="B6" s="858" t="s">
        <v>847</v>
      </c>
      <c r="C6" s="858" t="s">
        <v>848</v>
      </c>
      <c r="D6" s="858" t="s">
        <v>849</v>
      </c>
    </row>
    <row r="7" spans="1:4" ht="12.75">
      <c r="A7" s="859" t="s">
        <v>850</v>
      </c>
      <c r="B7" s="859"/>
      <c r="C7" s="860"/>
      <c r="D7" s="859"/>
    </row>
    <row r="8" spans="1:4" ht="12.75">
      <c r="A8" s="861" t="s">
        <v>851</v>
      </c>
      <c r="B8" s="860">
        <f>17603*1.38</f>
        <v>24292.14</v>
      </c>
      <c r="C8" s="860">
        <f>17520*1.43</f>
        <v>25053.6</v>
      </c>
      <c r="D8" s="862">
        <f>17389*1.057</f>
        <v>18380.173</v>
      </c>
    </row>
    <row r="9" spans="1:4" ht="12.75">
      <c r="A9" s="861" t="s">
        <v>852</v>
      </c>
      <c r="B9" s="860"/>
      <c r="C9" s="860"/>
      <c r="D9" s="862">
        <f>17.389*500</f>
        <v>8694.5</v>
      </c>
    </row>
    <row r="10" spans="1:4" ht="12.75">
      <c r="A10" s="863" t="s">
        <v>853</v>
      </c>
      <c r="B10" s="860">
        <f>12*370</f>
        <v>4440</v>
      </c>
      <c r="C10" s="860">
        <f>12*370</f>
        <v>4440</v>
      </c>
      <c r="D10" s="862">
        <f>12*300</f>
        <v>3600</v>
      </c>
    </row>
    <row r="11" spans="1:4" ht="12.75">
      <c r="A11" s="859" t="s">
        <v>854</v>
      </c>
      <c r="B11" s="860"/>
      <c r="C11" s="860"/>
      <c r="D11" s="862"/>
    </row>
    <row r="12" spans="1:4" ht="12.75">
      <c r="A12" s="859" t="s">
        <v>855</v>
      </c>
      <c r="B12" s="860">
        <f>12000*2</f>
        <v>24000</v>
      </c>
      <c r="C12" s="860">
        <f>14000*2</f>
        <v>28000</v>
      </c>
      <c r="D12" s="862">
        <f>16000*2</f>
        <v>32000</v>
      </c>
    </row>
    <row r="13" spans="1:4" ht="12.75">
      <c r="A13" s="859" t="s">
        <v>856</v>
      </c>
      <c r="B13" s="860"/>
      <c r="C13" s="860"/>
      <c r="D13" s="862"/>
    </row>
    <row r="14" spans="1:4" ht="12.75">
      <c r="A14" s="859" t="s">
        <v>857</v>
      </c>
      <c r="B14" s="860">
        <f>55*700</f>
        <v>38500</v>
      </c>
      <c r="C14" s="860"/>
      <c r="D14" s="862"/>
    </row>
    <row r="15" spans="1:4" ht="12.75">
      <c r="A15" s="859" t="s">
        <v>858</v>
      </c>
      <c r="B15" s="860"/>
      <c r="C15" s="860"/>
      <c r="D15" s="862"/>
    </row>
    <row r="16" spans="1:4" ht="12.75">
      <c r="A16" s="859" t="s">
        <v>859</v>
      </c>
      <c r="B16" s="860">
        <f>48*547</f>
        <v>26256</v>
      </c>
      <c r="C16" s="860">
        <f>56*547</f>
        <v>30632</v>
      </c>
      <c r="D16" s="862">
        <f>56*540.15</f>
        <v>30248.399999999998</v>
      </c>
    </row>
    <row r="17" spans="1:4" ht="12.75">
      <c r="A17" s="859" t="s">
        <v>860</v>
      </c>
      <c r="B17" s="860">
        <f>6*50</f>
        <v>300</v>
      </c>
      <c r="C17" s="860">
        <f>10*50</f>
        <v>500</v>
      </c>
      <c r="D17" s="862">
        <f>19*65</f>
        <v>1235</v>
      </c>
    </row>
    <row r="18" spans="1:4" ht="12.75">
      <c r="A18" s="859" t="s">
        <v>861</v>
      </c>
      <c r="B18" s="860">
        <f>'[2]Munka1'!$G$8</f>
        <v>0</v>
      </c>
      <c r="C18" s="860"/>
      <c r="D18" s="862"/>
    </row>
    <row r="19" spans="1:4" ht="12.75">
      <c r="A19" s="859" t="s">
        <v>862</v>
      </c>
      <c r="B19" s="860"/>
      <c r="C19" s="860"/>
      <c r="D19" s="862"/>
    </row>
    <row r="20" spans="1:4" ht="25.5">
      <c r="A20" s="864" t="s">
        <v>863</v>
      </c>
      <c r="B20" s="865">
        <f>'[2]Munka1'!$G$9</f>
        <v>0</v>
      </c>
      <c r="C20" s="865">
        <f>9*2550000*8/12/1000</f>
        <v>15300</v>
      </c>
      <c r="D20" s="866"/>
    </row>
    <row r="21" spans="1:4" ht="23.25" customHeight="1">
      <c r="A21" s="864" t="s">
        <v>864</v>
      </c>
      <c r="B21" s="865"/>
      <c r="C21" s="865">
        <f>34.1*2550000*8/12/1000</f>
        <v>57970</v>
      </c>
      <c r="D21" s="866"/>
    </row>
    <row r="22" spans="1:4" ht="22.5" customHeight="1">
      <c r="A22" s="864" t="s">
        <v>865</v>
      </c>
      <c r="B22" s="865"/>
      <c r="C22" s="865">
        <v>7225</v>
      </c>
      <c r="D22" s="866">
        <v>30770</v>
      </c>
    </row>
    <row r="23" spans="1:4" ht="25.5">
      <c r="A23" s="864" t="s">
        <v>866</v>
      </c>
      <c r="B23" s="865"/>
      <c r="C23" s="865">
        <v>28390</v>
      </c>
      <c r="D23" s="866">
        <v>37230</v>
      </c>
    </row>
    <row r="24" spans="1:4" ht="14.25" customHeight="1">
      <c r="A24" s="864" t="s">
        <v>867</v>
      </c>
      <c r="B24" s="865"/>
      <c r="C24" s="865"/>
      <c r="D24" s="866">
        <v>30903</v>
      </c>
    </row>
    <row r="25" spans="1:4" ht="12.75">
      <c r="A25" s="861" t="s">
        <v>868</v>
      </c>
      <c r="B25" s="865">
        <f>'[2]Munka1'!$G$10</f>
        <v>0</v>
      </c>
      <c r="C25" s="865"/>
      <c r="D25" s="866"/>
    </row>
    <row r="26" spans="1:4" ht="12.75">
      <c r="A26" s="861" t="s">
        <v>869</v>
      </c>
      <c r="B26" s="865">
        <v>0</v>
      </c>
      <c r="C26" s="865">
        <v>0</v>
      </c>
      <c r="D26" s="866"/>
    </row>
    <row r="27" spans="1:4" ht="25.5">
      <c r="A27" s="864" t="s">
        <v>870</v>
      </c>
      <c r="B27" s="865">
        <f>3*417.6*8/12</f>
        <v>835.2000000000002</v>
      </c>
      <c r="C27" s="865">
        <v>0</v>
      </c>
      <c r="D27" s="866"/>
    </row>
    <row r="28" spans="1:4" ht="12.75">
      <c r="A28" s="864" t="s">
        <v>871</v>
      </c>
      <c r="B28" s="865">
        <f>'[2]Munka1'!$G$12</f>
        <v>0</v>
      </c>
      <c r="C28" s="865">
        <v>0</v>
      </c>
      <c r="D28" s="866"/>
    </row>
    <row r="29" spans="1:4" ht="12.75">
      <c r="A29" s="863" t="s">
        <v>872</v>
      </c>
      <c r="B29" s="860">
        <f>'[2]Munka1'!$G$57</f>
        <v>0</v>
      </c>
      <c r="C29" s="860"/>
      <c r="D29" s="862"/>
    </row>
    <row r="30" spans="1:4" ht="12.75">
      <c r="A30" s="863" t="s">
        <v>873</v>
      </c>
      <c r="B30" s="860"/>
      <c r="C30" s="860">
        <f>7.5*2550000*8/12/1000</f>
        <v>12750</v>
      </c>
      <c r="D30" s="862"/>
    </row>
    <row r="31" spans="1:4" ht="12.75">
      <c r="A31" s="863" t="s">
        <v>874</v>
      </c>
      <c r="B31" s="860"/>
      <c r="C31" s="860">
        <f>18.7*2550000*8/12/1000</f>
        <v>31790</v>
      </c>
      <c r="D31" s="862"/>
    </row>
    <row r="32" spans="1:4" ht="12.75">
      <c r="A32" s="863" t="s">
        <v>875</v>
      </c>
      <c r="B32" s="860"/>
      <c r="C32" s="860">
        <f>15*2550000*8/12/1000</f>
        <v>25500</v>
      </c>
      <c r="D32" s="862"/>
    </row>
    <row r="33" spans="1:4" ht="12.75">
      <c r="A33" s="863" t="s">
        <v>876</v>
      </c>
      <c r="B33" s="860"/>
      <c r="C33" s="860">
        <f>15.4*2550000*4/12/1000</f>
        <v>13090</v>
      </c>
      <c r="D33" s="862">
        <f>22610</f>
        <v>22610</v>
      </c>
    </row>
    <row r="34" spans="1:4" ht="12.75">
      <c r="A34" s="863" t="s">
        <v>877</v>
      </c>
      <c r="B34" s="860"/>
      <c r="C34" s="860">
        <f>8.5*2550000*4/12/1000</f>
        <v>7225</v>
      </c>
      <c r="D34" s="862">
        <v>14450</v>
      </c>
    </row>
    <row r="35" spans="1:4" ht="12.75">
      <c r="A35" s="863" t="s">
        <v>878</v>
      </c>
      <c r="B35" s="860"/>
      <c r="C35" s="860">
        <f>12.1*2550000*4/12/1000</f>
        <v>10285</v>
      </c>
      <c r="D35" s="862">
        <v>21760</v>
      </c>
    </row>
    <row r="36" spans="1:4" ht="12.75">
      <c r="A36" s="863" t="s">
        <v>879</v>
      </c>
      <c r="B36" s="860"/>
      <c r="C36" s="860"/>
      <c r="D36" s="862">
        <v>11007</v>
      </c>
    </row>
    <row r="37" spans="1:4" ht="12.75">
      <c r="A37" s="863" t="s">
        <v>880</v>
      </c>
      <c r="B37" s="860"/>
      <c r="C37" s="860"/>
      <c r="D37" s="862">
        <v>6350</v>
      </c>
    </row>
    <row r="38" spans="1:4" ht="12.75">
      <c r="A38" s="863" t="s">
        <v>881</v>
      </c>
      <c r="B38" s="860"/>
      <c r="C38" s="860"/>
      <c r="D38" s="862">
        <v>9906</v>
      </c>
    </row>
    <row r="39" spans="1:4" ht="12.75">
      <c r="A39" s="861" t="s">
        <v>882</v>
      </c>
      <c r="B39" s="860">
        <f>'[2]Munka1'!$G$58</f>
        <v>0</v>
      </c>
      <c r="C39" s="860"/>
      <c r="D39" s="862"/>
    </row>
    <row r="40" spans="1:4" ht="12.75">
      <c r="A40" s="861" t="s">
        <v>883</v>
      </c>
      <c r="B40" s="860">
        <f>'[2]Munka1'!$G$59</f>
        <v>0</v>
      </c>
      <c r="C40" s="860"/>
      <c r="D40" s="862"/>
    </row>
    <row r="41" spans="1:4" ht="12.75">
      <c r="A41" s="861" t="s">
        <v>884</v>
      </c>
      <c r="B41" s="860">
        <f>'[2]Munka1'!$G$60</f>
        <v>0</v>
      </c>
      <c r="C41" s="860"/>
      <c r="D41" s="862"/>
    </row>
    <row r="42" spans="1:4" ht="25.5">
      <c r="A42" s="864" t="s">
        <v>885</v>
      </c>
      <c r="B42" s="860">
        <f>'[2]Munka1'!$G$69</f>
        <v>0</v>
      </c>
      <c r="C42" s="860"/>
      <c r="D42" s="862"/>
    </row>
    <row r="43" spans="1:4" ht="25.5">
      <c r="A43" s="864" t="s">
        <v>886</v>
      </c>
      <c r="B43" s="860">
        <f>'[2]Munka1'!$G$70</f>
        <v>0</v>
      </c>
      <c r="C43" s="860"/>
      <c r="D43" s="862"/>
    </row>
    <row r="44" spans="1:4" ht="25.5">
      <c r="A44" s="864" t="s">
        <v>887</v>
      </c>
      <c r="B44" s="860">
        <f>'[2]Munka1'!$G$71</f>
        <v>0</v>
      </c>
      <c r="C44" s="860"/>
      <c r="D44" s="862"/>
    </row>
    <row r="45" spans="1:4" ht="25.5">
      <c r="A45" s="864" t="s">
        <v>888</v>
      </c>
      <c r="B45" s="860">
        <f>'[2]Munka1'!$G$77</f>
        <v>0</v>
      </c>
      <c r="C45" s="860"/>
      <c r="D45" s="862"/>
    </row>
    <row r="46" spans="1:4" ht="21.75" customHeight="1">
      <c r="A46" s="864" t="s">
        <v>889</v>
      </c>
      <c r="B46" s="860">
        <f>'[2]Munka1'!$G$78</f>
        <v>0</v>
      </c>
      <c r="C46" s="860"/>
      <c r="D46" s="862"/>
    </row>
    <row r="47" spans="1:4" ht="25.5">
      <c r="A47" s="864" t="s">
        <v>890</v>
      </c>
      <c r="B47" s="860">
        <f>'[2]Munka1'!$G$72</f>
        <v>0</v>
      </c>
      <c r="C47" s="860"/>
      <c r="D47" s="862"/>
    </row>
    <row r="48" spans="1:4" ht="12.75">
      <c r="A48" s="867"/>
      <c r="B48" s="868"/>
      <c r="C48" s="868"/>
      <c r="D48" s="869"/>
    </row>
    <row r="49" spans="1:4" ht="12.75">
      <c r="A49" s="910">
        <v>2</v>
      </c>
      <c r="B49" s="910"/>
      <c r="C49" s="910"/>
      <c r="D49" s="910"/>
    </row>
    <row r="50" spans="1:4" ht="15.75">
      <c r="A50" s="870" t="s">
        <v>846</v>
      </c>
      <c r="B50" s="871" t="s">
        <v>847</v>
      </c>
      <c r="C50" s="871" t="s">
        <v>848</v>
      </c>
      <c r="D50" s="871" t="s">
        <v>891</v>
      </c>
    </row>
    <row r="51" spans="1:4" ht="12.75">
      <c r="A51" s="859" t="s">
        <v>892</v>
      </c>
      <c r="B51" s="860">
        <f>'[2]Munka1'!$G$61</f>
        <v>0</v>
      </c>
      <c r="C51" s="860"/>
      <c r="D51" s="862"/>
    </row>
    <row r="52" spans="1:4" ht="12.75">
      <c r="A52" s="859" t="s">
        <v>893</v>
      </c>
      <c r="B52" s="860"/>
      <c r="C52" s="860">
        <f>11.3*2550000*8/12/1000</f>
        <v>19210</v>
      </c>
      <c r="D52" s="862"/>
    </row>
    <row r="53" spans="1:4" ht="12.75">
      <c r="A53" s="859" t="s">
        <v>894</v>
      </c>
      <c r="B53" s="860"/>
      <c r="C53" s="860">
        <f>13.3*2550000*8/12/1000</f>
        <v>22610</v>
      </c>
      <c r="D53" s="862"/>
    </row>
    <row r="54" spans="1:4" ht="12.75">
      <c r="A54" s="859" t="s">
        <v>895</v>
      </c>
      <c r="B54" s="860"/>
      <c r="C54" s="860">
        <f>28.9*2550000*8/12/1000</f>
        <v>49130</v>
      </c>
      <c r="D54" s="862"/>
    </row>
    <row r="55" spans="1:4" ht="12.75">
      <c r="A55" s="859" t="s">
        <v>896</v>
      </c>
      <c r="B55" s="860"/>
      <c r="C55" s="860">
        <f>21.3*2550000*4/12/1000</f>
        <v>18105</v>
      </c>
      <c r="D55" s="862">
        <v>34850</v>
      </c>
    </row>
    <row r="56" spans="1:4" ht="12.75">
      <c r="A56" s="859" t="s">
        <v>897</v>
      </c>
      <c r="B56" s="860"/>
      <c r="C56" s="860">
        <f>29*2550000*4/12/1000</f>
        <v>24650</v>
      </c>
      <c r="D56" s="862">
        <v>48620</v>
      </c>
    </row>
    <row r="57" spans="1:4" ht="12.75">
      <c r="A57" s="859" t="s">
        <v>898</v>
      </c>
      <c r="B57" s="860"/>
      <c r="C57" s="860"/>
      <c r="D57" s="862">
        <v>16172</v>
      </c>
    </row>
    <row r="58" spans="1:4" ht="12.75">
      <c r="A58" s="859" t="s">
        <v>899</v>
      </c>
      <c r="B58" s="860"/>
      <c r="C58" s="860"/>
      <c r="D58" s="862">
        <v>9821</v>
      </c>
    </row>
    <row r="59" spans="1:4" ht="12.75">
      <c r="A59" s="859" t="s">
        <v>900</v>
      </c>
      <c r="B59" s="860"/>
      <c r="C59" s="860"/>
      <c r="D59" s="862">
        <v>13123</v>
      </c>
    </row>
    <row r="60" spans="1:4" ht="12.75">
      <c r="A60" s="861" t="s">
        <v>901</v>
      </c>
      <c r="B60" s="860">
        <f>'[2]Munka1'!$G$62</f>
        <v>0</v>
      </c>
      <c r="C60" s="860"/>
      <c r="D60" s="862"/>
    </row>
    <row r="61" spans="1:4" ht="12.75">
      <c r="A61" s="861" t="s">
        <v>902</v>
      </c>
      <c r="B61" s="860">
        <f>'[2]Munka1'!$G$63</f>
        <v>0</v>
      </c>
      <c r="C61" s="860"/>
      <c r="D61" s="862"/>
    </row>
    <row r="62" spans="1:4" ht="12.75">
      <c r="A62" s="861" t="s">
        <v>903</v>
      </c>
      <c r="B62" s="860">
        <f>'[2]Munka1'!$G$64</f>
        <v>0</v>
      </c>
      <c r="C62" s="860"/>
      <c r="D62" s="862"/>
    </row>
    <row r="63" spans="1:4" ht="25.5">
      <c r="A63" s="864" t="s">
        <v>904</v>
      </c>
      <c r="B63" s="860">
        <f>'[2]Munka1'!$G$73</f>
        <v>0</v>
      </c>
      <c r="C63" s="860"/>
      <c r="D63" s="862"/>
    </row>
    <row r="64" spans="1:4" ht="25.5">
      <c r="A64" s="864" t="s">
        <v>905</v>
      </c>
      <c r="B64" s="860">
        <f>'[2]Munka1'!$G$74</f>
        <v>0</v>
      </c>
      <c r="C64" s="860"/>
      <c r="D64" s="862"/>
    </row>
    <row r="65" spans="1:4" ht="25.5">
      <c r="A65" s="864" t="s">
        <v>906</v>
      </c>
      <c r="B65" s="860">
        <f>21*371.2*8/12</f>
        <v>5196.8</v>
      </c>
      <c r="C65" s="860"/>
      <c r="D65" s="862"/>
    </row>
    <row r="66" spans="1:4" ht="25.5">
      <c r="A66" s="864" t="s">
        <v>907</v>
      </c>
      <c r="B66" s="860">
        <f>'[2]Munka1'!$G$79</f>
        <v>0</v>
      </c>
      <c r="C66" s="860"/>
      <c r="D66" s="862"/>
    </row>
    <row r="67" spans="1:4" ht="25.5">
      <c r="A67" s="864" t="s">
        <v>908</v>
      </c>
      <c r="B67" s="860">
        <f>'[2]Munka1'!$G$76</f>
        <v>0</v>
      </c>
      <c r="C67" s="860"/>
      <c r="D67" s="862"/>
    </row>
    <row r="68" spans="1:4" ht="25.5">
      <c r="A68" s="864" t="s">
        <v>909</v>
      </c>
      <c r="B68" s="860">
        <f>'[2]Munka1'!$G$80</f>
        <v>0</v>
      </c>
      <c r="C68" s="860"/>
      <c r="D68" s="862"/>
    </row>
    <row r="69" spans="1:4" ht="12.75">
      <c r="A69" s="864" t="s">
        <v>910</v>
      </c>
      <c r="B69" s="860"/>
      <c r="C69" s="860">
        <f>2*240000*4/12/1000</f>
        <v>160</v>
      </c>
      <c r="D69" s="862">
        <v>320</v>
      </c>
    </row>
    <row r="70" spans="1:4" ht="12.75">
      <c r="A70" s="864" t="s">
        <v>911</v>
      </c>
      <c r="B70" s="860"/>
      <c r="C70" s="860"/>
      <c r="D70" s="862">
        <v>159</v>
      </c>
    </row>
    <row r="71" spans="1:4" ht="25.5">
      <c r="A71" s="864" t="s">
        <v>912</v>
      </c>
      <c r="B71" s="860"/>
      <c r="C71" s="860">
        <f>5*384000*8/12/1000</f>
        <v>1280</v>
      </c>
      <c r="D71" s="862">
        <v>1024</v>
      </c>
    </row>
    <row r="72" spans="1:4" ht="25.5">
      <c r="A72" s="864" t="s">
        <v>913</v>
      </c>
      <c r="B72" s="860"/>
      <c r="C72" s="860">
        <f>4*384000*4/12/1000</f>
        <v>512</v>
      </c>
      <c r="D72" s="862">
        <v>382</v>
      </c>
    </row>
    <row r="73" spans="1:4" ht="38.25">
      <c r="A73" s="864" t="s">
        <v>914</v>
      </c>
      <c r="B73" s="860"/>
      <c r="C73" s="860">
        <f>40*8/12*192000/1000</f>
        <v>5120</v>
      </c>
      <c r="D73" s="862">
        <v>3584</v>
      </c>
    </row>
    <row r="74" spans="1:4" ht="38.25">
      <c r="A74" s="864" t="s">
        <v>915</v>
      </c>
      <c r="B74" s="860"/>
      <c r="C74" s="860">
        <f>35*192000*4/12/1000</f>
        <v>2240</v>
      </c>
      <c r="D74" s="862">
        <v>1593</v>
      </c>
    </row>
    <row r="75" spans="1:4" ht="25.5">
      <c r="A75" s="864" t="s">
        <v>916</v>
      </c>
      <c r="B75" s="860"/>
      <c r="C75" s="860"/>
      <c r="D75" s="862">
        <v>1147</v>
      </c>
    </row>
    <row r="76" spans="1:4" ht="25.5">
      <c r="A76" s="864" t="s">
        <v>917</v>
      </c>
      <c r="B76" s="860"/>
      <c r="C76" s="860">
        <f>30*144000*4/12/1000</f>
        <v>1440</v>
      </c>
      <c r="D76" s="862">
        <v>2592</v>
      </c>
    </row>
    <row r="77" spans="1:4" ht="12.75">
      <c r="A77" s="861" t="s">
        <v>918</v>
      </c>
      <c r="B77" s="860">
        <f>'[2]Munka1'!$G$140+'[2]Munka1'!$G$191</f>
        <v>0</v>
      </c>
      <c r="C77" s="860"/>
      <c r="D77" s="862"/>
    </row>
    <row r="78" spans="1:4" ht="12.75">
      <c r="A78" s="861" t="s">
        <v>919</v>
      </c>
      <c r="B78" s="860">
        <f>'[2]Munka1'!$G$192+'[2]Munka1'!$G$141</f>
        <v>0</v>
      </c>
      <c r="C78" s="860"/>
      <c r="D78" s="862"/>
    </row>
    <row r="79" spans="1:4" ht="12.75">
      <c r="A79" s="861" t="s">
        <v>920</v>
      </c>
      <c r="B79" s="860">
        <f>'[2]Munka1'!$G$142+'[2]Munka1'!$G$193</f>
        <v>0</v>
      </c>
      <c r="C79" s="860"/>
      <c r="D79" s="862"/>
    </row>
    <row r="80" spans="1:4" ht="12.75">
      <c r="A80" s="861" t="s">
        <v>921</v>
      </c>
      <c r="B80" s="860">
        <f>'[2]Munka1'!$G$194+'[2]Munka1'!$G$143</f>
        <v>0</v>
      </c>
      <c r="C80" s="860"/>
      <c r="D80" s="862"/>
    </row>
    <row r="81" spans="1:4" ht="12.75">
      <c r="A81" s="861" t="s">
        <v>922</v>
      </c>
      <c r="B81" s="860"/>
      <c r="C81" s="860">
        <f>28.4*2550000*8/12/1000</f>
        <v>48280</v>
      </c>
      <c r="D81" s="862"/>
    </row>
    <row r="82" spans="1:4" ht="12.75">
      <c r="A82" s="861" t="s">
        <v>923</v>
      </c>
      <c r="B82" s="860"/>
      <c r="C82" s="860">
        <f>32.4*2550000*8/12/1000</f>
        <v>55080</v>
      </c>
      <c r="D82" s="862"/>
    </row>
    <row r="83" spans="1:4" ht="12.75">
      <c r="A83" s="861" t="s">
        <v>924</v>
      </c>
      <c r="B83" s="860"/>
      <c r="C83" s="860">
        <f>53.9*2550000*8/12/1000</f>
        <v>91630</v>
      </c>
      <c r="D83" s="862"/>
    </row>
    <row r="84" spans="1:4" ht="12.75">
      <c r="A84" s="861" t="s">
        <v>925</v>
      </c>
      <c r="B84" s="860"/>
      <c r="C84" s="860">
        <f>60.7*2550000*4/12/1000</f>
        <v>51595</v>
      </c>
      <c r="D84" s="862">
        <v>105740</v>
      </c>
    </row>
    <row r="85" spans="1:4" ht="12.75">
      <c r="A85" s="861" t="s">
        <v>926</v>
      </c>
      <c r="B85" s="860"/>
      <c r="C85" s="860"/>
      <c r="D85" s="862">
        <v>53933</v>
      </c>
    </row>
    <row r="86" spans="1:4" ht="12.75">
      <c r="A86" s="861" t="s">
        <v>927</v>
      </c>
      <c r="B86" s="860"/>
      <c r="C86" s="860">
        <f>58.3*2550000*4/12/1000</f>
        <v>49555</v>
      </c>
      <c r="D86" s="862">
        <v>95710</v>
      </c>
    </row>
    <row r="87" spans="1:4" ht="12.75">
      <c r="A87" s="861" t="s">
        <v>928</v>
      </c>
      <c r="B87" s="860"/>
      <c r="C87" s="860"/>
      <c r="D87" s="862">
        <v>20320</v>
      </c>
    </row>
    <row r="88" spans="1:4" ht="12.75">
      <c r="A88" s="861" t="s">
        <v>929</v>
      </c>
      <c r="B88" s="860"/>
      <c r="C88" s="860"/>
      <c r="D88" s="862">
        <v>26501</v>
      </c>
    </row>
    <row r="89" spans="1:4" ht="12.75">
      <c r="A89" s="863" t="s">
        <v>930</v>
      </c>
      <c r="B89" s="860">
        <f>'[2]Munka1'!$G$144+'[2]Munka1'!$G$195</f>
        <v>0</v>
      </c>
      <c r="C89" s="860"/>
      <c r="D89" s="862"/>
    </row>
    <row r="90" spans="1:4" ht="12.75">
      <c r="A90" s="872"/>
      <c r="B90" s="868"/>
      <c r="C90" s="868"/>
      <c r="D90" s="869"/>
    </row>
    <row r="91" spans="1:4" ht="12.75">
      <c r="A91" s="872"/>
      <c r="B91" s="868"/>
      <c r="C91" s="868"/>
      <c r="D91" s="869"/>
    </row>
    <row r="92" spans="1:4" ht="12.75">
      <c r="A92" s="965">
        <v>3</v>
      </c>
      <c r="B92" s="965"/>
      <c r="C92" s="965"/>
      <c r="D92" s="965"/>
    </row>
    <row r="93" spans="1:4" ht="15.75">
      <c r="A93" s="870" t="s">
        <v>846</v>
      </c>
      <c r="B93" s="871" t="s">
        <v>847</v>
      </c>
      <c r="C93" s="871" t="s">
        <v>848</v>
      </c>
      <c r="D93" s="871" t="s">
        <v>891</v>
      </c>
    </row>
    <row r="94" spans="1:4" ht="25.5">
      <c r="A94" s="864" t="s">
        <v>931</v>
      </c>
      <c r="B94" s="860">
        <f>'[2]Munka1'!$G$145+'[2]Munka1'!$G$196</f>
        <v>0</v>
      </c>
      <c r="C94" s="860"/>
      <c r="D94" s="862"/>
    </row>
    <row r="95" spans="1:4" ht="25.5">
      <c r="A95" s="864" t="s">
        <v>932</v>
      </c>
      <c r="B95" s="860">
        <f>10.4*2550*4/12</f>
        <v>8840</v>
      </c>
      <c r="C95" s="860"/>
      <c r="D95" s="862"/>
    </row>
    <row r="96" spans="1:4" ht="12.75">
      <c r="A96" s="864" t="s">
        <v>933</v>
      </c>
      <c r="B96" s="860"/>
      <c r="C96" s="860">
        <f>13.4*2550000*8/12/1000</f>
        <v>22780</v>
      </c>
      <c r="D96" s="862">
        <v>38420</v>
      </c>
    </row>
    <row r="97" spans="1:4" ht="12.75">
      <c r="A97" s="864" t="s">
        <v>934</v>
      </c>
      <c r="B97" s="860"/>
      <c r="C97" s="860">
        <f>10.6*2550000*8/12/1000</f>
        <v>18020</v>
      </c>
      <c r="D97" s="862">
        <v>3910</v>
      </c>
    </row>
    <row r="98" spans="1:4" ht="12.75">
      <c r="A98" s="864" t="s">
        <v>935</v>
      </c>
      <c r="B98" s="860"/>
      <c r="C98" s="860">
        <f>22.8*2550000*4/12/1000</f>
        <v>19380</v>
      </c>
      <c r="D98" s="862">
        <v>25061</v>
      </c>
    </row>
    <row r="99" spans="1:4" ht="12.75">
      <c r="A99" s="864" t="s">
        <v>936</v>
      </c>
      <c r="B99" s="860"/>
      <c r="C99" s="860">
        <f>2.7*2550000*4/12/1000</f>
        <v>2295</v>
      </c>
      <c r="D99" s="862"/>
    </row>
    <row r="100" spans="1:4" ht="12.75">
      <c r="A100" s="861" t="s">
        <v>937</v>
      </c>
      <c r="B100" s="860">
        <f>'[2]Munka1'!$G$202</f>
        <v>0</v>
      </c>
      <c r="C100" s="860">
        <f>215*40*8/12</f>
        <v>5733.333333333333</v>
      </c>
      <c r="D100" s="862">
        <v>5627</v>
      </c>
    </row>
    <row r="101" spans="1:4" ht="12.75">
      <c r="A101" s="861" t="s">
        <v>938</v>
      </c>
      <c r="B101" s="860"/>
      <c r="C101" s="860">
        <f>205*40*4/12</f>
        <v>2733.3333333333335</v>
      </c>
      <c r="D101" s="862">
        <v>2609</v>
      </c>
    </row>
    <row r="102" spans="1:4" ht="12.75">
      <c r="A102" s="861" t="s">
        <v>939</v>
      </c>
      <c r="B102" s="860">
        <f>'[2]Munka1'!$G$198</f>
        <v>0</v>
      </c>
      <c r="C102" s="860">
        <f>6*112*4/12</f>
        <v>224</v>
      </c>
      <c r="D102" s="862">
        <v>672</v>
      </c>
    </row>
    <row r="103" spans="1:4" ht="12.75">
      <c r="A103" s="861" t="s">
        <v>940</v>
      </c>
      <c r="B103" s="860"/>
      <c r="C103" s="860"/>
      <c r="D103" s="862">
        <v>671</v>
      </c>
    </row>
    <row r="104" spans="1:4" ht="12.75">
      <c r="A104" s="859" t="s">
        <v>941</v>
      </c>
      <c r="B104" s="860">
        <f>'[2]Munka1'!$G$199</f>
        <v>0</v>
      </c>
      <c r="C104" s="860">
        <f>77*156800*8/12/1000</f>
        <v>8049.066666666667</v>
      </c>
      <c r="D104" s="862">
        <v>4809</v>
      </c>
    </row>
    <row r="105" spans="1:4" ht="12.75">
      <c r="A105" s="861" t="s">
        <v>942</v>
      </c>
      <c r="B105" s="860"/>
      <c r="C105" s="860">
        <f>75*156.8*4/12</f>
        <v>3920</v>
      </c>
      <c r="D105" s="862">
        <v>2177</v>
      </c>
    </row>
    <row r="106" spans="1:4" ht="12.75">
      <c r="A106" s="859" t="s">
        <v>943</v>
      </c>
      <c r="B106" s="860">
        <f>'[2]Munka1'!$G$201</f>
        <v>0</v>
      </c>
      <c r="C106" s="860">
        <f>121*22.4*8/12</f>
        <v>1806.9333333333332</v>
      </c>
      <c r="D106" s="862">
        <v>2494</v>
      </c>
    </row>
    <row r="107" spans="1:4" ht="12.75">
      <c r="A107" s="859" t="s">
        <v>944</v>
      </c>
      <c r="B107" s="860"/>
      <c r="C107" s="860">
        <f>120*22.4*4/12</f>
        <v>896</v>
      </c>
      <c r="D107" s="862">
        <v>1244</v>
      </c>
    </row>
    <row r="108" spans="1:4" ht="12.75">
      <c r="A108" s="859" t="s">
        <v>945</v>
      </c>
      <c r="B108" s="860">
        <f>'[2]Munka1'!$G$200</f>
        <v>0</v>
      </c>
      <c r="C108" s="860">
        <f>63*67.2*8/12</f>
        <v>2822.4</v>
      </c>
      <c r="D108" s="862">
        <v>1882</v>
      </c>
    </row>
    <row r="109" spans="1:4" ht="12.75">
      <c r="A109" s="859" t="s">
        <v>946</v>
      </c>
      <c r="B109" s="860"/>
      <c r="C109" s="860">
        <f>60*67.2*4/12</f>
        <v>1344</v>
      </c>
      <c r="D109" s="862">
        <v>742</v>
      </c>
    </row>
    <row r="110" spans="1:4" ht="12.75">
      <c r="A110" s="859" t="s">
        <v>947</v>
      </c>
      <c r="B110" s="860"/>
      <c r="C110" s="860"/>
      <c r="D110" s="862">
        <v>96</v>
      </c>
    </row>
    <row r="111" spans="1:4" ht="12.75">
      <c r="A111" s="859" t="s">
        <v>948</v>
      </c>
      <c r="B111" s="860">
        <v>0</v>
      </c>
      <c r="C111" s="860">
        <v>0</v>
      </c>
      <c r="D111" s="862"/>
    </row>
    <row r="112" spans="1:4" ht="12.75">
      <c r="A112" s="861" t="s">
        <v>949</v>
      </c>
      <c r="B112" s="860">
        <v>0</v>
      </c>
      <c r="C112" s="860">
        <v>0</v>
      </c>
      <c r="D112" s="862"/>
    </row>
    <row r="113" spans="1:4" ht="12.75">
      <c r="A113" s="859" t="s">
        <v>950</v>
      </c>
      <c r="B113" s="860">
        <v>0</v>
      </c>
      <c r="C113" s="860">
        <v>0</v>
      </c>
      <c r="D113" s="862"/>
    </row>
    <row r="114" spans="1:4" ht="12.75">
      <c r="A114" s="861" t="s">
        <v>951</v>
      </c>
      <c r="B114" s="860">
        <v>0</v>
      </c>
      <c r="C114" s="860">
        <v>0</v>
      </c>
      <c r="D114" s="862"/>
    </row>
    <row r="115" spans="1:4" ht="12.75">
      <c r="A115" s="859" t="s">
        <v>952</v>
      </c>
      <c r="B115" s="860">
        <f>5*240</f>
        <v>1200</v>
      </c>
      <c r="C115" s="860">
        <f>10*240</f>
        <v>2400</v>
      </c>
      <c r="D115" s="862"/>
    </row>
    <row r="116" spans="1:4" ht="12.75">
      <c r="A116" s="859" t="s">
        <v>953</v>
      </c>
      <c r="B116" s="860">
        <f>3*325</f>
        <v>975</v>
      </c>
      <c r="C116" s="860">
        <f>2*325</f>
        <v>650</v>
      </c>
      <c r="D116" s="862"/>
    </row>
    <row r="117" spans="1:4" ht="12.75">
      <c r="A117" s="863" t="s">
        <v>954</v>
      </c>
      <c r="B117" s="860">
        <f>'[2]Munka1'!$G$65</f>
        <v>0</v>
      </c>
      <c r="C117" s="860">
        <f>252*105*8/12</f>
        <v>17640</v>
      </c>
      <c r="D117" s="862">
        <v>8840</v>
      </c>
    </row>
    <row r="118" spans="1:4" ht="12.75">
      <c r="A118" s="873" t="s">
        <v>955</v>
      </c>
      <c r="B118" s="860">
        <f>144*50*8/12/8*6</f>
        <v>3600</v>
      </c>
      <c r="C118" s="860">
        <f>152*40*8/12</f>
        <v>4053.3333333333335</v>
      </c>
      <c r="D118" s="862">
        <v>1870</v>
      </c>
    </row>
    <row r="119" spans="1:4" ht="12.75">
      <c r="A119" s="873" t="s">
        <v>956</v>
      </c>
      <c r="B119" s="860"/>
      <c r="C119" s="860">
        <v>4930</v>
      </c>
      <c r="D119" s="862">
        <v>4403</v>
      </c>
    </row>
    <row r="120" spans="1:4" ht="12.75">
      <c r="A120" s="873" t="s">
        <v>957</v>
      </c>
      <c r="B120" s="860"/>
      <c r="C120" s="860">
        <v>1020</v>
      </c>
      <c r="D120" s="862">
        <v>931</v>
      </c>
    </row>
    <row r="121" spans="1:4" ht="12.75">
      <c r="A121" s="863" t="s">
        <v>958</v>
      </c>
      <c r="B121" s="860">
        <f>116*40*6/12</f>
        <v>2320</v>
      </c>
      <c r="C121" s="860">
        <f>275*51*4/12</f>
        <v>4675</v>
      </c>
      <c r="D121" s="862">
        <v>8364</v>
      </c>
    </row>
    <row r="122" spans="1:4" ht="21.75" customHeight="1">
      <c r="A122" s="863" t="s">
        <v>959</v>
      </c>
      <c r="B122" s="860"/>
      <c r="C122" s="860"/>
      <c r="D122" s="862">
        <v>3977</v>
      </c>
    </row>
    <row r="123" spans="1:4" ht="12.75">
      <c r="A123" s="863" t="s">
        <v>960</v>
      </c>
      <c r="B123" s="860">
        <f>'[2]Munka1'!$G$68</f>
        <v>0</v>
      </c>
      <c r="C123" s="860">
        <f>152*20*4/12</f>
        <v>1013.3333333333334</v>
      </c>
      <c r="D123" s="862">
        <v>1840</v>
      </c>
    </row>
    <row r="124" spans="1:4" ht="12.75">
      <c r="A124" s="863" t="s">
        <v>961</v>
      </c>
      <c r="B124" s="860"/>
      <c r="C124" s="860"/>
      <c r="D124" s="862">
        <v>874</v>
      </c>
    </row>
    <row r="125" spans="1:4" ht="12.75">
      <c r="A125" s="859" t="s">
        <v>962</v>
      </c>
      <c r="B125" s="860">
        <f>'[2]Munka1'!$G$243</f>
        <v>0</v>
      </c>
      <c r="C125" s="860">
        <f>78*318000*8/12/1000</f>
        <v>16536</v>
      </c>
      <c r="D125" s="862">
        <v>6290</v>
      </c>
    </row>
    <row r="126" spans="1:4" ht="12.75">
      <c r="A126" s="859" t="s">
        <v>963</v>
      </c>
      <c r="B126" s="860"/>
      <c r="C126" s="860">
        <f>4.1*2550000*4/12/1000</f>
        <v>3485</v>
      </c>
      <c r="D126" s="862">
        <v>3133</v>
      </c>
    </row>
    <row r="127" spans="1:4" ht="12.75">
      <c r="A127" s="861" t="s">
        <v>964</v>
      </c>
      <c r="B127" s="866"/>
      <c r="C127" s="860">
        <f>78*186*4/12</f>
        <v>4836</v>
      </c>
      <c r="D127" s="862">
        <v>8928</v>
      </c>
    </row>
    <row r="128" spans="1:4" ht="12.75">
      <c r="A128" s="861" t="s">
        <v>965</v>
      </c>
      <c r="B128" s="866"/>
      <c r="C128" s="865"/>
      <c r="D128" s="866">
        <f>177*72*4/12</f>
        <v>4248</v>
      </c>
    </row>
    <row r="129" spans="1:4" ht="12.75">
      <c r="A129" s="859" t="s">
        <v>966</v>
      </c>
      <c r="B129" s="860">
        <f>375*23</f>
        <v>8625</v>
      </c>
      <c r="C129" s="860">
        <f>534*23000*8/12/1000</f>
        <v>8188</v>
      </c>
      <c r="D129" s="862"/>
    </row>
    <row r="130" spans="1:4" ht="12.75">
      <c r="A130" s="859" t="s">
        <v>967</v>
      </c>
      <c r="B130" s="860"/>
      <c r="C130" s="860">
        <v>3230</v>
      </c>
      <c r="D130" s="862">
        <v>6120</v>
      </c>
    </row>
    <row r="131" spans="1:4" ht="12.75">
      <c r="A131" s="859" t="s">
        <v>968</v>
      </c>
      <c r="B131" s="860"/>
      <c r="C131" s="860">
        <v>765</v>
      </c>
      <c r="D131" s="862">
        <v>1530</v>
      </c>
    </row>
    <row r="132" spans="1:4" ht="12.75">
      <c r="A132" s="859" t="s">
        <v>969</v>
      </c>
      <c r="B132" s="860"/>
      <c r="C132" s="860"/>
      <c r="D132" s="862">
        <v>2964</v>
      </c>
    </row>
    <row r="133" spans="1:4" ht="12.75">
      <c r="A133" s="859" t="s">
        <v>970</v>
      </c>
      <c r="B133" s="860"/>
      <c r="C133" s="860"/>
      <c r="D133" s="862">
        <v>677</v>
      </c>
    </row>
    <row r="134" spans="1:4" ht="12.75">
      <c r="A134" s="861" t="s">
        <v>971</v>
      </c>
      <c r="B134" s="860">
        <f>'[2]Munka1'!$G$84</f>
        <v>0</v>
      </c>
      <c r="C134" s="860"/>
      <c r="D134" s="862"/>
    </row>
    <row r="135" spans="1:4" ht="12.75">
      <c r="A135" s="861" t="s">
        <v>972</v>
      </c>
      <c r="B135" s="860">
        <f>'[2]Munka1'!$G$85</f>
        <v>0</v>
      </c>
      <c r="C135" s="860"/>
      <c r="D135" s="862"/>
    </row>
    <row r="136" spans="1:4" ht="12.75">
      <c r="A136" s="859" t="s">
        <v>973</v>
      </c>
      <c r="B136" s="860">
        <f>'[2]Munka1'!$G$204+'[2]Munka1'!$G$203+'[2]Munka1'!$G$151+'[2]Munka1'!$G$152</f>
        <v>0</v>
      </c>
      <c r="C136" s="860">
        <f>49*71.5*8/12</f>
        <v>2335.6666666666665</v>
      </c>
      <c r="D136" s="862">
        <v>10678</v>
      </c>
    </row>
    <row r="137" spans="1:4" ht="12.75">
      <c r="A137" s="859" t="s">
        <v>974</v>
      </c>
      <c r="B137" s="860"/>
      <c r="C137" s="860">
        <f>35*71.5*4/12</f>
        <v>834.1666666666666</v>
      </c>
      <c r="D137" s="862">
        <v>5213</v>
      </c>
    </row>
    <row r="138" spans="1:4" ht="12.75">
      <c r="A138" s="861" t="s">
        <v>975</v>
      </c>
      <c r="B138" s="860"/>
      <c r="C138" s="860">
        <f>173*55</f>
        <v>9515</v>
      </c>
      <c r="D138" s="862">
        <v>10855</v>
      </c>
    </row>
    <row r="139" spans="1:4" ht="12.75">
      <c r="A139" s="861" t="s">
        <v>976</v>
      </c>
      <c r="B139" s="860"/>
      <c r="C139" s="860">
        <f>235*55</f>
        <v>12925</v>
      </c>
      <c r="D139" s="862">
        <v>17745</v>
      </c>
    </row>
    <row r="140" spans="1:4" s="91" customFormat="1" ht="12.75">
      <c r="A140" s="861" t="s">
        <v>977</v>
      </c>
      <c r="B140" s="860"/>
      <c r="C140" s="860">
        <f>75*55</f>
        <v>4125</v>
      </c>
      <c r="D140" s="862"/>
    </row>
    <row r="141" spans="1:4" ht="12.75">
      <c r="A141" s="861" t="s">
        <v>978</v>
      </c>
      <c r="B141" s="860"/>
      <c r="C141" s="860"/>
      <c r="D141" s="862">
        <v>4225</v>
      </c>
    </row>
    <row r="142" spans="1:4" ht="12.75">
      <c r="A142" s="861" t="s">
        <v>979</v>
      </c>
      <c r="B142" s="860"/>
      <c r="C142" s="860"/>
      <c r="D142" s="862">
        <v>910</v>
      </c>
    </row>
    <row r="143" spans="1:4" ht="12.75">
      <c r="A143" s="861" t="s">
        <v>980</v>
      </c>
      <c r="B143" s="860"/>
      <c r="C143" s="860">
        <f>44*55</f>
        <v>2420</v>
      </c>
      <c r="D143" s="862">
        <v>2990</v>
      </c>
    </row>
    <row r="144" spans="1:4" ht="25.5">
      <c r="A144" s="864" t="s">
        <v>981</v>
      </c>
      <c r="B144" s="862"/>
      <c r="C144" s="860">
        <f>27*16</f>
        <v>432</v>
      </c>
      <c r="D144" s="862">
        <v>660</v>
      </c>
    </row>
    <row r="145" spans="1:4" ht="12.75">
      <c r="A145" s="867"/>
      <c r="B145" s="869"/>
      <c r="C145" s="868"/>
      <c r="D145" s="869"/>
    </row>
    <row r="146" spans="1:4" ht="12.75">
      <c r="A146" s="37"/>
      <c r="B146" s="72"/>
      <c r="C146" s="72"/>
      <c r="D146" s="72"/>
    </row>
    <row r="147" spans="1:4" ht="12.75">
      <c r="A147" s="910">
        <v>4</v>
      </c>
      <c r="B147" s="910"/>
      <c r="C147" s="910"/>
      <c r="D147" s="910"/>
    </row>
    <row r="148" spans="1:4" ht="15.75">
      <c r="A148" s="870" t="s">
        <v>846</v>
      </c>
      <c r="B148" s="871" t="s">
        <v>847</v>
      </c>
      <c r="C148" s="871" t="s">
        <v>848</v>
      </c>
      <c r="D148" s="871" t="s">
        <v>891</v>
      </c>
    </row>
    <row r="149" spans="1:4" ht="12.75">
      <c r="A149" s="861" t="s">
        <v>982</v>
      </c>
      <c r="B149" s="860">
        <f>50*55</f>
        <v>2750</v>
      </c>
      <c r="C149" s="860"/>
      <c r="D149" s="862"/>
    </row>
    <row r="150" spans="1:4" ht="12.75">
      <c r="A150" s="861" t="s">
        <v>983</v>
      </c>
      <c r="B150" s="860">
        <f>255*55</f>
        <v>14025</v>
      </c>
      <c r="C150" s="860"/>
      <c r="D150" s="862"/>
    </row>
    <row r="151" spans="1:4" ht="12.75">
      <c r="A151" s="863" t="s">
        <v>984</v>
      </c>
      <c r="B151" s="860">
        <f>300*55</f>
        <v>16500</v>
      </c>
      <c r="C151" s="860"/>
      <c r="D151" s="862"/>
    </row>
    <row r="152" spans="1:4" ht="12.75">
      <c r="A152" s="861" t="s">
        <v>985</v>
      </c>
      <c r="B152" s="860">
        <f>103*55</f>
        <v>5665</v>
      </c>
      <c r="C152" s="860"/>
      <c r="D152" s="862"/>
    </row>
    <row r="153" spans="1:4" ht="12.75">
      <c r="A153" s="861" t="s">
        <v>986</v>
      </c>
      <c r="B153" s="860">
        <f>150*55</f>
        <v>8250</v>
      </c>
      <c r="C153" s="860"/>
      <c r="D153" s="862"/>
    </row>
    <row r="154" spans="1:4" ht="12.75">
      <c r="A154" s="859" t="s">
        <v>987</v>
      </c>
      <c r="B154" s="860">
        <f>'[2]Munka1'!$G$86</f>
        <v>0</v>
      </c>
      <c r="C154" s="860"/>
      <c r="D154" s="862"/>
    </row>
    <row r="155" spans="1:4" ht="12.75">
      <c r="A155" s="859" t="s">
        <v>988</v>
      </c>
      <c r="B155" s="860">
        <f>'[2]Munka1'!$G$87</f>
        <v>0</v>
      </c>
      <c r="C155" s="860"/>
      <c r="D155" s="862"/>
    </row>
    <row r="156" spans="1:4" ht="12.75">
      <c r="A156" s="859" t="s">
        <v>989</v>
      </c>
      <c r="B156" s="860">
        <f>'[2]Munka1'!$G$16</f>
        <v>0</v>
      </c>
      <c r="C156" s="860"/>
      <c r="D156" s="862"/>
    </row>
    <row r="157" spans="1:4" ht="12.75">
      <c r="A157" s="859" t="s">
        <v>990</v>
      </c>
      <c r="B157" s="860">
        <f>'[2]Munka1'!$G$206+'[2]Munka1'!$G$207+'[2]Munka1'!$G$147+'[2]Munka1'!$G$148</f>
        <v>0</v>
      </c>
      <c r="C157" s="860"/>
      <c r="D157" s="862"/>
    </row>
    <row r="158" spans="1:4" ht="12.75">
      <c r="A158" s="859" t="s">
        <v>991</v>
      </c>
      <c r="B158" s="860">
        <f>'[2]Munka1'!$G$149+'[2]Munka1'!$G$150+'[2]Munka1'!$G$208+'[2]Munka1'!$G$209</f>
        <v>0</v>
      </c>
      <c r="C158" s="860"/>
      <c r="D158" s="862"/>
    </row>
    <row r="159" spans="1:4" ht="12.75">
      <c r="A159" s="859" t="s">
        <v>992</v>
      </c>
      <c r="B159" s="862"/>
      <c r="C159" s="860">
        <f>805*15*8/12</f>
        <v>8050</v>
      </c>
      <c r="D159" s="862">
        <v>10812</v>
      </c>
    </row>
    <row r="160" spans="1:4" ht="12.75">
      <c r="A160" s="859" t="s">
        <v>993</v>
      </c>
      <c r="B160" s="862"/>
      <c r="C160" s="860">
        <f>820*18*4/12</f>
        <v>4920</v>
      </c>
      <c r="D160" s="862">
        <v>5556</v>
      </c>
    </row>
    <row r="161" spans="1:4" ht="12.75">
      <c r="A161" s="859" t="s">
        <v>994</v>
      </c>
      <c r="B161" s="860"/>
      <c r="C161" s="860">
        <f>162*45*8/12</f>
        <v>4860</v>
      </c>
      <c r="D161" s="862"/>
    </row>
    <row r="162" spans="1:4" ht="12.75">
      <c r="A162" s="859" t="s">
        <v>995</v>
      </c>
      <c r="B162" s="860">
        <v>1305</v>
      </c>
      <c r="C162" s="860">
        <f>68*45*4/12</f>
        <v>1020</v>
      </c>
      <c r="D162" s="862">
        <v>1620</v>
      </c>
    </row>
    <row r="163" spans="1:4" ht="12.75">
      <c r="A163" s="859" t="s">
        <v>996</v>
      </c>
      <c r="B163" s="860">
        <v>1185</v>
      </c>
      <c r="C163" s="860">
        <f>23*45*4/12</f>
        <v>345</v>
      </c>
      <c r="D163" s="862">
        <v>630</v>
      </c>
    </row>
    <row r="164" spans="1:4" ht="12.75">
      <c r="A164" s="859" t="s">
        <v>997</v>
      </c>
      <c r="B164" s="860"/>
      <c r="C164" s="860">
        <f>68*45*4/12</f>
        <v>1020</v>
      </c>
      <c r="D164" s="862">
        <v>2070</v>
      </c>
    </row>
    <row r="165" spans="1:4" ht="12.75">
      <c r="A165" s="861" t="s">
        <v>998</v>
      </c>
      <c r="B165" s="400"/>
      <c r="C165" s="860"/>
      <c r="D165" s="862">
        <v>728</v>
      </c>
    </row>
    <row r="166" spans="1:4" ht="12.75">
      <c r="A166" s="861" t="s">
        <v>999</v>
      </c>
      <c r="B166" s="400"/>
      <c r="C166" s="860"/>
      <c r="D166" s="862">
        <v>613</v>
      </c>
    </row>
    <row r="167" spans="1:4" ht="12.75">
      <c r="A167" s="861" t="s">
        <v>1000</v>
      </c>
      <c r="B167" s="400"/>
      <c r="C167" s="860"/>
      <c r="D167" s="862">
        <v>713</v>
      </c>
    </row>
    <row r="168" spans="1:4" ht="12.75">
      <c r="A168" s="863" t="s">
        <v>1001</v>
      </c>
      <c r="B168" s="860">
        <v>19979</v>
      </c>
      <c r="C168" s="860">
        <f>17520*1.135</f>
        <v>19885.2</v>
      </c>
      <c r="D168" s="862">
        <f>1061*17.389</f>
        <v>18449.729</v>
      </c>
    </row>
    <row r="169" spans="1:4" ht="12.75">
      <c r="A169" s="859" t="s">
        <v>1002</v>
      </c>
      <c r="B169" s="860">
        <f>44*3.8</f>
        <v>167.2</v>
      </c>
      <c r="C169" s="860">
        <f>44*3.8</f>
        <v>167.2</v>
      </c>
      <c r="D169" s="862">
        <v>151</v>
      </c>
    </row>
    <row r="170" spans="1:4" ht="12.75">
      <c r="A170" s="861" t="s">
        <v>1003</v>
      </c>
      <c r="B170" s="860"/>
      <c r="C170" s="860"/>
      <c r="D170" s="862"/>
    </row>
    <row r="171" spans="1:4" ht="12.75">
      <c r="A171" s="859" t="s">
        <v>1004</v>
      </c>
      <c r="B171" s="860">
        <v>3300</v>
      </c>
      <c r="C171" s="860">
        <v>3300</v>
      </c>
      <c r="D171" s="862">
        <v>3300</v>
      </c>
    </row>
    <row r="172" spans="1:4" ht="12.75">
      <c r="A172" s="861" t="s">
        <v>1005</v>
      </c>
      <c r="B172" s="865">
        <v>18289</v>
      </c>
      <c r="C172" s="860">
        <f>39886*0.513</f>
        <v>20461.518</v>
      </c>
      <c r="D172" s="860">
        <v>12774</v>
      </c>
    </row>
    <row r="173" spans="1:4" ht="12.75">
      <c r="A173" s="861" t="s">
        <v>1006</v>
      </c>
      <c r="B173" s="865">
        <f>45693*0.28</f>
        <v>12794.04</v>
      </c>
      <c r="C173" s="860">
        <f>45326*0.28</f>
        <v>12691.28</v>
      </c>
      <c r="D173" s="860">
        <v>12133</v>
      </c>
    </row>
    <row r="174" spans="1:4" ht="12.75">
      <c r="A174" s="861" t="s">
        <v>1007</v>
      </c>
      <c r="B174" s="865">
        <f>27.115*50</f>
        <v>1355.75</v>
      </c>
      <c r="C174" s="860">
        <f>45301*0.05</f>
        <v>2265.05</v>
      </c>
      <c r="D174" s="860">
        <v>3146</v>
      </c>
    </row>
    <row r="175" spans="1:4" ht="12.75">
      <c r="A175" s="861" t="s">
        <v>1008</v>
      </c>
      <c r="B175" s="865">
        <f>462*4.6</f>
        <v>2125.2</v>
      </c>
      <c r="C175" s="860">
        <f>479*7.7</f>
        <v>3688.3</v>
      </c>
      <c r="D175" s="860">
        <v>4410</v>
      </c>
    </row>
    <row r="176" spans="1:4" ht="12.75">
      <c r="A176" s="861" t="s">
        <v>1009</v>
      </c>
      <c r="B176" s="865">
        <v>107096</v>
      </c>
      <c r="C176" s="860">
        <v>115509</v>
      </c>
      <c r="D176" s="862">
        <v>116680</v>
      </c>
    </row>
    <row r="177" spans="1:4" s="91" customFormat="1" ht="12.75">
      <c r="A177" s="861" t="s">
        <v>1010</v>
      </c>
      <c r="B177" s="865">
        <v>27593</v>
      </c>
      <c r="C177" s="865">
        <v>0</v>
      </c>
      <c r="D177" s="865">
        <v>0</v>
      </c>
    </row>
    <row r="178" spans="1:4" ht="12.75">
      <c r="A178" s="861" t="s">
        <v>1011</v>
      </c>
      <c r="B178" s="860">
        <v>0</v>
      </c>
      <c r="C178" s="860">
        <v>0</v>
      </c>
      <c r="D178" s="862"/>
    </row>
    <row r="179" spans="1:4" ht="12.75">
      <c r="A179" s="863" t="s">
        <v>1012</v>
      </c>
      <c r="B179" s="860">
        <f>180*81.2</f>
        <v>14616</v>
      </c>
      <c r="C179" s="860"/>
      <c r="D179" s="862"/>
    </row>
    <row r="180" spans="1:4" ht="12.75">
      <c r="A180" s="863" t="s">
        <v>1013</v>
      </c>
      <c r="B180" s="860"/>
      <c r="C180" s="860">
        <f>140*82</f>
        <v>11480</v>
      </c>
      <c r="D180" s="862"/>
    </row>
    <row r="181" spans="1:4" ht="24">
      <c r="A181" s="874" t="s">
        <v>1014</v>
      </c>
      <c r="B181" s="860"/>
      <c r="C181" s="860">
        <f>11*92.5</f>
        <v>1017.5</v>
      </c>
      <c r="D181" s="862">
        <v>6374</v>
      </c>
    </row>
    <row r="182" spans="1:4" ht="24">
      <c r="A182" s="874" t="s">
        <v>1015</v>
      </c>
      <c r="B182" s="860"/>
      <c r="C182" s="860">
        <f>11*82</f>
        <v>902</v>
      </c>
      <c r="D182" s="862">
        <v>7182</v>
      </c>
    </row>
    <row r="183" spans="1:4" ht="24">
      <c r="A183" s="874" t="s">
        <v>1016</v>
      </c>
      <c r="B183" s="860"/>
      <c r="C183" s="860">
        <f>1*65</f>
        <v>65</v>
      </c>
      <c r="D183" s="862">
        <v>640</v>
      </c>
    </row>
    <row r="184" spans="1:4" ht="12.75">
      <c r="A184" s="863" t="s">
        <v>1017</v>
      </c>
      <c r="B184" s="860">
        <f>20*111.5</f>
        <v>2230</v>
      </c>
      <c r="C184" s="860"/>
      <c r="D184" s="862"/>
    </row>
    <row r="185" spans="1:4" ht="12.75">
      <c r="A185" s="863" t="s">
        <v>1018</v>
      </c>
      <c r="B185" s="860"/>
      <c r="C185" s="860">
        <f>12*190</f>
        <v>2280</v>
      </c>
      <c r="D185" s="862"/>
    </row>
    <row r="186" spans="1:4" ht="24">
      <c r="A186" s="874" t="s">
        <v>1019</v>
      </c>
      <c r="B186" s="860"/>
      <c r="C186" s="860">
        <f>3*275</f>
        <v>825</v>
      </c>
      <c r="D186" s="862"/>
    </row>
    <row r="187" spans="1:4" ht="24">
      <c r="A187" s="874" t="s">
        <v>1020</v>
      </c>
      <c r="B187" s="860"/>
      <c r="C187" s="860">
        <f>3*173.7</f>
        <v>521.0999999999999</v>
      </c>
      <c r="D187" s="862"/>
    </row>
    <row r="188" spans="1:4" ht="12.75">
      <c r="A188" s="859" t="s">
        <v>1021</v>
      </c>
      <c r="B188" s="860">
        <v>0</v>
      </c>
      <c r="C188" s="860"/>
      <c r="D188" s="862"/>
    </row>
    <row r="189" spans="1:4" ht="12.75">
      <c r="A189" s="861" t="s">
        <v>1022</v>
      </c>
      <c r="B189" s="860"/>
      <c r="C189" s="860">
        <f>1289*10</f>
        <v>12890</v>
      </c>
      <c r="D189" s="862">
        <v>12270</v>
      </c>
    </row>
    <row r="190" spans="1:4" ht="12.75">
      <c r="A190" s="859" t="s">
        <v>1023</v>
      </c>
      <c r="B190" s="860">
        <v>0</v>
      </c>
      <c r="C190" s="860"/>
      <c r="D190" s="862"/>
    </row>
    <row r="191" spans="1:4" ht="12.75">
      <c r="A191" s="859" t="s">
        <v>1024</v>
      </c>
      <c r="B191" s="860">
        <v>0</v>
      </c>
      <c r="C191" s="860"/>
      <c r="D191" s="862"/>
    </row>
    <row r="192" spans="1:4" ht="12.75">
      <c r="A192" s="859" t="s">
        <v>1025</v>
      </c>
      <c r="B192" s="860">
        <v>0</v>
      </c>
      <c r="C192" s="860"/>
      <c r="D192" s="862"/>
    </row>
    <row r="193" spans="1:4" ht="12.75">
      <c r="A193" s="859" t="s">
        <v>1026</v>
      </c>
      <c r="B193" s="860">
        <v>0</v>
      </c>
      <c r="C193" s="860"/>
      <c r="D193" s="862"/>
    </row>
    <row r="194" spans="1:4" ht="12.75">
      <c r="A194" s="37"/>
      <c r="B194" s="868"/>
      <c r="C194" s="868"/>
      <c r="D194" s="869"/>
    </row>
    <row r="195" spans="1:4" ht="12.75">
      <c r="A195" s="37"/>
      <c r="B195" s="868"/>
      <c r="C195" s="868"/>
      <c r="D195" s="869"/>
    </row>
    <row r="196" spans="1:4" ht="12.75">
      <c r="A196" s="37"/>
      <c r="B196" s="868"/>
      <c r="C196" s="868"/>
      <c r="D196" s="869"/>
    </row>
    <row r="197" spans="1:4" ht="12.75">
      <c r="A197" s="37"/>
      <c r="B197" s="868"/>
      <c r="C197" s="868"/>
      <c r="D197" s="869"/>
    </row>
    <row r="198" spans="1:4" ht="12.75">
      <c r="A198" s="37"/>
      <c r="B198" s="868"/>
      <c r="C198" s="868"/>
      <c r="D198" s="869"/>
    </row>
    <row r="199" spans="1:4" ht="12.75">
      <c r="A199" s="37"/>
      <c r="B199" s="868"/>
      <c r="C199" s="868"/>
      <c r="D199" s="869"/>
    </row>
    <row r="200" spans="1:4" ht="12.75">
      <c r="A200" s="910">
        <v>5</v>
      </c>
      <c r="B200" s="910"/>
      <c r="C200" s="910"/>
      <c r="D200" s="910"/>
    </row>
    <row r="201" spans="1:4" ht="15.75">
      <c r="A201" s="870" t="s">
        <v>846</v>
      </c>
      <c r="B201" s="871" t="s">
        <v>847</v>
      </c>
      <c r="C201" s="871" t="s">
        <v>848</v>
      </c>
      <c r="D201" s="871" t="s">
        <v>891</v>
      </c>
    </row>
    <row r="202" spans="1:4" ht="12.75">
      <c r="A202" s="859" t="s">
        <v>1027</v>
      </c>
      <c r="B202" s="860">
        <f>99*10</f>
        <v>990</v>
      </c>
      <c r="C202" s="860"/>
      <c r="D202" s="862"/>
    </row>
    <row r="203" spans="1:4" ht="12.75">
      <c r="A203" s="859" t="s">
        <v>1028</v>
      </c>
      <c r="B203" s="860">
        <f>36*10</f>
        <v>360</v>
      </c>
      <c r="C203" s="860"/>
      <c r="D203" s="862"/>
    </row>
    <row r="204" spans="1:4" ht="12.75">
      <c r="A204" s="859" t="s">
        <v>1029</v>
      </c>
      <c r="B204" s="860">
        <f>15*10</f>
        <v>150</v>
      </c>
      <c r="C204" s="860"/>
      <c r="D204" s="862"/>
    </row>
    <row r="205" spans="1:4" ht="12.75">
      <c r="A205" s="859" t="s">
        <v>1030</v>
      </c>
      <c r="B205" s="860">
        <f>630*10</f>
        <v>6300</v>
      </c>
      <c r="C205" s="860"/>
      <c r="D205" s="862"/>
    </row>
    <row r="206" spans="1:4" ht="12.75">
      <c r="A206" s="859" t="s">
        <v>1031</v>
      </c>
      <c r="B206" s="860"/>
      <c r="C206" s="860"/>
      <c r="D206" s="862"/>
    </row>
    <row r="207" spans="1:4" ht="12.75">
      <c r="A207" s="859" t="s">
        <v>1032</v>
      </c>
      <c r="B207" s="860">
        <f>430*10</f>
        <v>4300</v>
      </c>
      <c r="C207" s="860"/>
      <c r="D207" s="862"/>
    </row>
    <row r="208" spans="1:4" ht="12.75">
      <c r="A208" s="859" t="s">
        <v>1033</v>
      </c>
      <c r="B208" s="860">
        <f>'[2]Munka1'!$G$95+'[2]Munka1'!$G$154+'[2]Munka1'!$G$211</f>
        <v>0</v>
      </c>
      <c r="C208" s="860">
        <f>2800*1</f>
        <v>2800</v>
      </c>
      <c r="D208" s="862">
        <v>1704</v>
      </c>
    </row>
    <row r="209" spans="1:4" ht="12.75">
      <c r="A209" s="859" t="s">
        <v>1034</v>
      </c>
      <c r="B209" s="860"/>
      <c r="C209" s="860"/>
      <c r="D209" s="862"/>
    </row>
    <row r="210" spans="1:4" ht="12.75">
      <c r="A210" s="861" t="s">
        <v>1035</v>
      </c>
      <c r="B210" s="860">
        <f>'[2]Munka1'!$G$17+'[2]Munka1'!$G$96+'[2]Munka1'!$G$155+'[2]Munka1'!$G$212</f>
        <v>0</v>
      </c>
      <c r="C210" s="860"/>
      <c r="D210" s="862"/>
    </row>
    <row r="211" spans="1:4" ht="12.75">
      <c r="A211" s="859" t="s">
        <v>1036</v>
      </c>
      <c r="B211" s="860">
        <f>17603*0.515</f>
        <v>9065.545</v>
      </c>
      <c r="C211" s="860">
        <f>17520*0.515</f>
        <v>9022.800000000001</v>
      </c>
      <c r="D211" s="862">
        <f>17.389*515</f>
        <v>8955.335</v>
      </c>
    </row>
    <row r="212" spans="1:4" ht="12.75">
      <c r="A212" s="875" t="s">
        <v>1037</v>
      </c>
      <c r="B212" s="862">
        <f>SUM(B153:B211)+SUM(B8:B152)</f>
        <v>429770.875</v>
      </c>
      <c r="C212" s="862">
        <f>SUM(C153:C211)+SUM(C8:C152)</f>
        <v>1174746.1146666668</v>
      </c>
      <c r="D212" s="862">
        <f>SUM(D153:D211)+SUM(D8:D152)</f>
        <v>1154325.1369999999</v>
      </c>
    </row>
    <row r="213" spans="1:4" ht="12.75">
      <c r="A213" s="37"/>
      <c r="B213" s="72"/>
      <c r="C213" s="515"/>
      <c r="D213" s="515"/>
    </row>
    <row r="214" spans="1:4" ht="12.75">
      <c r="A214" s="966"/>
      <c r="B214" s="966"/>
      <c r="C214" s="966"/>
      <c r="D214" s="876"/>
    </row>
    <row r="215" spans="1:4" ht="12.75">
      <c r="A215" s="37"/>
      <c r="B215" s="72"/>
      <c r="C215" s="515"/>
      <c r="D215" s="515"/>
    </row>
    <row r="216" spans="1:4" ht="12.75">
      <c r="A216" s="918"/>
      <c r="B216" s="918"/>
      <c r="C216" s="918"/>
      <c r="D216" s="812"/>
    </row>
    <row r="217" spans="1:4" ht="15.75">
      <c r="A217" s="904" t="s">
        <v>1038</v>
      </c>
      <c r="B217" s="904"/>
      <c r="C217" s="904"/>
      <c r="D217" s="904"/>
    </row>
    <row r="218" spans="1:4" ht="12.75">
      <c r="A218" s="37"/>
      <c r="B218" s="72"/>
      <c r="C218" s="515"/>
      <c r="D218" s="515"/>
    </row>
    <row r="219" spans="1:4" ht="15.75">
      <c r="A219" s="870" t="s">
        <v>846</v>
      </c>
      <c r="B219" s="877" t="s">
        <v>847</v>
      </c>
      <c r="C219" s="878" t="s">
        <v>848</v>
      </c>
      <c r="D219" s="871" t="s">
        <v>891</v>
      </c>
    </row>
    <row r="220" spans="1:4" ht="12.75">
      <c r="A220" s="875" t="s">
        <v>1039</v>
      </c>
      <c r="B220" s="860">
        <v>22789</v>
      </c>
      <c r="C220" s="879">
        <v>23567</v>
      </c>
      <c r="D220" s="860"/>
    </row>
    <row r="221" spans="1:4" ht="12.75">
      <c r="A221" s="861" t="s">
        <v>1040</v>
      </c>
      <c r="B221" s="860">
        <f>7*1020</f>
        <v>7140</v>
      </c>
      <c r="C221" s="879">
        <v>7140</v>
      </c>
      <c r="D221" s="862">
        <v>7760</v>
      </c>
    </row>
    <row r="222" spans="1:4" ht="12.75">
      <c r="A222" s="859" t="s">
        <v>1041</v>
      </c>
      <c r="B222" s="860">
        <f>'[2]Munka1'!$G$22+'[2]Munka1'!$G$23+'[2]Munka1'!$G$99+'[2]Munka1'!$G$100+'[2]Munka1'!$G$158+'[2]Munka1'!$G$159+'[2]Munka1'!$G$215+'[2]Munka1'!$G$216+'[2]Munka1'!$G$248+'[2]Munka1'!$G$249</f>
        <v>0</v>
      </c>
      <c r="C222" s="879">
        <f>303*11.7</f>
        <v>3545.1</v>
      </c>
      <c r="D222" s="862">
        <f>301*11.7*8/12+296*11.7*4/12</f>
        <v>3502.2</v>
      </c>
    </row>
    <row r="223" spans="1:4" ht="12.75">
      <c r="A223" s="859" t="s">
        <v>1042</v>
      </c>
      <c r="B223" s="860">
        <f>38*9.4</f>
        <v>357.2</v>
      </c>
      <c r="C223" s="879">
        <f>18*9.4</f>
        <v>169.20000000000002</v>
      </c>
      <c r="D223" s="862">
        <f>16*9.4</f>
        <v>150.4</v>
      </c>
    </row>
    <row r="224" spans="1:4" ht="12.75">
      <c r="A224" s="859" t="s">
        <v>1043</v>
      </c>
      <c r="B224" s="862"/>
      <c r="C224" s="880"/>
      <c r="D224" s="862">
        <v>707</v>
      </c>
    </row>
    <row r="225" spans="1:4" ht="12.75">
      <c r="A225" s="875" t="s">
        <v>469</v>
      </c>
      <c r="B225" s="862">
        <f>SUM(B220:B224)</f>
        <v>30286.2</v>
      </c>
      <c r="C225" s="880">
        <f>SUM(C220:C224)</f>
        <v>34421.299999999996</v>
      </c>
      <c r="D225" s="862">
        <f>SUM(D220:D224)-1</f>
        <v>12118.6</v>
      </c>
    </row>
    <row r="226" spans="1:4" ht="12.75">
      <c r="A226" s="875" t="s">
        <v>1044</v>
      </c>
      <c r="B226" s="881"/>
      <c r="C226" s="880"/>
      <c r="D226" s="862"/>
    </row>
    <row r="227" spans="1:4" ht="12.75">
      <c r="A227" s="859" t="s">
        <v>1045</v>
      </c>
      <c r="B227" s="860"/>
      <c r="C227" s="880"/>
      <c r="D227" s="862"/>
    </row>
    <row r="228" spans="1:4" ht="12.75">
      <c r="A228" s="859" t="s">
        <v>1046</v>
      </c>
      <c r="B228" s="860">
        <f>59*3920.172</f>
        <v>231290.14800000002</v>
      </c>
      <c r="C228" s="879">
        <f>62*3920172/1000-1</f>
        <v>243049.664</v>
      </c>
      <c r="D228" s="862">
        <v>259313</v>
      </c>
    </row>
    <row r="229" spans="1:4" ht="12.75">
      <c r="A229" s="859" t="s">
        <v>535</v>
      </c>
      <c r="B229" s="862"/>
      <c r="C229" s="879"/>
      <c r="D229" s="862"/>
    </row>
    <row r="230" spans="1:4" ht="12.75">
      <c r="A230" s="861" t="s">
        <v>1047</v>
      </c>
      <c r="B230" s="860">
        <f>1083*4.717</f>
        <v>5108.5109999999995</v>
      </c>
      <c r="C230" s="879">
        <f>1083*4717/1000</f>
        <v>5108.511</v>
      </c>
      <c r="D230" s="862">
        <f>1083*4.897+1</f>
        <v>5304.451</v>
      </c>
    </row>
    <row r="231" spans="1:4" ht="32.25" customHeight="1">
      <c r="A231" s="861" t="s">
        <v>1048</v>
      </c>
      <c r="B231" s="860">
        <f>84855*0.115</f>
        <v>9758.325</v>
      </c>
      <c r="C231" s="879">
        <f>84548*115/1000</f>
        <v>9723.02</v>
      </c>
      <c r="D231" s="862">
        <f>87133*0.138</f>
        <v>12024.354000000001</v>
      </c>
    </row>
    <row r="232" spans="1:4" ht="12.75">
      <c r="A232" s="859" t="s">
        <v>1049</v>
      </c>
      <c r="B232" s="860"/>
      <c r="C232" s="879"/>
      <c r="D232" s="862"/>
    </row>
    <row r="233" spans="1:4" ht="12.75">
      <c r="A233" s="861" t="s">
        <v>1050</v>
      </c>
      <c r="B233" s="860">
        <f>3*500</f>
        <v>1500</v>
      </c>
      <c r="C233" s="879">
        <f>3*500</f>
        <v>1500</v>
      </c>
      <c r="D233" s="862">
        <f>3*500</f>
        <v>1500</v>
      </c>
    </row>
    <row r="234" spans="1:4" ht="12.75">
      <c r="A234" s="859" t="s">
        <v>1051</v>
      </c>
      <c r="B234" s="862"/>
      <c r="C234" s="879">
        <v>0</v>
      </c>
      <c r="D234" s="862">
        <v>0</v>
      </c>
    </row>
    <row r="235" spans="1:4" ht="12.75">
      <c r="A235" s="875" t="s">
        <v>469</v>
      </c>
      <c r="B235" s="862">
        <f>SUM(B228:B234)</f>
        <v>247656.98400000003</v>
      </c>
      <c r="C235" s="880">
        <f>SUM(C228:C234)+1</f>
        <v>259382.19499999998</v>
      </c>
      <c r="D235" s="862">
        <f>SUM(D228:D234)-1</f>
        <v>278140.805</v>
      </c>
    </row>
    <row r="236" spans="1:4" ht="12.75">
      <c r="A236" s="875" t="s">
        <v>1052</v>
      </c>
      <c r="B236" s="862">
        <f>B225+B235</f>
        <v>277943.184</v>
      </c>
      <c r="C236" s="880">
        <f>C235+C225</f>
        <v>293803.495</v>
      </c>
      <c r="D236" s="862">
        <f>D235+D225</f>
        <v>290259.40499999997</v>
      </c>
    </row>
    <row r="237" spans="1:4" ht="12.75">
      <c r="A237" s="875" t="s">
        <v>1053</v>
      </c>
      <c r="B237" s="862">
        <f>B212+B236</f>
        <v>707714.059</v>
      </c>
      <c r="C237" s="880">
        <f>C236+C212</f>
        <v>1468549.609666667</v>
      </c>
      <c r="D237" s="862">
        <f>D236+D212</f>
        <v>1444584.542</v>
      </c>
    </row>
    <row r="238" spans="1:4" ht="12.75">
      <c r="A238" s="859"/>
      <c r="B238" s="881"/>
      <c r="C238" s="880"/>
      <c r="D238" s="862"/>
    </row>
    <row r="239" spans="1:4" ht="12.75">
      <c r="A239" s="859" t="s">
        <v>1054</v>
      </c>
      <c r="B239" s="860">
        <v>144041</v>
      </c>
      <c r="C239" s="879">
        <v>162581</v>
      </c>
      <c r="D239" s="862">
        <v>190789</v>
      </c>
    </row>
    <row r="240" spans="1:4" ht="12.75">
      <c r="A240" s="882" t="s">
        <v>1055</v>
      </c>
      <c r="B240" s="860">
        <v>218552</v>
      </c>
      <c r="C240" s="879">
        <v>220829</v>
      </c>
      <c r="D240" s="862">
        <v>241339</v>
      </c>
    </row>
    <row r="241" spans="1:4" ht="12.75">
      <c r="A241" s="875" t="s">
        <v>1053</v>
      </c>
      <c r="B241" s="862">
        <f>SUM(B237:B240)</f>
        <v>1070307.059</v>
      </c>
      <c r="C241" s="880">
        <f>SUM(C237:C240)</f>
        <v>1851959.609666667</v>
      </c>
      <c r="D241" s="862">
        <f>SUM(D237:D240)</f>
        <v>1876712.542</v>
      </c>
    </row>
  </sheetData>
  <sheetProtection/>
  <mergeCells count="9">
    <mergeCell ref="A214:C214"/>
    <mergeCell ref="A216:C216"/>
    <mergeCell ref="A217:D217"/>
    <mergeCell ref="A3:D3"/>
    <mergeCell ref="A4:D4"/>
    <mergeCell ref="A49:D49"/>
    <mergeCell ref="A92:D92"/>
    <mergeCell ref="A147:D147"/>
    <mergeCell ref="A200:D200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1056</v>
      </c>
    </row>
    <row r="5" spans="1:2" ht="15.75">
      <c r="A5" s="964" t="s">
        <v>1057</v>
      </c>
      <c r="B5" s="964"/>
    </row>
    <row r="10" spans="1:2" ht="12.75">
      <c r="A10" s="883" t="s">
        <v>5</v>
      </c>
      <c r="B10" s="883" t="s">
        <v>1058</v>
      </c>
    </row>
    <row r="11" spans="1:2" ht="12.75">
      <c r="A11" s="859"/>
      <c r="B11" s="859"/>
    </row>
    <row r="12" spans="1:2" ht="12.75">
      <c r="A12" s="884" t="s">
        <v>1059</v>
      </c>
      <c r="B12" s="859"/>
    </row>
    <row r="13" spans="1:2" ht="12.75">
      <c r="A13" s="884" t="s">
        <v>1060</v>
      </c>
      <c r="B13" s="859"/>
    </row>
    <row r="14" spans="1:2" ht="12.75">
      <c r="A14" s="859" t="s">
        <v>1061</v>
      </c>
      <c r="B14" s="881">
        <v>4924</v>
      </c>
    </row>
    <row r="15" spans="1:2" ht="12.75">
      <c r="A15" s="859" t="s">
        <v>1062</v>
      </c>
      <c r="B15" s="881">
        <v>76499</v>
      </c>
    </row>
    <row r="16" spans="1:2" ht="12.75">
      <c r="A16" s="859" t="s">
        <v>1063</v>
      </c>
      <c r="B16" s="881">
        <v>19588</v>
      </c>
    </row>
    <row r="17" spans="1:2" ht="12.75">
      <c r="A17" s="859" t="s">
        <v>1064</v>
      </c>
      <c r="B17" s="881">
        <v>9707</v>
      </c>
    </row>
    <row r="18" spans="1:2" ht="12.75">
      <c r="A18" s="859" t="s">
        <v>1065</v>
      </c>
      <c r="B18" s="885">
        <v>19710</v>
      </c>
    </row>
    <row r="19" spans="1:2" ht="12.75">
      <c r="A19" s="859" t="s">
        <v>1066</v>
      </c>
      <c r="B19" s="885">
        <v>19250</v>
      </c>
    </row>
    <row r="20" spans="1:2" ht="12.75">
      <c r="A20" s="859" t="s">
        <v>1067</v>
      </c>
      <c r="B20" s="885">
        <v>9655</v>
      </c>
    </row>
    <row r="21" spans="1:2" ht="12.75">
      <c r="A21" s="884" t="s">
        <v>1068</v>
      </c>
      <c r="B21" s="881">
        <v>29000</v>
      </c>
    </row>
    <row r="22" spans="1:2" ht="12.75">
      <c r="A22" s="884" t="s">
        <v>1069</v>
      </c>
      <c r="B22" s="881">
        <v>24242</v>
      </c>
    </row>
    <row r="23" spans="1:2" ht="12.75">
      <c r="A23" s="884" t="s">
        <v>1070</v>
      </c>
      <c r="B23" s="886">
        <f>SUM(B14:B22)</f>
        <v>212575</v>
      </c>
    </row>
    <row r="24" spans="1:2" ht="12.75">
      <c r="A24" s="859"/>
      <c r="B24" s="859"/>
    </row>
    <row r="25" spans="1:2" ht="12.75">
      <c r="A25" s="859"/>
      <c r="B25" s="859"/>
    </row>
    <row r="26" spans="1:2" ht="12.75">
      <c r="A26" s="859"/>
      <c r="B26" s="859"/>
    </row>
    <row r="27" spans="1:2" ht="12.75">
      <c r="A27" s="884" t="s">
        <v>1071</v>
      </c>
      <c r="B27" s="859"/>
    </row>
    <row r="28" spans="1:2" ht="12.75">
      <c r="A28" s="859" t="s">
        <v>1072</v>
      </c>
      <c r="B28" s="881">
        <v>33955</v>
      </c>
    </row>
    <row r="29" spans="1:2" ht="12.75">
      <c r="A29" s="859" t="s">
        <v>1062</v>
      </c>
      <c r="B29" s="881">
        <v>90000</v>
      </c>
    </row>
    <row r="30" spans="1:2" ht="12.75">
      <c r="A30" s="859" t="s">
        <v>1063</v>
      </c>
      <c r="B30" s="881">
        <v>22080</v>
      </c>
    </row>
    <row r="31" spans="1:2" ht="12.75">
      <c r="A31" s="859" t="s">
        <v>1064</v>
      </c>
      <c r="B31" s="881">
        <v>11100</v>
      </c>
    </row>
    <row r="32" spans="1:2" ht="12.75">
      <c r="A32" s="859" t="s">
        <v>1065</v>
      </c>
      <c r="B32" s="881">
        <v>22200</v>
      </c>
    </row>
    <row r="33" spans="1:2" ht="12.75">
      <c r="A33" s="859" t="s">
        <v>1066</v>
      </c>
      <c r="B33" s="881">
        <v>22200</v>
      </c>
    </row>
    <row r="34" spans="1:2" ht="12.75">
      <c r="A34" s="859" t="s">
        <v>1067</v>
      </c>
      <c r="B34" s="881">
        <v>11040</v>
      </c>
    </row>
    <row r="35" spans="1:2" ht="12.75">
      <c r="A35" s="859"/>
      <c r="B35" s="859"/>
    </row>
    <row r="36" spans="1:2" ht="12.75">
      <c r="A36" s="884" t="s">
        <v>1073</v>
      </c>
      <c r="B36" s="886">
        <f>SUM(B28:B35)</f>
        <v>212575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0">
      <selection activeCell="A27" sqref="A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545" t="s">
        <v>1074</v>
      </c>
    </row>
    <row r="4" spans="1:2" ht="18">
      <c r="A4" s="942" t="s">
        <v>1075</v>
      </c>
      <c r="B4" s="942"/>
    </row>
    <row r="7" ht="12.75">
      <c r="B7" s="416" t="s">
        <v>1076</v>
      </c>
    </row>
    <row r="8" spans="1:2" ht="15.75">
      <c r="A8" s="887" t="s">
        <v>5</v>
      </c>
      <c r="B8" s="888" t="s">
        <v>449</v>
      </c>
    </row>
    <row r="9" spans="1:2" ht="15.75">
      <c r="A9" s="889"/>
      <c r="B9" s="890"/>
    </row>
    <row r="10" spans="1:2" ht="15.75">
      <c r="A10" s="889" t="s">
        <v>1077</v>
      </c>
      <c r="B10" s="890"/>
    </row>
    <row r="11" spans="1:2" ht="15.75">
      <c r="A11" s="889" t="s">
        <v>1078</v>
      </c>
      <c r="B11" s="890">
        <v>554</v>
      </c>
    </row>
    <row r="12" spans="1:2" ht="15.75">
      <c r="A12" s="889" t="s">
        <v>1079</v>
      </c>
      <c r="B12" s="890">
        <v>5000</v>
      </c>
    </row>
    <row r="13" spans="1:2" ht="15.75">
      <c r="A13" s="889" t="s">
        <v>1080</v>
      </c>
      <c r="B13" s="890">
        <v>1000</v>
      </c>
    </row>
    <row r="14" spans="1:2" ht="15.75">
      <c r="A14" s="889" t="s">
        <v>1081</v>
      </c>
      <c r="B14" s="890">
        <v>2000</v>
      </c>
    </row>
    <row r="15" spans="1:2" ht="15.75">
      <c r="A15" s="889" t="s">
        <v>1082</v>
      </c>
      <c r="B15" s="890">
        <v>1000</v>
      </c>
    </row>
    <row r="16" spans="1:2" ht="15.75">
      <c r="A16" s="889" t="s">
        <v>1083</v>
      </c>
      <c r="B16" s="890">
        <v>10000</v>
      </c>
    </row>
    <row r="17" spans="1:2" ht="15.75">
      <c r="A17" s="889" t="s">
        <v>1084</v>
      </c>
      <c r="B17" s="890">
        <v>8333</v>
      </c>
    </row>
    <row r="18" spans="1:2" ht="15.75">
      <c r="A18" s="889" t="s">
        <v>1085</v>
      </c>
      <c r="B18" s="890">
        <v>5578</v>
      </c>
    </row>
    <row r="19" spans="1:2" ht="15.75">
      <c r="A19" s="889" t="s">
        <v>1086</v>
      </c>
      <c r="B19" s="890"/>
    </row>
    <row r="20" spans="1:2" ht="15.75">
      <c r="A20" s="891" t="s">
        <v>1087</v>
      </c>
      <c r="B20" s="892">
        <f>SUM(B11:B19)</f>
        <v>33465</v>
      </c>
    </row>
    <row r="21" spans="1:2" ht="15.75">
      <c r="A21" s="891"/>
      <c r="B21" s="892"/>
    </row>
    <row r="22" spans="1:2" ht="15.75">
      <c r="A22" s="889" t="s">
        <v>565</v>
      </c>
      <c r="B22" s="890"/>
    </row>
    <row r="23" spans="1:2" ht="15.75">
      <c r="A23" s="889" t="s">
        <v>567</v>
      </c>
      <c r="B23" s="890">
        <v>32733</v>
      </c>
    </row>
    <row r="24" spans="1:2" ht="15.75">
      <c r="A24" s="891" t="s">
        <v>1088</v>
      </c>
      <c r="B24" s="892">
        <f>SUM(B22:B23)</f>
        <v>32733</v>
      </c>
    </row>
    <row r="25" spans="1:2" ht="15.75">
      <c r="A25" s="891"/>
      <c r="B25" s="892"/>
    </row>
    <row r="26" spans="1:2" ht="15.75">
      <c r="A26" s="893" t="s">
        <v>1089</v>
      </c>
      <c r="B26" s="894">
        <f>B20+B24</f>
        <v>66198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116">
      <selection activeCell="B143" sqref="B143"/>
    </sheetView>
  </sheetViews>
  <sheetFormatPr defaultColWidth="9.140625" defaultRowHeight="12.75"/>
  <cols>
    <col min="1" max="1" width="65.28125" style="0" customWidth="1"/>
    <col min="2" max="2" width="19.00390625" style="0" customWidth="1"/>
    <col min="3" max="3" width="13.8515625" style="0" customWidth="1"/>
  </cols>
  <sheetData>
    <row r="1" ht="12.75">
      <c r="B1" s="515" t="s">
        <v>1090</v>
      </c>
    </row>
    <row r="2" ht="9" customHeight="1">
      <c r="B2" s="515"/>
    </row>
    <row r="3" spans="1:2" s="895" customFormat="1" ht="15.75">
      <c r="A3" s="904" t="s">
        <v>1091</v>
      </c>
      <c r="B3" s="904"/>
    </row>
    <row r="4" spans="1:2" ht="11.25" customHeight="1">
      <c r="A4" s="27"/>
      <c r="B4" s="27"/>
    </row>
    <row r="5" ht="12.75">
      <c r="B5" s="416" t="s">
        <v>34</v>
      </c>
    </row>
    <row r="6" spans="1:2" ht="25.5">
      <c r="A6" s="896" t="s">
        <v>373</v>
      </c>
      <c r="B6" s="139" t="s">
        <v>180</v>
      </c>
    </row>
    <row r="7" spans="1:2" ht="12.75">
      <c r="A7" s="859" t="s">
        <v>1092</v>
      </c>
      <c r="B7" s="862">
        <f>17389*1.057</f>
        <v>18380.173</v>
      </c>
    </row>
    <row r="8" spans="1:2" ht="15.75" customHeight="1">
      <c r="A8" s="861" t="s">
        <v>852</v>
      </c>
      <c r="B8" s="862">
        <f>17.389*500</f>
        <v>8694.5</v>
      </c>
    </row>
    <row r="9" spans="1:2" ht="15.75" customHeight="1">
      <c r="A9" s="863" t="s">
        <v>853</v>
      </c>
      <c r="B9" s="862">
        <f>12*300</f>
        <v>3600</v>
      </c>
    </row>
    <row r="10" spans="1:2" ht="16.5" customHeight="1">
      <c r="A10" s="859" t="s">
        <v>1093</v>
      </c>
      <c r="B10" s="862">
        <f>16000*2</f>
        <v>32000</v>
      </c>
    </row>
    <row r="11" spans="1:2" ht="18" customHeight="1">
      <c r="A11" s="8" t="s">
        <v>1094</v>
      </c>
      <c r="B11" s="336">
        <f>56*540.15</f>
        <v>30248.399999999998</v>
      </c>
    </row>
    <row r="12" spans="1:2" ht="15" customHeight="1">
      <c r="A12" s="8" t="s">
        <v>1095</v>
      </c>
      <c r="B12" s="336">
        <f>19*65</f>
        <v>1235</v>
      </c>
    </row>
    <row r="13" spans="1:2" ht="24" customHeight="1">
      <c r="A13" s="864" t="s">
        <v>865</v>
      </c>
      <c r="B13" s="866">
        <v>30770</v>
      </c>
    </row>
    <row r="14" spans="1:2" ht="24" customHeight="1">
      <c r="A14" s="864" t="s">
        <v>866</v>
      </c>
      <c r="B14" s="866">
        <v>37230</v>
      </c>
    </row>
    <row r="15" spans="1:2" ht="24" customHeight="1">
      <c r="A15" s="864" t="s">
        <v>867</v>
      </c>
      <c r="B15" s="866">
        <v>30903</v>
      </c>
    </row>
    <row r="16" spans="1:2" ht="24" customHeight="1">
      <c r="A16" s="863" t="s">
        <v>876</v>
      </c>
      <c r="B16" s="862">
        <f>22610</f>
        <v>22610</v>
      </c>
    </row>
    <row r="17" spans="1:2" ht="24" customHeight="1">
      <c r="A17" s="863" t="s">
        <v>877</v>
      </c>
      <c r="B17" s="862">
        <v>14450</v>
      </c>
    </row>
    <row r="18" spans="1:2" ht="24" customHeight="1">
      <c r="A18" s="863" t="s">
        <v>878</v>
      </c>
      <c r="B18" s="862">
        <v>21760</v>
      </c>
    </row>
    <row r="19" spans="1:2" ht="24" customHeight="1">
      <c r="A19" s="863" t="s">
        <v>879</v>
      </c>
      <c r="B19" s="862">
        <v>11007</v>
      </c>
    </row>
    <row r="20" spans="1:2" ht="24" customHeight="1">
      <c r="A20" s="863" t="s">
        <v>880</v>
      </c>
      <c r="B20" s="862">
        <v>6350</v>
      </c>
    </row>
    <row r="21" spans="1:2" ht="24" customHeight="1">
      <c r="A21" s="863" t="s">
        <v>881</v>
      </c>
      <c r="B21" s="862">
        <v>9906</v>
      </c>
    </row>
    <row r="22" spans="1:2" ht="24" customHeight="1">
      <c r="A22" s="859" t="s">
        <v>896</v>
      </c>
      <c r="B22" s="862">
        <v>34850</v>
      </c>
    </row>
    <row r="23" spans="1:2" ht="25.5" customHeight="1">
      <c r="A23" s="859" t="s">
        <v>897</v>
      </c>
      <c r="B23" s="862">
        <v>48620</v>
      </c>
    </row>
    <row r="24" spans="1:2" ht="24" customHeight="1">
      <c r="A24" s="859" t="s">
        <v>898</v>
      </c>
      <c r="B24" s="862">
        <v>16172</v>
      </c>
    </row>
    <row r="25" spans="1:2" ht="18.75" customHeight="1">
      <c r="A25" s="859" t="s">
        <v>899</v>
      </c>
      <c r="B25" s="862">
        <v>9821</v>
      </c>
    </row>
    <row r="26" spans="1:2" ht="18.75" customHeight="1">
      <c r="A26" s="859" t="s">
        <v>900</v>
      </c>
      <c r="B26" s="862">
        <v>13123</v>
      </c>
    </row>
    <row r="27" spans="1:2" ht="24" customHeight="1">
      <c r="A27" s="864" t="s">
        <v>910</v>
      </c>
      <c r="B27" s="862">
        <v>320</v>
      </c>
    </row>
    <row r="28" spans="1:2" ht="24" customHeight="1">
      <c r="A28" s="864" t="s">
        <v>911</v>
      </c>
      <c r="B28" s="862">
        <v>159</v>
      </c>
    </row>
    <row r="29" spans="1:2" ht="24" customHeight="1">
      <c r="A29" s="864" t="s">
        <v>912</v>
      </c>
      <c r="B29" s="862">
        <v>1024</v>
      </c>
    </row>
    <row r="30" spans="1:2" ht="24" customHeight="1">
      <c r="A30" s="864" t="s">
        <v>913</v>
      </c>
      <c r="B30" s="862">
        <v>382</v>
      </c>
    </row>
    <row r="31" spans="1:2" ht="24" customHeight="1">
      <c r="A31" s="864" t="s">
        <v>914</v>
      </c>
      <c r="B31" s="862">
        <v>3584</v>
      </c>
    </row>
    <row r="32" spans="1:2" ht="24" customHeight="1">
      <c r="A32" s="864" t="s">
        <v>915</v>
      </c>
      <c r="B32" s="862">
        <v>1593</v>
      </c>
    </row>
    <row r="33" spans="1:2" ht="24" customHeight="1">
      <c r="A33" s="864" t="s">
        <v>916</v>
      </c>
      <c r="B33" s="862">
        <v>1147</v>
      </c>
    </row>
    <row r="34" spans="1:2" ht="24" customHeight="1">
      <c r="A34" s="864" t="s">
        <v>917</v>
      </c>
      <c r="B34" s="862">
        <v>2592</v>
      </c>
    </row>
    <row r="35" spans="1:2" ht="24" customHeight="1">
      <c r="A35" s="37"/>
      <c r="B35" s="72"/>
    </row>
    <row r="36" spans="1:2" ht="15.75" customHeight="1">
      <c r="A36" s="967">
        <v>2</v>
      </c>
      <c r="B36" s="967"/>
    </row>
    <row r="37" ht="15.75" customHeight="1">
      <c r="B37" s="515" t="s">
        <v>1090</v>
      </c>
    </row>
    <row r="38" ht="9.75" customHeight="1"/>
    <row r="39" spans="1:2" ht="16.5" customHeight="1">
      <c r="A39" s="904" t="s">
        <v>1091</v>
      </c>
      <c r="B39" s="904"/>
    </row>
    <row r="40" spans="1:2" ht="13.5" customHeight="1">
      <c r="A40" s="27"/>
      <c r="B40" s="27"/>
    </row>
    <row r="41" ht="12" customHeight="1">
      <c r="B41" s="416" t="s">
        <v>34</v>
      </c>
    </row>
    <row r="42" spans="1:2" ht="24" customHeight="1">
      <c r="A42" s="896" t="s">
        <v>373</v>
      </c>
      <c r="B42" s="897" t="s">
        <v>180</v>
      </c>
    </row>
    <row r="43" spans="1:2" ht="18" customHeight="1">
      <c r="A43" s="861" t="s">
        <v>925</v>
      </c>
      <c r="B43" s="862">
        <v>105740</v>
      </c>
    </row>
    <row r="44" spans="1:2" ht="16.5" customHeight="1">
      <c r="A44" s="861" t="s">
        <v>926</v>
      </c>
      <c r="B44" s="862">
        <v>53933</v>
      </c>
    </row>
    <row r="45" spans="1:2" ht="16.5" customHeight="1">
      <c r="A45" s="861" t="s">
        <v>927</v>
      </c>
      <c r="B45" s="862">
        <v>95710</v>
      </c>
    </row>
    <row r="46" spans="1:2" ht="16.5" customHeight="1">
      <c r="A46" s="861" t="s">
        <v>928</v>
      </c>
      <c r="B46" s="862">
        <v>20320</v>
      </c>
    </row>
    <row r="47" spans="1:2" ht="16.5" customHeight="1">
      <c r="A47" s="861" t="s">
        <v>929</v>
      </c>
      <c r="B47" s="862">
        <v>26501</v>
      </c>
    </row>
    <row r="48" spans="1:2" ht="16.5" customHeight="1">
      <c r="A48" s="864" t="s">
        <v>933</v>
      </c>
      <c r="B48" s="862">
        <v>38420</v>
      </c>
    </row>
    <row r="49" spans="1:2" ht="15" customHeight="1">
      <c r="A49" s="864" t="s">
        <v>934</v>
      </c>
      <c r="B49" s="862">
        <v>3910</v>
      </c>
    </row>
    <row r="50" spans="1:2" ht="15.75" customHeight="1">
      <c r="A50" s="864" t="s">
        <v>935</v>
      </c>
      <c r="B50" s="862">
        <v>25061</v>
      </c>
    </row>
    <row r="51" spans="1:2" ht="18.75" customHeight="1">
      <c r="A51" s="861" t="s">
        <v>937</v>
      </c>
      <c r="B51" s="862">
        <v>5627</v>
      </c>
    </row>
    <row r="52" spans="1:2" s="780" customFormat="1" ht="18" customHeight="1">
      <c r="A52" s="861" t="s">
        <v>938</v>
      </c>
      <c r="B52" s="862">
        <v>2609</v>
      </c>
    </row>
    <row r="53" spans="1:2" ht="17.25" customHeight="1">
      <c r="A53" s="861" t="s">
        <v>939</v>
      </c>
      <c r="B53" s="862">
        <v>672</v>
      </c>
    </row>
    <row r="54" spans="1:2" ht="18" customHeight="1">
      <c r="A54" s="861" t="s">
        <v>940</v>
      </c>
      <c r="B54" s="862">
        <v>671</v>
      </c>
    </row>
    <row r="55" spans="1:2" ht="16.5" customHeight="1">
      <c r="A55" s="859" t="s">
        <v>941</v>
      </c>
      <c r="B55" s="862">
        <v>4809</v>
      </c>
    </row>
    <row r="56" spans="1:2" ht="16.5" customHeight="1">
      <c r="A56" s="861" t="s">
        <v>942</v>
      </c>
      <c r="B56" s="862">
        <v>2177</v>
      </c>
    </row>
    <row r="57" spans="1:2" ht="16.5" customHeight="1">
      <c r="A57" s="859" t="s">
        <v>943</v>
      </c>
      <c r="B57" s="862">
        <v>2494</v>
      </c>
    </row>
    <row r="58" spans="1:2" ht="16.5" customHeight="1">
      <c r="A58" s="859" t="s">
        <v>944</v>
      </c>
      <c r="B58" s="862">
        <v>1244</v>
      </c>
    </row>
    <row r="59" spans="1:2" ht="16.5" customHeight="1">
      <c r="A59" s="859" t="s">
        <v>945</v>
      </c>
      <c r="B59" s="862">
        <v>1882</v>
      </c>
    </row>
    <row r="60" spans="1:2" ht="16.5" customHeight="1">
      <c r="A60" s="859" t="s">
        <v>946</v>
      </c>
      <c r="B60" s="862">
        <v>742</v>
      </c>
    </row>
    <row r="61" spans="1:2" ht="16.5" customHeight="1">
      <c r="A61" s="859" t="s">
        <v>947</v>
      </c>
      <c r="B61" s="862">
        <v>96</v>
      </c>
    </row>
    <row r="62" spans="1:2" ht="16.5" customHeight="1">
      <c r="A62" s="863" t="s">
        <v>954</v>
      </c>
      <c r="B62" s="862">
        <v>8840</v>
      </c>
    </row>
    <row r="63" spans="1:2" ht="16.5" customHeight="1">
      <c r="A63" s="873" t="s">
        <v>955</v>
      </c>
      <c r="B63" s="862">
        <v>1870</v>
      </c>
    </row>
    <row r="64" spans="1:2" ht="16.5" customHeight="1">
      <c r="A64" s="873" t="s">
        <v>956</v>
      </c>
      <c r="B64" s="862">
        <v>4403</v>
      </c>
    </row>
    <row r="65" spans="1:2" ht="16.5" customHeight="1">
      <c r="A65" s="873" t="s">
        <v>957</v>
      </c>
      <c r="B65" s="862">
        <v>931</v>
      </c>
    </row>
    <row r="66" spans="1:2" ht="16.5" customHeight="1">
      <c r="A66" s="863" t="s">
        <v>958</v>
      </c>
      <c r="B66" s="862">
        <v>8364</v>
      </c>
    </row>
    <row r="67" spans="1:2" ht="16.5" customHeight="1">
      <c r="A67" s="863" t="s">
        <v>959</v>
      </c>
      <c r="B67" s="862">
        <v>3977</v>
      </c>
    </row>
    <row r="68" spans="1:2" ht="15.75" customHeight="1">
      <c r="A68" s="863" t="s">
        <v>960</v>
      </c>
      <c r="B68" s="862">
        <v>1840</v>
      </c>
    </row>
    <row r="69" spans="1:2" ht="15.75" customHeight="1">
      <c r="A69" s="863" t="s">
        <v>961</v>
      </c>
      <c r="B69" s="862">
        <v>874</v>
      </c>
    </row>
    <row r="70" spans="1:2" ht="17.25" customHeight="1">
      <c r="A70" s="859" t="s">
        <v>962</v>
      </c>
      <c r="B70" s="862">
        <v>6290</v>
      </c>
    </row>
    <row r="71" spans="1:2" ht="16.5" customHeight="1">
      <c r="A71" s="859" t="s">
        <v>963</v>
      </c>
      <c r="B71" s="862">
        <v>3133</v>
      </c>
    </row>
    <row r="72" spans="1:2" ht="16.5" customHeight="1">
      <c r="A72" s="861" t="s">
        <v>964</v>
      </c>
      <c r="B72" s="862">
        <v>8928</v>
      </c>
    </row>
    <row r="73" spans="1:2" ht="16.5" customHeight="1">
      <c r="A73" s="861" t="s">
        <v>965</v>
      </c>
      <c r="B73" s="866">
        <f>177*72*4/12</f>
        <v>4248</v>
      </c>
    </row>
    <row r="74" spans="1:2" ht="16.5" customHeight="1">
      <c r="A74" s="859" t="s">
        <v>967</v>
      </c>
      <c r="B74" s="862">
        <v>6120</v>
      </c>
    </row>
    <row r="75" spans="1:2" ht="16.5" customHeight="1">
      <c r="A75" s="859" t="s">
        <v>968</v>
      </c>
      <c r="B75" s="862">
        <v>1530</v>
      </c>
    </row>
    <row r="76" spans="1:2" ht="16.5" customHeight="1">
      <c r="A76" s="859" t="s">
        <v>969</v>
      </c>
      <c r="B76" s="862">
        <v>2964</v>
      </c>
    </row>
    <row r="77" spans="1:2" ht="16.5" customHeight="1">
      <c r="A77" s="859" t="s">
        <v>970</v>
      </c>
      <c r="B77" s="862">
        <v>677</v>
      </c>
    </row>
    <row r="78" spans="1:2" ht="16.5" customHeight="1">
      <c r="A78" s="898"/>
      <c r="B78" s="868"/>
    </row>
    <row r="79" spans="1:2" ht="16.5" customHeight="1">
      <c r="A79" s="967">
        <v>3</v>
      </c>
      <c r="B79" s="967"/>
    </row>
    <row r="80" ht="16.5" customHeight="1">
      <c r="B80" s="515" t="s">
        <v>1090</v>
      </c>
    </row>
    <row r="81" ht="16.5" customHeight="1"/>
    <row r="82" spans="1:2" ht="16.5" customHeight="1">
      <c r="A82" s="904" t="s">
        <v>1091</v>
      </c>
      <c r="B82" s="904"/>
    </row>
    <row r="83" spans="1:2" ht="16.5" customHeight="1">
      <c r="A83" s="27"/>
      <c r="B83" s="27"/>
    </row>
    <row r="84" ht="16.5" customHeight="1">
      <c r="B84" s="416" t="s">
        <v>34</v>
      </c>
    </row>
    <row r="85" spans="1:2" ht="25.5" customHeight="1">
      <c r="A85" s="899" t="s">
        <v>373</v>
      </c>
      <c r="B85" s="900" t="s">
        <v>180</v>
      </c>
    </row>
    <row r="86" spans="1:2" ht="16.5" customHeight="1">
      <c r="A86" s="859" t="s">
        <v>973</v>
      </c>
      <c r="B86" s="862">
        <v>10678</v>
      </c>
    </row>
    <row r="87" spans="1:2" ht="16.5" customHeight="1">
      <c r="A87" s="859" t="s">
        <v>974</v>
      </c>
      <c r="B87" s="862">
        <v>5213</v>
      </c>
    </row>
    <row r="88" spans="1:2" ht="16.5" customHeight="1">
      <c r="A88" s="861" t="s">
        <v>975</v>
      </c>
      <c r="B88" s="862">
        <v>10855</v>
      </c>
    </row>
    <row r="89" spans="1:2" ht="16.5" customHeight="1">
      <c r="A89" s="861" t="s">
        <v>976</v>
      </c>
      <c r="B89" s="862">
        <v>17745</v>
      </c>
    </row>
    <row r="90" spans="1:2" ht="16.5" customHeight="1">
      <c r="A90" s="861" t="s">
        <v>978</v>
      </c>
      <c r="B90" s="862">
        <v>4225</v>
      </c>
    </row>
    <row r="91" spans="1:2" ht="16.5" customHeight="1">
      <c r="A91" s="861" t="s">
        <v>979</v>
      </c>
      <c r="B91" s="862">
        <v>910</v>
      </c>
    </row>
    <row r="92" spans="1:2" ht="16.5" customHeight="1">
      <c r="A92" s="861" t="s">
        <v>980</v>
      </c>
      <c r="B92" s="862">
        <v>2990</v>
      </c>
    </row>
    <row r="93" spans="1:2" ht="16.5" customHeight="1">
      <c r="A93" s="864" t="s">
        <v>981</v>
      </c>
      <c r="B93" s="862">
        <v>660</v>
      </c>
    </row>
    <row r="94" spans="1:2" ht="16.5" customHeight="1">
      <c r="A94" s="859" t="s">
        <v>992</v>
      </c>
      <c r="B94" s="862">
        <v>10812</v>
      </c>
    </row>
    <row r="95" spans="1:2" ht="16.5" customHeight="1">
      <c r="A95" s="859" t="s">
        <v>993</v>
      </c>
      <c r="B95" s="862">
        <v>5556</v>
      </c>
    </row>
    <row r="96" spans="1:2" ht="16.5" customHeight="1">
      <c r="A96" s="859" t="s">
        <v>995</v>
      </c>
      <c r="B96" s="862">
        <v>1620</v>
      </c>
    </row>
    <row r="97" spans="1:2" ht="16.5" customHeight="1">
      <c r="A97" s="859" t="s">
        <v>996</v>
      </c>
      <c r="B97" s="862">
        <v>630</v>
      </c>
    </row>
    <row r="98" spans="1:2" ht="16.5" customHeight="1">
      <c r="A98" s="859" t="s">
        <v>997</v>
      </c>
      <c r="B98" s="862">
        <v>2070</v>
      </c>
    </row>
    <row r="99" spans="1:2" ht="16.5" customHeight="1">
      <c r="A99" s="861" t="s">
        <v>998</v>
      </c>
      <c r="B99" s="862">
        <v>728</v>
      </c>
    </row>
    <row r="100" spans="1:2" ht="16.5" customHeight="1">
      <c r="A100" s="861" t="s">
        <v>999</v>
      </c>
      <c r="B100" s="862">
        <v>613</v>
      </c>
    </row>
    <row r="101" spans="1:2" ht="16.5" customHeight="1">
      <c r="A101" s="861" t="s">
        <v>1000</v>
      </c>
      <c r="B101" s="862">
        <v>713</v>
      </c>
    </row>
    <row r="102" spans="1:2" ht="16.5" customHeight="1">
      <c r="A102" s="863" t="s">
        <v>1001</v>
      </c>
      <c r="B102" s="862">
        <f>1061*17.389</f>
        <v>18449.729</v>
      </c>
    </row>
    <row r="103" spans="1:2" ht="21" customHeight="1">
      <c r="A103" s="859" t="s">
        <v>1002</v>
      </c>
      <c r="B103" s="862">
        <v>151</v>
      </c>
    </row>
    <row r="104" spans="1:2" ht="16.5" customHeight="1">
      <c r="A104" s="861" t="s">
        <v>1003</v>
      </c>
      <c r="B104" s="862"/>
    </row>
    <row r="105" spans="1:2" ht="16.5" customHeight="1">
      <c r="A105" s="859" t="s">
        <v>1004</v>
      </c>
      <c r="B105" s="862">
        <v>3300</v>
      </c>
    </row>
    <row r="106" spans="1:2" ht="24.75" customHeight="1">
      <c r="A106" s="861" t="s">
        <v>1005</v>
      </c>
      <c r="B106" s="860">
        <v>12774</v>
      </c>
    </row>
    <row r="107" spans="1:2" ht="26.25" customHeight="1">
      <c r="A107" s="861" t="s">
        <v>1006</v>
      </c>
      <c r="B107" s="860">
        <v>12133</v>
      </c>
    </row>
    <row r="108" spans="1:2" ht="16.5" customHeight="1">
      <c r="A108" s="861" t="s">
        <v>1007</v>
      </c>
      <c r="B108" s="860">
        <v>3146</v>
      </c>
    </row>
    <row r="109" spans="1:2" ht="16.5" customHeight="1">
      <c r="A109" s="861" t="s">
        <v>1008</v>
      </c>
      <c r="B109" s="860">
        <v>4410</v>
      </c>
    </row>
    <row r="110" spans="1:2" ht="16.5" customHeight="1">
      <c r="A110" s="861" t="s">
        <v>1009</v>
      </c>
      <c r="B110" s="862">
        <v>116680</v>
      </c>
    </row>
    <row r="111" spans="1:2" ht="24.75" customHeight="1">
      <c r="A111" s="874" t="s">
        <v>1014</v>
      </c>
      <c r="B111" s="862">
        <v>6374</v>
      </c>
    </row>
    <row r="112" spans="1:2" ht="26.25" customHeight="1">
      <c r="A112" s="874" t="s">
        <v>1015</v>
      </c>
      <c r="B112" s="862">
        <v>7182</v>
      </c>
    </row>
    <row r="113" spans="1:2" ht="21" customHeight="1">
      <c r="A113" s="874" t="s">
        <v>1016</v>
      </c>
      <c r="B113" s="862">
        <v>640</v>
      </c>
    </row>
    <row r="114" spans="1:2" ht="16.5" customHeight="1">
      <c r="A114" s="861" t="s">
        <v>1022</v>
      </c>
      <c r="B114" s="862">
        <v>12270</v>
      </c>
    </row>
    <row r="115" spans="1:2" ht="16.5" customHeight="1">
      <c r="A115" s="859" t="s">
        <v>1033</v>
      </c>
      <c r="B115" s="862">
        <v>1704</v>
      </c>
    </row>
    <row r="116" spans="1:2" ht="16.5" customHeight="1">
      <c r="A116" s="859" t="s">
        <v>1036</v>
      </c>
      <c r="B116" s="862">
        <f>17.389*515</f>
        <v>8955.335</v>
      </c>
    </row>
    <row r="117" spans="1:2" ht="16.5" customHeight="1">
      <c r="A117" s="43" t="s">
        <v>1096</v>
      </c>
      <c r="B117" s="411">
        <f>SUM(B7:B116)</f>
        <v>1154325.137</v>
      </c>
    </row>
    <row r="118" spans="1:2" ht="16.5" customHeight="1">
      <c r="A118" s="904"/>
      <c r="B118" s="904"/>
    </row>
    <row r="119" spans="1:2" ht="16.5" customHeight="1">
      <c r="A119" s="37"/>
      <c r="B119" s="515"/>
    </row>
    <row r="120" ht="16.5" customHeight="1">
      <c r="B120" s="515" t="s">
        <v>1097</v>
      </c>
    </row>
    <row r="121" ht="16.5" customHeight="1"/>
    <row r="122" spans="1:2" ht="16.5" customHeight="1">
      <c r="A122" s="904" t="s">
        <v>1098</v>
      </c>
      <c r="B122" s="904"/>
    </row>
    <row r="123" ht="16.5" customHeight="1"/>
    <row r="124" ht="16.5" customHeight="1">
      <c r="B124" s="416" t="s">
        <v>34</v>
      </c>
    </row>
    <row r="125" spans="1:2" ht="25.5" customHeight="1">
      <c r="A125" s="899" t="s">
        <v>373</v>
      </c>
      <c r="B125" s="900" t="s">
        <v>180</v>
      </c>
    </row>
    <row r="126" spans="1:2" ht="16.5" customHeight="1">
      <c r="A126" s="44" t="s">
        <v>1099</v>
      </c>
      <c r="B126" s="817"/>
    </row>
    <row r="127" spans="1:2" ht="16.5" customHeight="1">
      <c r="A127" s="8" t="s">
        <v>1100</v>
      </c>
      <c r="B127" s="56"/>
    </row>
    <row r="128" spans="1:2" ht="16.5" customHeight="1">
      <c r="A128" s="8" t="s">
        <v>1101</v>
      </c>
      <c r="B128" s="56">
        <f>8*970</f>
        <v>7760</v>
      </c>
    </row>
    <row r="129" spans="1:2" ht="24" customHeight="1">
      <c r="A129" s="901" t="s">
        <v>1102</v>
      </c>
      <c r="B129" s="56">
        <v>3502</v>
      </c>
    </row>
    <row r="130" spans="1:2" ht="24" customHeight="1">
      <c r="A130" s="901" t="s">
        <v>1043</v>
      </c>
      <c r="B130" s="56">
        <v>707</v>
      </c>
    </row>
    <row r="131" spans="1:2" ht="24" customHeight="1">
      <c r="A131" s="8" t="s">
        <v>1103</v>
      </c>
      <c r="B131" s="56">
        <v>150</v>
      </c>
    </row>
    <row r="132" spans="1:2" ht="24" customHeight="1">
      <c r="A132" s="43" t="s">
        <v>469</v>
      </c>
      <c r="B132" s="453">
        <f>SUM(B127:B131)</f>
        <v>12119</v>
      </c>
    </row>
    <row r="133" spans="1:2" ht="24" customHeight="1">
      <c r="A133" s="875" t="s">
        <v>1044</v>
      </c>
      <c r="B133" s="862"/>
    </row>
    <row r="134" spans="1:2" ht="24" customHeight="1">
      <c r="A134" s="859" t="s">
        <v>1104</v>
      </c>
      <c r="B134" s="862"/>
    </row>
    <row r="135" spans="1:2" ht="24" customHeight="1">
      <c r="A135" s="859" t="s">
        <v>1105</v>
      </c>
      <c r="B135" s="862">
        <v>259313</v>
      </c>
    </row>
    <row r="136" spans="1:2" ht="24" customHeight="1">
      <c r="A136" s="859" t="s">
        <v>535</v>
      </c>
      <c r="B136" s="862"/>
    </row>
    <row r="137" spans="1:2" ht="24" customHeight="1">
      <c r="A137" s="859" t="s">
        <v>1106</v>
      </c>
      <c r="B137" s="862">
        <v>5304</v>
      </c>
    </row>
    <row r="138" spans="1:2" ht="24" customHeight="1">
      <c r="A138" s="859" t="s">
        <v>1107</v>
      </c>
      <c r="B138" s="862">
        <v>12024</v>
      </c>
    </row>
    <row r="139" spans="1:2" ht="24" customHeight="1">
      <c r="A139" s="859" t="s">
        <v>1049</v>
      </c>
      <c r="B139" s="862"/>
    </row>
    <row r="140" spans="1:2" ht="24" customHeight="1">
      <c r="A140" s="859" t="s">
        <v>1108</v>
      </c>
      <c r="B140" s="862">
        <f>3*500</f>
        <v>1500</v>
      </c>
    </row>
    <row r="141" spans="1:2" ht="24" customHeight="1">
      <c r="A141" s="859" t="s">
        <v>1109</v>
      </c>
      <c r="B141" s="862">
        <v>0</v>
      </c>
    </row>
    <row r="142" spans="1:2" ht="24" customHeight="1">
      <c r="A142" s="875" t="s">
        <v>469</v>
      </c>
      <c r="B142" s="862">
        <f>SUM(B135:B141)</f>
        <v>278141</v>
      </c>
    </row>
    <row r="143" spans="1:2" ht="24" customHeight="1">
      <c r="A143" s="875" t="s">
        <v>1110</v>
      </c>
      <c r="B143" s="862">
        <f>B142+B132</f>
        <v>290260</v>
      </c>
    </row>
    <row r="144" ht="15.75" customHeight="1"/>
    <row r="145" ht="15.75" customHeight="1"/>
    <row r="153" ht="19.5" customHeight="1"/>
    <row r="154" ht="21" customHeight="1"/>
    <row r="155" ht="18" customHeight="1"/>
    <row r="156" ht="16.5" customHeight="1"/>
    <row r="157" ht="15" customHeight="1"/>
    <row r="158" ht="18" customHeight="1"/>
    <row r="159" ht="19.5" customHeight="1"/>
  </sheetData>
  <sheetProtection/>
  <mergeCells count="7">
    <mergeCell ref="A122:B122"/>
    <mergeCell ref="A3:B3"/>
    <mergeCell ref="A36:B36"/>
    <mergeCell ref="A39:B39"/>
    <mergeCell ref="A79:B79"/>
    <mergeCell ref="A82:B82"/>
    <mergeCell ref="A118:B11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33">
      <selection activeCell="A152" sqref="A152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1.140625" style="0" customWidth="1"/>
    <col min="4" max="4" width="10.8515625" style="0" customWidth="1"/>
    <col min="5" max="5" width="11.28125" style="0" customWidth="1"/>
    <col min="6" max="6" width="13.00390625" style="0" customWidth="1"/>
  </cols>
  <sheetData>
    <row r="1" spans="1:6" ht="14.25">
      <c r="A1" s="26"/>
      <c r="B1" s="26"/>
      <c r="C1" s="26"/>
      <c r="D1" s="26"/>
      <c r="E1" s="905" t="s">
        <v>104</v>
      </c>
      <c r="F1" s="905"/>
    </row>
    <row r="2" spans="5:6" ht="15">
      <c r="E2" s="30"/>
      <c r="F2" s="30"/>
    </row>
    <row r="3" spans="1:6" ht="15.75">
      <c r="A3" s="904" t="s">
        <v>105</v>
      </c>
      <c r="B3" s="904"/>
      <c r="C3" s="904"/>
      <c r="D3" s="904"/>
      <c r="E3" s="904"/>
      <c r="F3" s="904"/>
    </row>
    <row r="4" spans="1:6" ht="15.75">
      <c r="A4" s="904" t="s">
        <v>106</v>
      </c>
      <c r="B4" s="904"/>
      <c r="C4" s="904"/>
      <c r="D4" s="904"/>
      <c r="E4" s="904"/>
      <c r="F4" s="904"/>
    </row>
    <row r="6" ht="12.75">
      <c r="F6" s="31" t="s">
        <v>81</v>
      </c>
    </row>
    <row r="7" spans="1:6" ht="15.75" customHeight="1">
      <c r="A7" s="118" t="s">
        <v>35</v>
      </c>
      <c r="B7" s="906" t="s">
        <v>107</v>
      </c>
      <c r="C7" s="906" t="s">
        <v>108</v>
      </c>
      <c r="D7" s="906" t="s">
        <v>109</v>
      </c>
      <c r="E7" s="907" t="s">
        <v>110</v>
      </c>
      <c r="F7" s="908" t="s">
        <v>111</v>
      </c>
    </row>
    <row r="8" spans="1:6" ht="15.75">
      <c r="A8" s="120" t="s">
        <v>39</v>
      </c>
      <c r="B8" s="906"/>
      <c r="C8" s="906"/>
      <c r="D8" s="906"/>
      <c r="E8" s="907"/>
      <c r="F8" s="908"/>
    </row>
    <row r="9" spans="1:6" ht="12.75">
      <c r="A9" s="44" t="s">
        <v>43</v>
      </c>
      <c r="B9" s="110"/>
      <c r="C9" s="69"/>
      <c r="D9" s="69"/>
      <c r="E9" s="52"/>
      <c r="F9" s="52"/>
    </row>
    <row r="10" spans="1:6" ht="12.75">
      <c r="A10" s="121" t="s">
        <v>44</v>
      </c>
      <c r="B10" s="94">
        <v>74906</v>
      </c>
      <c r="C10" s="48">
        <v>132589</v>
      </c>
      <c r="D10" s="39">
        <v>346992</v>
      </c>
      <c r="E10" s="39">
        <v>12626</v>
      </c>
      <c r="F10" s="39">
        <v>28343</v>
      </c>
    </row>
    <row r="11" spans="1:6" ht="12.75">
      <c r="A11" s="19" t="s">
        <v>45</v>
      </c>
      <c r="B11" s="94">
        <v>23038</v>
      </c>
      <c r="C11" s="48">
        <v>41654</v>
      </c>
      <c r="D11" s="39">
        <v>109150</v>
      </c>
      <c r="E11" s="48">
        <v>3578</v>
      </c>
      <c r="F11" s="48">
        <v>8809</v>
      </c>
    </row>
    <row r="12" spans="1:6" ht="12.75">
      <c r="A12" s="19" t="s">
        <v>46</v>
      </c>
      <c r="B12" s="94">
        <v>119030</v>
      </c>
      <c r="C12" s="48">
        <v>7568</v>
      </c>
      <c r="D12" s="39">
        <v>17188</v>
      </c>
      <c r="E12" s="48">
        <v>13142</v>
      </c>
      <c r="F12" s="48">
        <v>3226</v>
      </c>
    </row>
    <row r="13" spans="1:6" ht="12.75">
      <c r="A13" s="19" t="s">
        <v>48</v>
      </c>
      <c r="B13" s="94">
        <v>0</v>
      </c>
      <c r="C13" s="48">
        <v>0</v>
      </c>
      <c r="D13" s="39">
        <v>0</v>
      </c>
      <c r="E13" s="48">
        <v>0</v>
      </c>
      <c r="F13" s="48">
        <v>0</v>
      </c>
    </row>
    <row r="14" spans="1:6" ht="12.75">
      <c r="A14" s="8" t="s">
        <v>87</v>
      </c>
      <c r="B14" s="56">
        <v>0</v>
      </c>
      <c r="C14" s="48">
        <v>0</v>
      </c>
      <c r="D14" s="39">
        <v>0</v>
      </c>
      <c r="E14" s="48">
        <v>0</v>
      </c>
      <c r="F14" s="48">
        <v>0</v>
      </c>
    </row>
    <row r="15" spans="1:6" ht="12.75">
      <c r="A15" s="8" t="s">
        <v>88</v>
      </c>
      <c r="B15" s="56"/>
      <c r="C15" s="48"/>
      <c r="D15" s="39"/>
      <c r="E15" s="48"/>
      <c r="F15" s="48"/>
    </row>
    <row r="16" spans="1:6" ht="12.75">
      <c r="A16" s="122" t="s">
        <v>89</v>
      </c>
      <c r="B16" s="56">
        <v>0</v>
      </c>
      <c r="C16" s="39">
        <v>0</v>
      </c>
      <c r="D16" s="39">
        <v>0</v>
      </c>
      <c r="E16" s="39">
        <v>0</v>
      </c>
      <c r="F16" s="39">
        <v>0</v>
      </c>
    </row>
    <row r="17" spans="1:6" ht="12.75">
      <c r="A17" s="65"/>
      <c r="B17" s="53"/>
      <c r="C17" s="64"/>
      <c r="D17" s="64"/>
      <c r="E17" s="64"/>
      <c r="F17" s="64"/>
    </row>
    <row r="18" spans="1:6" s="91" customFormat="1" ht="12.75">
      <c r="A18" s="43" t="s">
        <v>90</v>
      </c>
      <c r="B18" s="61">
        <f>SUM(B10:B14)</f>
        <v>216974</v>
      </c>
      <c r="C18" s="61">
        <f>SUM(C10:C14)</f>
        <v>181811</v>
      </c>
      <c r="D18" s="61">
        <f>SUM(D10:D16)</f>
        <v>473330</v>
      </c>
      <c r="E18" s="61">
        <f>SUM(E10:E14)</f>
        <v>29346</v>
      </c>
      <c r="F18" s="61">
        <f>SUM(F10:F14)</f>
        <v>40378</v>
      </c>
    </row>
    <row r="19" spans="1:6" ht="12.75">
      <c r="A19" s="33"/>
      <c r="B19" s="52"/>
      <c r="C19" s="123"/>
      <c r="D19" s="52"/>
      <c r="E19" s="92"/>
      <c r="F19" s="64"/>
    </row>
    <row r="20" spans="1:6" ht="12.75">
      <c r="A20" s="47" t="s">
        <v>52</v>
      </c>
      <c r="B20" s="48"/>
      <c r="C20" s="49"/>
      <c r="D20" s="48"/>
      <c r="E20" s="94"/>
      <c r="F20" s="48"/>
    </row>
    <row r="21" spans="1:6" ht="12.75">
      <c r="A21" s="19" t="s">
        <v>53</v>
      </c>
      <c r="B21" s="48">
        <v>0</v>
      </c>
      <c r="C21" s="49">
        <v>0</v>
      </c>
      <c r="D21" s="39">
        <v>0</v>
      </c>
      <c r="E21" s="94">
        <v>0</v>
      </c>
      <c r="F21" s="48">
        <v>0</v>
      </c>
    </row>
    <row r="22" spans="1:6" ht="12.75">
      <c r="A22" s="19" t="s">
        <v>91</v>
      </c>
      <c r="B22" s="48">
        <v>0</v>
      </c>
      <c r="C22" s="49">
        <v>0</v>
      </c>
      <c r="D22" s="39">
        <v>0</v>
      </c>
      <c r="E22" s="94">
        <v>0</v>
      </c>
      <c r="F22" s="48">
        <v>0</v>
      </c>
    </row>
    <row r="23" spans="1:6" ht="12.75">
      <c r="A23" s="19" t="s">
        <v>55</v>
      </c>
      <c r="B23" s="48">
        <v>0</v>
      </c>
      <c r="C23" s="49">
        <v>0</v>
      </c>
      <c r="D23" s="39">
        <v>0</v>
      </c>
      <c r="E23" s="94">
        <v>0</v>
      </c>
      <c r="F23" s="48">
        <v>0</v>
      </c>
    </row>
    <row r="24" spans="1:6" ht="12.75">
      <c r="A24" s="8" t="s">
        <v>112</v>
      </c>
      <c r="B24" s="39">
        <v>0</v>
      </c>
      <c r="C24" s="49">
        <v>0</v>
      </c>
      <c r="D24" s="39">
        <v>0</v>
      </c>
      <c r="E24" s="56">
        <v>0</v>
      </c>
      <c r="F24" s="39">
        <v>0</v>
      </c>
    </row>
    <row r="25" spans="1:6" ht="12.75">
      <c r="A25" s="65"/>
      <c r="B25" s="64"/>
      <c r="C25" s="124"/>
      <c r="D25" s="39"/>
      <c r="E25" s="53"/>
      <c r="F25" s="64"/>
    </row>
    <row r="26" spans="1:6" ht="12.75">
      <c r="A26" s="43" t="s">
        <v>92</v>
      </c>
      <c r="B26" s="16">
        <f>B21+B22+B23+B24</f>
        <v>0</v>
      </c>
      <c r="C26" s="16">
        <f>C21+C22+C23+C24</f>
        <v>0</v>
      </c>
      <c r="D26" s="16">
        <f>D21+D22+D23+D24</f>
        <v>0</v>
      </c>
      <c r="E26" s="16">
        <f>E21+E22+E23+E24</f>
        <v>0</v>
      </c>
      <c r="F26" s="16">
        <f>F21+F22+F23+F24</f>
        <v>0</v>
      </c>
    </row>
    <row r="27" spans="1:6" ht="12.75">
      <c r="A27" s="33"/>
      <c r="B27" s="53"/>
      <c r="C27" s="52"/>
      <c r="D27" s="52"/>
      <c r="E27" s="72"/>
      <c r="F27" s="52"/>
    </row>
    <row r="28" spans="1:6" ht="12.75">
      <c r="A28" s="50" t="s">
        <v>93</v>
      </c>
      <c r="B28" s="53"/>
      <c r="C28" s="64"/>
      <c r="D28" s="64"/>
      <c r="E28" s="72"/>
      <c r="F28" s="64"/>
    </row>
    <row r="29" spans="1:6" ht="12.75">
      <c r="A29" s="54" t="s">
        <v>59</v>
      </c>
      <c r="B29" s="56">
        <v>0</v>
      </c>
      <c r="C29" s="39">
        <v>0</v>
      </c>
      <c r="D29" s="39">
        <v>0</v>
      </c>
      <c r="E29" s="40">
        <v>0</v>
      </c>
      <c r="F29" s="39">
        <v>0</v>
      </c>
    </row>
    <row r="30" spans="1:6" ht="12.75">
      <c r="A30" s="125" t="s">
        <v>60</v>
      </c>
      <c r="B30" s="53">
        <v>0</v>
      </c>
      <c r="C30" s="78">
        <v>0</v>
      </c>
      <c r="D30" s="78">
        <v>0</v>
      </c>
      <c r="E30" s="72">
        <v>0</v>
      </c>
      <c r="F30" s="78">
        <v>0</v>
      </c>
    </row>
    <row r="31" spans="1:6" ht="12.75">
      <c r="A31" s="43" t="s">
        <v>94</v>
      </c>
      <c r="B31" s="61">
        <f>B29+B30</f>
        <v>0</v>
      </c>
      <c r="C31" s="61">
        <f>C29+C30</f>
        <v>0</v>
      </c>
      <c r="D31" s="61">
        <f>D29+D30</f>
        <v>0</v>
      </c>
      <c r="E31" s="61">
        <f>E29+E30</f>
        <v>0</v>
      </c>
      <c r="F31" s="61">
        <f>F29+F30</f>
        <v>0</v>
      </c>
    </row>
    <row r="32" spans="1:6" ht="12.75">
      <c r="A32" s="33"/>
      <c r="B32" s="53"/>
      <c r="C32" s="52"/>
      <c r="D32" s="64"/>
      <c r="E32" s="64"/>
      <c r="F32" s="64"/>
    </row>
    <row r="33" spans="1:6" ht="12.75">
      <c r="A33" s="62" t="s">
        <v>95</v>
      </c>
      <c r="B33" s="53"/>
      <c r="C33" s="64"/>
      <c r="D33" s="64"/>
      <c r="E33" s="64"/>
      <c r="F33" s="64"/>
    </row>
    <row r="34" spans="1:6" ht="12.75">
      <c r="A34" s="54" t="s">
        <v>59</v>
      </c>
      <c r="B34" s="56">
        <v>0</v>
      </c>
      <c r="C34" s="39">
        <v>0</v>
      </c>
      <c r="D34" s="39">
        <v>0</v>
      </c>
      <c r="E34" s="39">
        <v>0</v>
      </c>
      <c r="F34" s="39">
        <v>0</v>
      </c>
    </row>
    <row r="35" spans="1:6" ht="12.75">
      <c r="A35" s="126" t="s">
        <v>60</v>
      </c>
      <c r="B35" s="59">
        <v>0</v>
      </c>
      <c r="C35" s="63">
        <v>0</v>
      </c>
      <c r="D35" s="58">
        <v>0</v>
      </c>
      <c r="E35" s="58">
        <v>0</v>
      </c>
      <c r="F35" s="58">
        <v>0</v>
      </c>
    </row>
    <row r="36" spans="1:6" ht="12.75">
      <c r="A36" s="43" t="s">
        <v>96</v>
      </c>
      <c r="B36" s="61">
        <f>B34+B35</f>
        <v>0</v>
      </c>
      <c r="C36" s="61">
        <f>C34+C35</f>
        <v>0</v>
      </c>
      <c r="D36" s="61">
        <f>D34+D35</f>
        <v>0</v>
      </c>
      <c r="E36" s="61">
        <f>E34+E35</f>
        <v>0</v>
      </c>
      <c r="F36" s="61">
        <f>F34+F35</f>
        <v>0</v>
      </c>
    </row>
    <row r="37" spans="1:6" ht="12.75">
      <c r="A37" s="33"/>
      <c r="B37" s="53"/>
      <c r="C37" s="53"/>
      <c r="D37" s="64"/>
      <c r="E37" s="64"/>
      <c r="F37" s="64"/>
    </row>
    <row r="38" spans="1:6" ht="12.75">
      <c r="A38" s="47" t="s">
        <v>64</v>
      </c>
      <c r="B38" s="94"/>
      <c r="C38" s="94"/>
      <c r="D38" s="48"/>
      <c r="E38" s="48"/>
      <c r="F38" s="48"/>
    </row>
    <row r="39" spans="1:6" ht="12.75">
      <c r="A39" s="121" t="s">
        <v>97</v>
      </c>
      <c r="B39" s="94">
        <v>0</v>
      </c>
      <c r="C39" s="48">
        <v>0</v>
      </c>
      <c r="D39" s="48">
        <v>0</v>
      </c>
      <c r="E39" s="48">
        <v>0</v>
      </c>
      <c r="F39" s="48">
        <v>0</v>
      </c>
    </row>
    <row r="40" spans="1:6" ht="12.75">
      <c r="A40" s="127" t="s">
        <v>98</v>
      </c>
      <c r="B40" s="53">
        <v>0</v>
      </c>
      <c r="C40" s="78">
        <v>0</v>
      </c>
      <c r="D40" s="78">
        <v>0</v>
      </c>
      <c r="E40" s="78">
        <v>0</v>
      </c>
      <c r="F40" s="78">
        <v>0</v>
      </c>
    </row>
    <row r="41" spans="1:6" ht="12.75">
      <c r="A41" s="33" t="s">
        <v>99</v>
      </c>
      <c r="B41" s="128">
        <f>B39+B40</f>
        <v>0</v>
      </c>
      <c r="C41" s="128">
        <f>C39+C40</f>
        <v>0</v>
      </c>
      <c r="D41" s="128">
        <f>D39+D40</f>
        <v>0</v>
      </c>
      <c r="E41" s="128">
        <f>E39+E40</f>
        <v>0</v>
      </c>
      <c r="F41" s="128">
        <f>F39+F40</f>
        <v>0</v>
      </c>
    </row>
    <row r="42" spans="1:6" ht="12.75">
      <c r="A42" s="33"/>
      <c r="B42" s="92"/>
      <c r="C42" s="52"/>
      <c r="D42" s="92"/>
      <c r="E42" s="52"/>
      <c r="F42" s="52"/>
    </row>
    <row r="43" spans="1:6" ht="12.75">
      <c r="A43" s="103" t="s">
        <v>68</v>
      </c>
      <c r="B43" s="55"/>
      <c r="C43" s="129"/>
      <c r="D43" s="130"/>
      <c r="E43" s="40"/>
      <c r="F43" s="39"/>
    </row>
    <row r="44" spans="1:6" ht="12.75">
      <c r="A44" s="70" t="s">
        <v>69</v>
      </c>
      <c r="B44" s="131">
        <v>0</v>
      </c>
      <c r="C44" s="131">
        <v>0</v>
      </c>
      <c r="D44" s="48">
        <v>0</v>
      </c>
      <c r="E44" s="49">
        <v>0</v>
      </c>
      <c r="F44" s="48">
        <v>0</v>
      </c>
    </row>
    <row r="45" spans="1:6" ht="12.75">
      <c r="A45" s="71" t="s">
        <v>70</v>
      </c>
      <c r="B45" s="55">
        <v>0</v>
      </c>
      <c r="C45" s="51">
        <v>0</v>
      </c>
      <c r="D45" s="64">
        <v>0</v>
      </c>
      <c r="E45" s="72">
        <v>0</v>
      </c>
      <c r="F45" s="64">
        <v>0</v>
      </c>
    </row>
    <row r="46" spans="1:6" ht="12.75">
      <c r="A46" s="43" t="s">
        <v>71</v>
      </c>
      <c r="B46" s="60">
        <f>B44+B45</f>
        <v>0</v>
      </c>
      <c r="C46" s="60">
        <f>C44+C45</f>
        <v>0</v>
      </c>
      <c r="D46" s="60">
        <f>D44+D45</f>
        <v>0</v>
      </c>
      <c r="E46" s="60">
        <f>E44+E45</f>
        <v>0</v>
      </c>
      <c r="F46" s="16">
        <f>F44+F45</f>
        <v>0</v>
      </c>
    </row>
    <row r="47" spans="1:6" ht="12.75">
      <c r="A47" s="90"/>
      <c r="B47" s="104"/>
      <c r="C47" s="51"/>
      <c r="D47" s="64"/>
      <c r="E47" s="72"/>
      <c r="F47" s="64"/>
    </row>
    <row r="48" spans="1:6" s="91" customFormat="1" ht="12.75">
      <c r="A48" s="132" t="s">
        <v>100</v>
      </c>
      <c r="B48" s="133">
        <f>B46+B41+B36+B31+B26+B18</f>
        <v>216974</v>
      </c>
      <c r="C48" s="133">
        <f>C46+C41+C36+C31+C26+C18</f>
        <v>181811</v>
      </c>
      <c r="D48" s="133">
        <f>D46+D41+D36+D31+D26+D18</f>
        <v>473330</v>
      </c>
      <c r="E48" s="133">
        <f>E46+E41+E36+E31+E26+E18</f>
        <v>29346</v>
      </c>
      <c r="F48" s="133">
        <f>F46+F41+F36+F31+F26+F18</f>
        <v>40378</v>
      </c>
    </row>
    <row r="49" spans="1:6" ht="12.75">
      <c r="A49" s="107"/>
      <c r="B49" s="108"/>
      <c r="C49" s="51"/>
      <c r="D49" s="64"/>
      <c r="E49" s="72"/>
      <c r="F49" s="64"/>
    </row>
    <row r="50" spans="1:6" ht="12.75">
      <c r="A50" s="50" t="s">
        <v>113</v>
      </c>
      <c r="B50" s="51">
        <v>0</v>
      </c>
      <c r="C50" s="104">
        <v>0</v>
      </c>
      <c r="D50" s="67">
        <v>0</v>
      </c>
      <c r="E50" s="134">
        <v>0</v>
      </c>
      <c r="F50" s="67">
        <v>0</v>
      </c>
    </row>
    <row r="51" spans="1:6" ht="12.75">
      <c r="A51" s="135"/>
      <c r="B51" s="104"/>
      <c r="C51" s="51"/>
      <c r="D51" s="64"/>
      <c r="E51" s="72"/>
      <c r="F51" s="64"/>
    </row>
    <row r="52" spans="1:6" ht="12.75">
      <c r="A52" s="117" t="s">
        <v>103</v>
      </c>
      <c r="B52" s="136">
        <f>B48+B50</f>
        <v>216974</v>
      </c>
      <c r="C52" s="136">
        <f>C48+C50</f>
        <v>181811</v>
      </c>
      <c r="D52" s="136">
        <f>D48+D50</f>
        <v>473330</v>
      </c>
      <c r="E52" s="136">
        <f>E48+E50</f>
        <v>29346</v>
      </c>
      <c r="F52" s="133">
        <f>F48+F50</f>
        <v>40378</v>
      </c>
    </row>
    <row r="53" spans="1:6" ht="12.75">
      <c r="A53" s="137"/>
      <c r="B53" s="137"/>
      <c r="C53" s="37"/>
      <c r="D53" s="37"/>
      <c r="E53" s="37"/>
      <c r="F53" s="37"/>
    </row>
    <row r="54" spans="1:6" ht="12.75">
      <c r="A54" s="909">
        <v>2</v>
      </c>
      <c r="B54" s="909"/>
      <c r="C54" s="909"/>
      <c r="D54" s="909"/>
      <c r="E54" s="909"/>
      <c r="F54" s="909"/>
    </row>
    <row r="55" spans="1:6" ht="14.25">
      <c r="A55" s="905" t="s">
        <v>114</v>
      </c>
      <c r="B55" s="905"/>
      <c r="C55" s="905"/>
      <c r="D55" s="905"/>
      <c r="E55" s="905"/>
      <c r="F55" s="905"/>
    </row>
    <row r="56" spans="1:6" ht="15.75">
      <c r="A56" s="904" t="s">
        <v>105</v>
      </c>
      <c r="B56" s="904"/>
      <c r="C56" s="904"/>
      <c r="D56" s="904"/>
      <c r="E56" s="904"/>
      <c r="F56" s="904"/>
    </row>
    <row r="57" spans="1:6" ht="15.75">
      <c r="A57" s="904" t="s">
        <v>106</v>
      </c>
      <c r="B57" s="904"/>
      <c r="C57" s="904"/>
      <c r="D57" s="904"/>
      <c r="E57" s="904"/>
      <c r="F57" s="904"/>
    </row>
    <row r="58" ht="12.75">
      <c r="F58" s="31" t="s">
        <v>81</v>
      </c>
    </row>
    <row r="59" spans="1:6" ht="63" customHeight="1">
      <c r="A59" s="138" t="s">
        <v>115</v>
      </c>
      <c r="B59" s="139" t="s">
        <v>116</v>
      </c>
      <c r="C59" s="139" t="s">
        <v>117</v>
      </c>
      <c r="D59" s="140" t="s">
        <v>118</v>
      </c>
      <c r="E59" s="141" t="s">
        <v>119</v>
      </c>
      <c r="F59" s="142" t="s">
        <v>120</v>
      </c>
    </row>
    <row r="60" spans="1:6" ht="12.75">
      <c r="A60" s="44" t="s">
        <v>43</v>
      </c>
      <c r="B60" s="69"/>
      <c r="C60" s="109"/>
      <c r="D60" s="143"/>
      <c r="E60" s="144"/>
      <c r="F60" s="145"/>
    </row>
    <row r="61" spans="1:6" ht="12.75">
      <c r="A61" s="121" t="s">
        <v>44</v>
      </c>
      <c r="B61" s="48">
        <v>5007</v>
      </c>
      <c r="C61" s="55">
        <v>144707</v>
      </c>
      <c r="D61" s="146">
        <v>199542</v>
      </c>
      <c r="E61" s="147">
        <v>81226</v>
      </c>
      <c r="F61" s="148">
        <f>E61+D61+C61+B61+B10+C10+D10+E10+F10</f>
        <v>1025938</v>
      </c>
    </row>
    <row r="62" spans="1:6" ht="12.75">
      <c r="A62" s="19" t="s">
        <v>45</v>
      </c>
      <c r="B62" s="48">
        <v>1380</v>
      </c>
      <c r="C62" s="55">
        <v>45187</v>
      </c>
      <c r="D62" s="146">
        <v>61562</v>
      </c>
      <c r="E62" s="147">
        <v>25204</v>
      </c>
      <c r="F62" s="148">
        <f aca="true" t="shared" si="0" ref="F62:F67">E62+D62+C62+B62+B11+C11+D11+E11+F11</f>
        <v>319562</v>
      </c>
    </row>
    <row r="63" spans="1:6" ht="12.75">
      <c r="A63" s="19" t="s">
        <v>46</v>
      </c>
      <c r="B63" s="48">
        <v>4132</v>
      </c>
      <c r="C63" s="55">
        <v>15740</v>
      </c>
      <c r="D63" s="146">
        <v>28179</v>
      </c>
      <c r="E63" s="147">
        <v>201095</v>
      </c>
      <c r="F63" s="148">
        <f t="shared" si="0"/>
        <v>409300</v>
      </c>
    </row>
    <row r="64" spans="1:6" ht="12.75">
      <c r="A64" s="19" t="s">
        <v>48</v>
      </c>
      <c r="B64" s="48"/>
      <c r="C64" s="55"/>
      <c r="D64" s="146">
        <v>358</v>
      </c>
      <c r="E64" s="147"/>
      <c r="F64" s="148">
        <f t="shared" si="0"/>
        <v>358</v>
      </c>
    </row>
    <row r="65" spans="1:6" ht="12.75">
      <c r="A65" s="8" t="s">
        <v>87</v>
      </c>
      <c r="B65" s="48">
        <v>0</v>
      </c>
      <c r="C65" s="55"/>
      <c r="D65" s="146">
        <v>0</v>
      </c>
      <c r="E65" s="147"/>
      <c r="F65" s="148">
        <f t="shared" si="0"/>
        <v>0</v>
      </c>
    </row>
    <row r="66" spans="1:6" ht="12.75">
      <c r="A66" s="8" t="s">
        <v>88</v>
      </c>
      <c r="B66" s="48"/>
      <c r="C66" s="55"/>
      <c r="D66" s="146"/>
      <c r="E66" s="147"/>
      <c r="F66" s="148">
        <f t="shared" si="0"/>
        <v>0</v>
      </c>
    </row>
    <row r="67" spans="1:6" ht="12.75">
      <c r="A67" s="122" t="s">
        <v>89</v>
      </c>
      <c r="B67" s="39">
        <v>0</v>
      </c>
      <c r="C67" s="55"/>
      <c r="D67" s="146">
        <v>0</v>
      </c>
      <c r="E67" s="147"/>
      <c r="F67" s="148">
        <f t="shared" si="0"/>
        <v>0</v>
      </c>
    </row>
    <row r="68" spans="1:6" ht="12.75">
      <c r="A68" s="65"/>
      <c r="B68" s="64"/>
      <c r="C68" s="149"/>
      <c r="D68" s="150"/>
      <c r="E68" s="151"/>
      <c r="F68" s="152"/>
    </row>
    <row r="69" spans="1:6" s="91" customFormat="1" ht="12.75">
      <c r="A69" s="43" t="s">
        <v>90</v>
      </c>
      <c r="B69" s="61">
        <f>SUM(B61:B65)</f>
        <v>10519</v>
      </c>
      <c r="C69" s="16">
        <f>SUM(C61:C68)</f>
        <v>205634</v>
      </c>
      <c r="D69" s="153">
        <f>SUM(D61:D65)</f>
        <v>289641</v>
      </c>
      <c r="E69" s="153">
        <f>SUM(E61:E65)</f>
        <v>307525</v>
      </c>
      <c r="F69" s="16">
        <f>SUM(F61:F68)</f>
        <v>1755158</v>
      </c>
    </row>
    <row r="70" spans="1:6" ht="12.75">
      <c r="A70" s="44"/>
      <c r="B70" s="109"/>
      <c r="C70" s="109"/>
      <c r="D70" s="143"/>
      <c r="E70" s="144"/>
      <c r="F70" s="154"/>
    </row>
    <row r="71" spans="1:6" ht="12.75">
      <c r="A71" s="47" t="s">
        <v>52</v>
      </c>
      <c r="B71" s="131"/>
      <c r="C71" s="131"/>
      <c r="D71" s="155"/>
      <c r="E71" s="156"/>
      <c r="F71" s="145"/>
    </row>
    <row r="72" spans="1:6" ht="12.75">
      <c r="A72" s="19" t="s">
        <v>53</v>
      </c>
      <c r="B72" s="131">
        <v>0</v>
      </c>
      <c r="C72" s="55">
        <f>'4_sz_ melléklet'!B15</f>
        <v>4600</v>
      </c>
      <c r="D72" s="146">
        <v>0</v>
      </c>
      <c r="E72" s="147">
        <v>0</v>
      </c>
      <c r="F72" s="148">
        <f>E72+D72+C72+B72+B21+C21+D21+E21+F21</f>
        <v>4600</v>
      </c>
    </row>
    <row r="73" spans="1:6" ht="12.75">
      <c r="A73" s="19" t="s">
        <v>91</v>
      </c>
      <c r="B73" s="131">
        <v>0</v>
      </c>
      <c r="C73" s="55">
        <f>'3_sz_ melléklet'!B12</f>
        <v>2400</v>
      </c>
      <c r="D73" s="146">
        <v>0</v>
      </c>
      <c r="E73" s="147">
        <v>0</v>
      </c>
      <c r="F73" s="148">
        <f>E73+D73+C73+B73+B22+C22+D22+E22+F22</f>
        <v>2400</v>
      </c>
    </row>
    <row r="74" spans="1:6" ht="12.75">
      <c r="A74" s="19" t="s">
        <v>55</v>
      </c>
      <c r="B74" s="131">
        <v>0</v>
      </c>
      <c r="C74" s="55"/>
      <c r="D74" s="146">
        <v>0</v>
      </c>
      <c r="E74" s="147">
        <f>SUM(C74:D74)</f>
        <v>0</v>
      </c>
      <c r="F74" s="148">
        <f>E74+D74+C74+B74+B23+C23+D23+E23+F23</f>
        <v>0</v>
      </c>
    </row>
    <row r="75" spans="1:6" ht="12.75">
      <c r="A75" s="8" t="s">
        <v>112</v>
      </c>
      <c r="B75" s="131">
        <v>0</v>
      </c>
      <c r="C75" s="55"/>
      <c r="D75" s="146">
        <v>0</v>
      </c>
      <c r="E75" s="147">
        <f>SUM(C75:D75)</f>
        <v>0</v>
      </c>
      <c r="F75" s="148">
        <f>E75+D75+C75+B75+B24+C24+D24+E24+F24</f>
        <v>0</v>
      </c>
    </row>
    <row r="76" spans="1:6" ht="12.75">
      <c r="A76" s="65"/>
      <c r="B76" s="157"/>
      <c r="C76" s="149"/>
      <c r="D76" s="158"/>
      <c r="E76" s="147"/>
      <c r="F76" s="152"/>
    </row>
    <row r="77" spans="1:6" s="91" customFormat="1" ht="12.75">
      <c r="A77" s="43" t="s">
        <v>92</v>
      </c>
      <c r="B77" s="61">
        <f>B72+B73+B74+B75</f>
        <v>0</v>
      </c>
      <c r="C77" s="16">
        <f>SUM(C72:C76)</f>
        <v>7000</v>
      </c>
      <c r="D77" s="133">
        <f>SUM(D72:D75)</f>
        <v>0</v>
      </c>
      <c r="E77" s="133">
        <f>SUM(E72:E75)</f>
        <v>0</v>
      </c>
      <c r="F77" s="16">
        <f>SUM(F72:F76)</f>
        <v>7000</v>
      </c>
    </row>
    <row r="78" spans="1:6" ht="12.75">
      <c r="A78" s="44"/>
      <c r="B78" s="109"/>
      <c r="C78" s="69"/>
      <c r="D78" s="159"/>
      <c r="E78" s="160"/>
      <c r="F78" s="145"/>
    </row>
    <row r="79" spans="1:6" ht="12.75">
      <c r="A79" s="50" t="s">
        <v>93</v>
      </c>
      <c r="B79" s="51"/>
      <c r="C79" s="48"/>
      <c r="D79" s="161"/>
      <c r="E79" s="161"/>
      <c r="F79" s="162"/>
    </row>
    <row r="80" spans="1:6" ht="12.75">
      <c r="A80" s="54" t="s">
        <v>59</v>
      </c>
      <c r="B80" s="55">
        <v>0</v>
      </c>
      <c r="C80" s="39">
        <f>B80+F29+E29+D29+C29+B29</f>
        <v>0</v>
      </c>
      <c r="D80" s="147">
        <v>0</v>
      </c>
      <c r="E80" s="161">
        <f>SUM(C80:D80)</f>
        <v>0</v>
      </c>
      <c r="F80" s="148">
        <f>E80+D80+C80+B80+B29+C29+D29+E29+F29</f>
        <v>0</v>
      </c>
    </row>
    <row r="81" spans="1:6" ht="12.75">
      <c r="A81" s="125" t="s">
        <v>60</v>
      </c>
      <c r="B81" s="157">
        <v>0</v>
      </c>
      <c r="C81" s="39">
        <f>B81+F30+E30+D30+C30+B30</f>
        <v>0</v>
      </c>
      <c r="D81" s="163">
        <v>0</v>
      </c>
      <c r="E81" s="161">
        <f>SUM(C81:D81)</f>
        <v>0</v>
      </c>
      <c r="F81" s="148">
        <f>E81+D81+C81+B81+B30+C30+D30+E30+F30</f>
        <v>0</v>
      </c>
    </row>
    <row r="82" spans="1:6" ht="12.75">
      <c r="A82" s="43" t="s">
        <v>94</v>
      </c>
      <c r="B82" s="61">
        <f>B80+B81</f>
        <v>0</v>
      </c>
      <c r="C82" s="16">
        <f>SUM(C80:C81)</f>
        <v>0</v>
      </c>
      <c r="D82" s="133">
        <f>D80+D81</f>
        <v>0</v>
      </c>
      <c r="E82" s="133">
        <f>E80+E81</f>
        <v>0</v>
      </c>
      <c r="F82" s="16">
        <f>SUM(F80:F81)</f>
        <v>0</v>
      </c>
    </row>
    <row r="83" spans="1:6" ht="12.75">
      <c r="A83" s="44"/>
      <c r="B83" s="109"/>
      <c r="C83" s="69"/>
      <c r="D83" s="159"/>
      <c r="E83" s="144"/>
      <c r="F83" s="154"/>
    </row>
    <row r="84" spans="1:6" ht="12.75">
      <c r="A84" s="62" t="s">
        <v>95</v>
      </c>
      <c r="B84" s="51"/>
      <c r="C84" s="48"/>
      <c r="D84" s="163"/>
      <c r="E84" s="161"/>
      <c r="F84" s="145"/>
    </row>
    <row r="85" spans="1:6" ht="12.75">
      <c r="A85" s="54" t="s">
        <v>59</v>
      </c>
      <c r="B85" s="55">
        <v>0</v>
      </c>
      <c r="C85" s="39"/>
      <c r="D85" s="164">
        <v>0</v>
      </c>
      <c r="E85" s="147">
        <f>SUM(C85:D85)</f>
        <v>0</v>
      </c>
      <c r="F85" s="148">
        <f>E85+D85+C85+B85+B34+C34+D34+E34+F34</f>
        <v>0</v>
      </c>
    </row>
    <row r="86" spans="1:6" ht="12.75">
      <c r="A86" s="126" t="s">
        <v>60</v>
      </c>
      <c r="B86" s="165">
        <v>0</v>
      </c>
      <c r="C86" s="63"/>
      <c r="D86" s="164">
        <v>0</v>
      </c>
      <c r="E86" s="151">
        <f>SUM(C86:D86)</f>
        <v>0</v>
      </c>
      <c r="F86" s="148">
        <f>E86+D86+C86+B86+B35+C35+D35+E35+F35</f>
        <v>0</v>
      </c>
    </row>
    <row r="87" spans="1:6" ht="12.75">
      <c r="A87" s="43" t="s">
        <v>96</v>
      </c>
      <c r="B87" s="61">
        <f>B85+B86</f>
        <v>0</v>
      </c>
      <c r="C87" s="16">
        <f>SUM(C85:C86)</f>
        <v>0</v>
      </c>
      <c r="D87" s="133">
        <f>D85+D86</f>
        <v>0</v>
      </c>
      <c r="E87" s="133">
        <f>E85+E86</f>
        <v>0</v>
      </c>
      <c r="F87" s="16">
        <f>SUM(F85:F86)</f>
        <v>0</v>
      </c>
    </row>
    <row r="88" spans="1:6" ht="12.75">
      <c r="A88" s="44"/>
      <c r="B88" s="166"/>
      <c r="C88" s="109"/>
      <c r="D88" s="143"/>
      <c r="E88" s="160"/>
      <c r="F88" s="145"/>
    </row>
    <row r="89" spans="1:6" ht="12.75">
      <c r="A89" s="47" t="s">
        <v>64</v>
      </c>
      <c r="B89" s="49"/>
      <c r="C89" s="131"/>
      <c r="D89" s="167"/>
      <c r="E89" s="161"/>
      <c r="F89" s="162"/>
    </row>
    <row r="90" spans="1:6" ht="12.75">
      <c r="A90" s="121" t="s">
        <v>97</v>
      </c>
      <c r="B90" s="131">
        <v>0</v>
      </c>
      <c r="C90" s="55"/>
      <c r="D90" s="167">
        <v>0</v>
      </c>
      <c r="E90" s="161">
        <f>SUM(C90:D90)</f>
        <v>0</v>
      </c>
      <c r="F90" s="148">
        <f>E90+D90+C90+B90+B39+C39+D39+E39+F39</f>
        <v>0</v>
      </c>
    </row>
    <row r="91" spans="1:6" ht="12.75">
      <c r="A91" s="127" t="s">
        <v>98</v>
      </c>
      <c r="B91" s="157">
        <v>0</v>
      </c>
      <c r="C91" s="165"/>
      <c r="D91" s="167">
        <v>0</v>
      </c>
      <c r="E91" s="156">
        <f>SUM(C91:D91)</f>
        <v>0</v>
      </c>
      <c r="F91" s="148">
        <f>E91+D91+C91+B91+B40+C40+D40+E40+F40</f>
        <v>0</v>
      </c>
    </row>
    <row r="92" spans="1:6" ht="12.75">
      <c r="A92" s="33" t="s">
        <v>99</v>
      </c>
      <c r="B92" s="128">
        <f>B90+B91</f>
        <v>0</v>
      </c>
      <c r="C92" s="60">
        <f>SUM(C90:C91)</f>
        <v>0</v>
      </c>
      <c r="D92" s="133">
        <f>D90+D91</f>
        <v>0</v>
      </c>
      <c r="E92" s="133">
        <f>E90+E91</f>
        <v>0</v>
      </c>
      <c r="F92" s="16">
        <f>SUM(F90:F91)</f>
        <v>0</v>
      </c>
    </row>
    <row r="93" spans="1:6" ht="12.75">
      <c r="A93" s="43"/>
      <c r="B93" s="67"/>
      <c r="C93" s="51"/>
      <c r="D93" s="144"/>
      <c r="E93" s="144"/>
      <c r="F93" s="168"/>
    </row>
    <row r="94" spans="1:6" ht="12.75">
      <c r="A94" s="90" t="s">
        <v>68</v>
      </c>
      <c r="B94" s="108"/>
      <c r="C94" s="67"/>
      <c r="D94" s="144"/>
      <c r="E94" s="144"/>
      <c r="F94" s="169"/>
    </row>
    <row r="95" spans="1:6" ht="12.75">
      <c r="A95" s="70" t="s">
        <v>69</v>
      </c>
      <c r="B95" s="131">
        <v>0</v>
      </c>
      <c r="C95" s="131"/>
      <c r="D95" s="144">
        <v>0</v>
      </c>
      <c r="E95" s="144">
        <f>SUM(C95:D95)</f>
        <v>0</v>
      </c>
      <c r="F95" s="170">
        <f>E95+D95+C95+B95+B44+C44+D44+E44+F44</f>
        <v>0</v>
      </c>
    </row>
    <row r="96" spans="1:6" ht="12.75">
      <c r="A96" s="71" t="s">
        <v>70</v>
      </c>
      <c r="B96" s="51">
        <v>0</v>
      </c>
      <c r="C96" s="131"/>
      <c r="D96" s="161">
        <v>0</v>
      </c>
      <c r="E96" s="161">
        <f>SUM(C96:D96)</f>
        <v>0</v>
      </c>
      <c r="F96" s="170">
        <f>E96+D96+C96+B96+B45+C45+D45+E45+F45</f>
        <v>0</v>
      </c>
    </row>
    <row r="97" spans="1:6" ht="12.75">
      <c r="A97" s="43" t="s">
        <v>71</v>
      </c>
      <c r="B97" s="60">
        <f>B95+B96</f>
        <v>0</v>
      </c>
      <c r="C97" s="16">
        <f>SUM(C95:C96)</f>
        <v>0</v>
      </c>
      <c r="D97" s="171">
        <f>D95+D96</f>
        <v>0</v>
      </c>
      <c r="E97" s="171">
        <f>E95+E96</f>
        <v>0</v>
      </c>
      <c r="F97" s="16">
        <f>SUM(F95:F96)</f>
        <v>0</v>
      </c>
    </row>
    <row r="98" spans="1:6" ht="12.75">
      <c r="A98" s="90"/>
      <c r="B98" s="51"/>
      <c r="C98" s="51"/>
      <c r="D98" s="144"/>
      <c r="E98" s="144"/>
      <c r="F98" s="168"/>
    </row>
    <row r="99" spans="1:6" s="91" customFormat="1" ht="12.75">
      <c r="A99" s="132" t="s">
        <v>100</v>
      </c>
      <c r="B99" s="60">
        <f>B97+B92+B87+B82+B77+B69</f>
        <v>10519</v>
      </c>
      <c r="C99" s="16">
        <f>C97+C92+C87+C82+C77+C69</f>
        <v>212634</v>
      </c>
      <c r="D99" s="171">
        <f>D97+D92+D87+D82+D77+D69</f>
        <v>289641</v>
      </c>
      <c r="E99" s="171">
        <f>E97+E92+E87+E82+E77+E69</f>
        <v>307525</v>
      </c>
      <c r="F99" s="172">
        <f>F97+F92+F87+F82+F77+F69</f>
        <v>1762158</v>
      </c>
    </row>
    <row r="100" spans="1:6" ht="14.25" customHeight="1">
      <c r="A100" s="107"/>
      <c r="B100" s="51"/>
      <c r="C100" s="51"/>
      <c r="D100" s="144"/>
      <c r="E100" s="144"/>
      <c r="F100" s="168"/>
    </row>
    <row r="101" spans="1:6" ht="12.75">
      <c r="A101" s="50" t="s">
        <v>113</v>
      </c>
      <c r="B101" s="104">
        <v>0</v>
      </c>
      <c r="C101" s="67">
        <f>B101+F50+E50+D50+C50+B50</f>
        <v>0</v>
      </c>
      <c r="D101" s="144">
        <v>0</v>
      </c>
      <c r="E101" s="144">
        <f>SUM(C101:D101)</f>
        <v>0</v>
      </c>
      <c r="F101" s="67">
        <f>E101+D101+C101+B101+B50+C50+D50+E50+F50</f>
        <v>0</v>
      </c>
    </row>
    <row r="102" spans="1:6" ht="14.25" customHeight="1">
      <c r="A102" s="135"/>
      <c r="B102" s="51"/>
      <c r="C102" s="51"/>
      <c r="D102" s="144"/>
      <c r="E102" s="144"/>
      <c r="F102" s="168"/>
    </row>
    <row r="103" spans="1:6" s="91" customFormat="1" ht="12.75">
      <c r="A103" s="117" t="s">
        <v>103</v>
      </c>
      <c r="B103" s="60">
        <f>B99+B101</f>
        <v>10519</v>
      </c>
      <c r="C103" s="60">
        <f>C99+C101</f>
        <v>212634</v>
      </c>
      <c r="D103" s="136">
        <f>D101+D99</f>
        <v>289641</v>
      </c>
      <c r="E103" s="136">
        <f>E101+E99</f>
        <v>307525</v>
      </c>
      <c r="F103" s="133">
        <f>F101+F99</f>
        <v>1762158</v>
      </c>
    </row>
    <row r="104" spans="1:6" ht="12.75">
      <c r="A104" s="909">
        <v>3</v>
      </c>
      <c r="B104" s="909"/>
      <c r="C104" s="909"/>
      <c r="D104" s="909"/>
      <c r="E104" s="909"/>
      <c r="F104" s="909"/>
    </row>
    <row r="105" spans="1:6" ht="14.25">
      <c r="A105" s="905" t="s">
        <v>114</v>
      </c>
      <c r="B105" s="905"/>
      <c r="C105" s="905"/>
      <c r="D105" s="905"/>
      <c r="E105" s="905"/>
      <c r="F105" s="905"/>
    </row>
    <row r="106" spans="1:6" ht="15.75">
      <c r="A106" s="904" t="s">
        <v>105</v>
      </c>
      <c r="B106" s="904"/>
      <c r="C106" s="904"/>
      <c r="D106" s="904"/>
      <c r="E106" s="904"/>
      <c r="F106" s="904"/>
    </row>
    <row r="107" spans="1:6" ht="15.75">
      <c r="A107" s="904" t="s">
        <v>106</v>
      </c>
      <c r="B107" s="904"/>
      <c r="C107" s="904"/>
      <c r="D107" s="904"/>
      <c r="E107" s="904"/>
      <c r="F107" s="904"/>
    </row>
    <row r="108" ht="12.75">
      <c r="F108" s="31" t="s">
        <v>81</v>
      </c>
    </row>
    <row r="109" spans="1:3" ht="72.75">
      <c r="A109" s="138" t="s">
        <v>115</v>
      </c>
      <c r="B109" s="139" t="s">
        <v>121</v>
      </c>
      <c r="C109" s="142" t="s">
        <v>122</v>
      </c>
    </row>
    <row r="110" spans="1:3" ht="12.75">
      <c r="A110" s="44" t="s">
        <v>43</v>
      </c>
      <c r="B110" s="69"/>
      <c r="C110" s="69"/>
    </row>
    <row r="111" spans="1:3" ht="12.75">
      <c r="A111" s="121" t="s">
        <v>44</v>
      </c>
      <c r="B111" s="48">
        <v>499</v>
      </c>
      <c r="C111" s="39">
        <f>B111+F61</f>
        <v>1026437</v>
      </c>
    </row>
    <row r="112" spans="1:3" ht="12.75">
      <c r="A112" s="19" t="s">
        <v>45</v>
      </c>
      <c r="B112" s="48">
        <v>155</v>
      </c>
      <c r="C112" s="39">
        <f aca="true" t="shared" si="1" ref="C112:C117">B112+F62</f>
        <v>319717</v>
      </c>
    </row>
    <row r="113" spans="1:3" ht="12.75">
      <c r="A113" s="19" t="s">
        <v>46</v>
      </c>
      <c r="B113" s="48">
        <v>750</v>
      </c>
      <c r="C113" s="39">
        <f t="shared" si="1"/>
        <v>410050</v>
      </c>
    </row>
    <row r="114" spans="1:3" ht="12.75">
      <c r="A114" s="19" t="s">
        <v>48</v>
      </c>
      <c r="B114" s="48"/>
      <c r="C114" s="39">
        <f t="shared" si="1"/>
        <v>358</v>
      </c>
    </row>
    <row r="115" spans="1:3" ht="12.75">
      <c r="A115" s="8" t="s">
        <v>87</v>
      </c>
      <c r="B115" s="48">
        <v>0</v>
      </c>
      <c r="C115" s="39">
        <f t="shared" si="1"/>
        <v>0</v>
      </c>
    </row>
    <row r="116" spans="1:3" ht="12.75">
      <c r="A116" s="8" t="s">
        <v>88</v>
      </c>
      <c r="B116" s="48"/>
      <c r="C116" s="39">
        <f t="shared" si="1"/>
        <v>0</v>
      </c>
    </row>
    <row r="117" spans="1:3" ht="12.75">
      <c r="A117" s="122" t="s">
        <v>89</v>
      </c>
      <c r="B117" s="39">
        <v>0</v>
      </c>
      <c r="C117" s="39">
        <f t="shared" si="1"/>
        <v>0</v>
      </c>
    </row>
    <row r="118" spans="1:3" ht="12.75">
      <c r="A118" s="43" t="s">
        <v>90</v>
      </c>
      <c r="B118" s="61">
        <f>SUM(B111:B115)</f>
        <v>1404</v>
      </c>
      <c r="C118" s="16">
        <f>SUM(C111:C117)</f>
        <v>1756562</v>
      </c>
    </row>
    <row r="119" spans="1:3" ht="12.75">
      <c r="A119" s="33"/>
      <c r="B119" s="173"/>
      <c r="C119" s="52"/>
    </row>
    <row r="120" spans="1:3" ht="12.75">
      <c r="A120" s="47" t="s">
        <v>52</v>
      </c>
      <c r="B120" s="131"/>
      <c r="C120" s="48"/>
    </row>
    <row r="121" spans="1:3" ht="12.75">
      <c r="A121" s="19" t="s">
        <v>53</v>
      </c>
      <c r="B121" s="131">
        <v>0</v>
      </c>
      <c r="C121" s="39">
        <f>B121+F72</f>
        <v>4600</v>
      </c>
    </row>
    <row r="122" spans="1:3" ht="12.75">
      <c r="A122" s="19" t="s">
        <v>91</v>
      </c>
      <c r="B122" s="131">
        <v>0</v>
      </c>
      <c r="C122" s="39">
        <f>B122+F73</f>
        <v>2400</v>
      </c>
    </row>
    <row r="123" spans="1:3" ht="12.75">
      <c r="A123" s="19" t="s">
        <v>55</v>
      </c>
      <c r="B123" s="131">
        <v>0</v>
      </c>
      <c r="C123" s="39">
        <f>B123+F74</f>
        <v>0</v>
      </c>
    </row>
    <row r="124" spans="1:3" ht="12.75">
      <c r="A124" s="8" t="s">
        <v>112</v>
      </c>
      <c r="B124" s="131">
        <v>0</v>
      </c>
      <c r="C124" s="39">
        <f>B124+F75</f>
        <v>0</v>
      </c>
    </row>
    <row r="125" spans="1:3" ht="12.75">
      <c r="A125" s="65"/>
      <c r="B125" s="157"/>
      <c r="C125" s="58"/>
    </row>
    <row r="126" spans="1:3" ht="12.75">
      <c r="A126" s="43" t="s">
        <v>92</v>
      </c>
      <c r="B126" s="61">
        <f>B121+B122+B123+B124</f>
        <v>0</v>
      </c>
      <c r="C126" s="16">
        <f>SUM(C121:C125)</f>
        <v>7000</v>
      </c>
    </row>
    <row r="127" spans="1:3" ht="12.75">
      <c r="A127" s="44"/>
      <c r="B127" s="109"/>
      <c r="C127" s="69"/>
    </row>
    <row r="128" spans="1:3" ht="12.75">
      <c r="A128" s="50" t="s">
        <v>93</v>
      </c>
      <c r="B128" s="51"/>
      <c r="C128" s="48"/>
    </row>
    <row r="129" spans="1:3" ht="12.75">
      <c r="A129" s="54" t="s">
        <v>59</v>
      </c>
      <c r="B129" s="55">
        <v>0</v>
      </c>
      <c r="C129" s="39">
        <f>B129+F80</f>
        <v>0</v>
      </c>
    </row>
    <row r="130" spans="1:3" ht="12.75">
      <c r="A130" s="125" t="s">
        <v>60</v>
      </c>
      <c r="B130" s="157">
        <v>0</v>
      </c>
      <c r="C130" s="39">
        <f>B130+F81</f>
        <v>0</v>
      </c>
    </row>
    <row r="131" spans="1:3" ht="12.75">
      <c r="A131" s="43" t="s">
        <v>94</v>
      </c>
      <c r="B131" s="61">
        <f>B129+B130</f>
        <v>0</v>
      </c>
      <c r="C131" s="16">
        <f>SUM(C129:C130)</f>
        <v>0</v>
      </c>
    </row>
    <row r="132" spans="1:3" ht="12.75">
      <c r="A132" s="33"/>
      <c r="B132" s="173"/>
      <c r="C132" s="52"/>
    </row>
    <row r="133" spans="1:3" ht="12.75">
      <c r="A133" s="62" t="s">
        <v>95</v>
      </c>
      <c r="B133" s="51"/>
      <c r="C133" s="48"/>
    </row>
    <row r="134" spans="1:3" ht="12.75">
      <c r="A134" s="54" t="s">
        <v>59</v>
      </c>
      <c r="B134" s="55">
        <v>0</v>
      </c>
      <c r="C134" s="39">
        <f>B134+F85</f>
        <v>0</v>
      </c>
    </row>
    <row r="135" spans="1:3" ht="12.75">
      <c r="A135" s="126" t="s">
        <v>60</v>
      </c>
      <c r="B135" s="165">
        <v>0</v>
      </c>
      <c r="C135" s="39">
        <f>B135+F86</f>
        <v>0</v>
      </c>
    </row>
    <row r="136" spans="1:3" ht="12.75">
      <c r="A136" s="43" t="s">
        <v>96</v>
      </c>
      <c r="B136" s="61">
        <f>B134+B135</f>
        <v>0</v>
      </c>
      <c r="C136" s="16">
        <f>SUM(C134:C135)</f>
        <v>0</v>
      </c>
    </row>
    <row r="137" spans="1:3" ht="12.75">
      <c r="A137" s="44"/>
      <c r="B137" s="166"/>
      <c r="C137" s="69"/>
    </row>
    <row r="138" spans="1:3" ht="12.75">
      <c r="A138" s="47" t="s">
        <v>64</v>
      </c>
      <c r="B138" s="49"/>
      <c r="C138" s="48"/>
    </row>
    <row r="139" spans="1:3" ht="12.75">
      <c r="A139" s="121" t="s">
        <v>97</v>
      </c>
      <c r="B139" s="131">
        <v>0</v>
      </c>
      <c r="C139" s="39">
        <f>B139+F90</f>
        <v>0</v>
      </c>
    </row>
    <row r="140" spans="1:3" ht="12.75">
      <c r="A140" s="127" t="s">
        <v>98</v>
      </c>
      <c r="B140" s="157">
        <v>0</v>
      </c>
      <c r="C140" s="39">
        <f>B140+F91</f>
        <v>0</v>
      </c>
    </row>
    <row r="141" spans="1:3" ht="12.75">
      <c r="A141" s="33" t="s">
        <v>99</v>
      </c>
      <c r="B141" s="128">
        <f>B139+B140</f>
        <v>0</v>
      </c>
      <c r="C141" s="16">
        <f>SUM(C139:C140)</f>
        <v>0</v>
      </c>
    </row>
    <row r="142" spans="1:3" ht="12.75">
      <c r="A142" s="43"/>
      <c r="B142" s="67"/>
      <c r="C142" s="64"/>
    </row>
    <row r="143" spans="1:3" ht="12.75">
      <c r="A143" s="90" t="s">
        <v>68</v>
      </c>
      <c r="B143" s="108"/>
      <c r="C143" s="67"/>
    </row>
    <row r="144" spans="1:3" ht="12.75">
      <c r="A144" s="70" t="s">
        <v>69</v>
      </c>
      <c r="B144" s="131">
        <v>0</v>
      </c>
      <c r="C144" s="48">
        <f>B144+F95</f>
        <v>0</v>
      </c>
    </row>
    <row r="145" spans="1:3" ht="12.75">
      <c r="A145" s="71" t="s">
        <v>70</v>
      </c>
      <c r="B145" s="51">
        <v>0</v>
      </c>
      <c r="C145" s="48">
        <f>B145+F96</f>
        <v>0</v>
      </c>
    </row>
    <row r="146" spans="1:3" ht="12.75">
      <c r="A146" s="43" t="s">
        <v>71</v>
      </c>
      <c r="B146" s="60">
        <f>B144+B145</f>
        <v>0</v>
      </c>
      <c r="C146" s="16">
        <f>SUM(C144:C145)</f>
        <v>0</v>
      </c>
    </row>
    <row r="147" spans="1:3" ht="12.75">
      <c r="A147" s="90"/>
      <c r="B147" s="51"/>
      <c r="C147" s="64"/>
    </row>
    <row r="148" spans="1:3" ht="12.75">
      <c r="A148" s="132" t="s">
        <v>100</v>
      </c>
      <c r="B148" s="60">
        <f>B146+B141+B136+B131+B126+B118</f>
        <v>1404</v>
      </c>
      <c r="C148" s="16">
        <f>C146+C141+C136+C131+C126+C118</f>
        <v>1763562</v>
      </c>
    </row>
    <row r="149" spans="1:3" ht="12.75">
      <c r="A149" s="107"/>
      <c r="B149" s="51"/>
      <c r="C149" s="64"/>
    </row>
    <row r="150" spans="1:3" ht="12.75">
      <c r="A150" s="50" t="s">
        <v>113</v>
      </c>
      <c r="B150" s="104">
        <v>0</v>
      </c>
      <c r="C150" s="67">
        <f>B150+F101</f>
        <v>0</v>
      </c>
    </row>
    <row r="151" spans="1:3" ht="12.75">
      <c r="A151" s="135"/>
      <c r="B151" s="51"/>
      <c r="C151" s="64"/>
    </row>
    <row r="152" spans="1:3" ht="12.75">
      <c r="A152" s="117" t="s">
        <v>103</v>
      </c>
      <c r="B152" s="60">
        <f>B148+B150</f>
        <v>1404</v>
      </c>
      <c r="C152" s="16">
        <f>C150+C148</f>
        <v>1763562</v>
      </c>
    </row>
  </sheetData>
  <sheetProtection/>
  <mergeCells count="16">
    <mergeCell ref="A106:F106"/>
    <mergeCell ref="A107:F107"/>
    <mergeCell ref="A54:F54"/>
    <mergeCell ref="A55:F55"/>
    <mergeCell ref="A56:F56"/>
    <mergeCell ref="A57:F57"/>
    <mergeCell ref="A104:F104"/>
    <mergeCell ref="A105:F105"/>
    <mergeCell ref="E1:F1"/>
    <mergeCell ref="A3:F3"/>
    <mergeCell ref="A4:F4"/>
    <mergeCell ref="B7:B8"/>
    <mergeCell ref="C7:C8"/>
    <mergeCell ref="D7:D8"/>
    <mergeCell ref="E7:E8"/>
    <mergeCell ref="F7:F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298">
      <selection activeCell="A311" sqref="A311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3" width="10.8515625" style="0" customWidth="1"/>
    <col min="4" max="4" width="10.57421875" style="0" customWidth="1"/>
    <col min="5" max="5" width="11.140625" style="0" customWidth="1"/>
    <col min="6" max="6" width="11.00390625" style="0" customWidth="1"/>
  </cols>
  <sheetData>
    <row r="1" spans="1:5" ht="14.25">
      <c r="A1" s="905" t="s">
        <v>123</v>
      </c>
      <c r="B1" s="905"/>
      <c r="C1" s="905"/>
      <c r="D1" s="905"/>
      <c r="E1" s="905"/>
    </row>
    <row r="2" spans="1:6" ht="15.75">
      <c r="A2" s="904" t="s">
        <v>124</v>
      </c>
      <c r="B2" s="904"/>
      <c r="C2" s="904"/>
      <c r="D2" s="904"/>
      <c r="E2" s="904"/>
      <c r="F2" s="904"/>
    </row>
    <row r="3" spans="1:6" ht="15.75">
      <c r="A3" s="904" t="s">
        <v>125</v>
      </c>
      <c r="B3" s="904"/>
      <c r="C3" s="904"/>
      <c r="D3" s="904"/>
      <c r="E3" s="904"/>
      <c r="F3" s="904"/>
    </row>
    <row r="4" ht="12.75">
      <c r="E4" s="31" t="s">
        <v>81</v>
      </c>
    </row>
    <row r="5" spans="1:6" ht="42" customHeight="1">
      <c r="A5" s="32" t="s">
        <v>126</v>
      </c>
      <c r="B5" s="174" t="s">
        <v>127</v>
      </c>
      <c r="C5" s="175" t="s">
        <v>128</v>
      </c>
      <c r="D5" s="176" t="s">
        <v>129</v>
      </c>
      <c r="E5" s="176" t="s">
        <v>130</v>
      </c>
      <c r="F5" s="176" t="s">
        <v>131</v>
      </c>
    </row>
    <row r="6" spans="1:6" ht="12.75">
      <c r="A6" s="44" t="s">
        <v>43</v>
      </c>
      <c r="B6" s="177"/>
      <c r="C6" s="177"/>
      <c r="D6" s="177"/>
      <c r="E6" s="178"/>
      <c r="F6" s="177"/>
    </row>
    <row r="7" spans="1:6" ht="12.75">
      <c r="A7" s="121" t="s">
        <v>44</v>
      </c>
      <c r="B7" s="48">
        <v>300</v>
      </c>
      <c r="C7" s="39"/>
      <c r="D7" s="48"/>
      <c r="E7" s="49"/>
      <c r="F7" s="39"/>
    </row>
    <row r="8" spans="1:6" ht="12.75">
      <c r="A8" s="19" t="s">
        <v>45</v>
      </c>
      <c r="B8" s="48">
        <v>86</v>
      </c>
      <c r="C8" s="39"/>
      <c r="D8" s="48"/>
      <c r="E8" s="49"/>
      <c r="F8" s="39"/>
    </row>
    <row r="9" spans="1:6" ht="12.75">
      <c r="A9" s="19" t="s">
        <v>46</v>
      </c>
      <c r="B9" s="48">
        <v>21623</v>
      </c>
      <c r="C9" s="39"/>
      <c r="D9" s="48">
        <v>33465</v>
      </c>
      <c r="E9" s="49"/>
      <c r="F9" s="39">
        <v>9100</v>
      </c>
    </row>
    <row r="10" spans="1:6" ht="12.75">
      <c r="A10" s="19" t="s">
        <v>132</v>
      </c>
      <c r="B10" s="48">
        <v>-2597</v>
      </c>
      <c r="C10" s="39"/>
      <c r="D10" s="48"/>
      <c r="E10" s="49"/>
      <c r="F10" s="39"/>
    </row>
    <row r="11" spans="1:6" ht="12.75">
      <c r="A11" s="19" t="s">
        <v>48</v>
      </c>
      <c r="B11" s="48">
        <v>0</v>
      </c>
      <c r="C11" s="39">
        <v>0</v>
      </c>
      <c r="D11" s="48">
        <v>0</v>
      </c>
      <c r="E11" s="49">
        <v>0</v>
      </c>
      <c r="F11" s="39">
        <v>0</v>
      </c>
    </row>
    <row r="12" spans="1:6" ht="12.75">
      <c r="A12" s="8" t="s">
        <v>49</v>
      </c>
      <c r="B12" s="48">
        <v>0</v>
      </c>
      <c r="C12" s="39">
        <v>0</v>
      </c>
      <c r="D12" s="48">
        <v>0</v>
      </c>
      <c r="E12" s="49">
        <v>0</v>
      </c>
      <c r="F12" s="39">
        <v>0</v>
      </c>
    </row>
    <row r="13" spans="1:6" ht="12.75">
      <c r="A13" s="122" t="s">
        <v>133</v>
      </c>
      <c r="B13" s="39">
        <f>B12</f>
        <v>0</v>
      </c>
      <c r="C13" s="39">
        <f>C12</f>
        <v>0</v>
      </c>
      <c r="D13" s="39">
        <f>D12</f>
        <v>0</v>
      </c>
      <c r="E13" s="39">
        <f>E12</f>
        <v>0</v>
      </c>
      <c r="F13" s="39">
        <f>F12</f>
        <v>0</v>
      </c>
    </row>
    <row r="14" spans="1:6" s="91" customFormat="1" ht="12.75">
      <c r="A14" s="43" t="s">
        <v>134</v>
      </c>
      <c r="B14" s="16">
        <f>SUM(B7:B12)</f>
        <v>19412</v>
      </c>
      <c r="C14" s="16">
        <f>SUM(C7:C12)</f>
        <v>0</v>
      </c>
      <c r="D14" s="16">
        <f>SUM(D7:D12)</f>
        <v>33465</v>
      </c>
      <c r="E14" s="16">
        <f>SUM(E7:E12)</f>
        <v>0</v>
      </c>
      <c r="F14" s="16">
        <f>SUM(F7:F12)</f>
        <v>9100</v>
      </c>
    </row>
    <row r="15" spans="1:6" ht="20.25" customHeight="1">
      <c r="A15" s="47" t="s">
        <v>52</v>
      </c>
      <c r="B15" s="48"/>
      <c r="C15" s="94"/>
      <c r="D15" s="48"/>
      <c r="E15" s="131"/>
      <c r="F15" s="39"/>
    </row>
    <row r="16" spans="1:6" ht="12.75">
      <c r="A16" s="19" t="s">
        <v>53</v>
      </c>
      <c r="B16" s="48">
        <v>0</v>
      </c>
      <c r="C16" s="56">
        <v>0</v>
      </c>
      <c r="D16" s="48">
        <v>0</v>
      </c>
      <c r="E16" s="131"/>
      <c r="F16" s="39">
        <v>0</v>
      </c>
    </row>
    <row r="17" spans="1:6" ht="12.75">
      <c r="A17" s="19" t="s">
        <v>54</v>
      </c>
      <c r="B17" s="48">
        <v>0</v>
      </c>
      <c r="C17" s="56">
        <f>'3_sz_ melléklet'!B22</f>
        <v>32733</v>
      </c>
      <c r="D17" s="48">
        <v>0</v>
      </c>
      <c r="E17" s="131">
        <v>0</v>
      </c>
      <c r="F17" s="39">
        <v>0</v>
      </c>
    </row>
    <row r="18" spans="1:6" ht="12.75">
      <c r="A18" s="19" t="s">
        <v>55</v>
      </c>
      <c r="B18" s="48">
        <v>0</v>
      </c>
      <c r="C18" s="56">
        <v>0</v>
      </c>
      <c r="D18" s="48">
        <v>0</v>
      </c>
      <c r="E18" s="131">
        <v>0</v>
      </c>
      <c r="F18" s="39">
        <v>0</v>
      </c>
    </row>
    <row r="19" spans="1:6" ht="12.75">
      <c r="A19" s="179" t="s">
        <v>112</v>
      </c>
      <c r="B19" s="48">
        <f>-B10</f>
        <v>2597</v>
      </c>
      <c r="C19" s="48">
        <f>-C10</f>
        <v>0</v>
      </c>
      <c r="D19" s="48">
        <f>-D10</f>
        <v>0</v>
      </c>
      <c r="E19" s="48">
        <f>-E10</f>
        <v>0</v>
      </c>
      <c r="F19" s="48">
        <f>-F10</f>
        <v>0</v>
      </c>
    </row>
    <row r="20" spans="1:6" s="91" customFormat="1" ht="12.75">
      <c r="A20" s="43" t="s">
        <v>92</v>
      </c>
      <c r="B20" s="16">
        <f>B16+B17+B18+B19</f>
        <v>2597</v>
      </c>
      <c r="C20" s="16">
        <f>C16+C17+C18+C19</f>
        <v>32733</v>
      </c>
      <c r="D20" s="16">
        <f>D16+D17+D18+D19</f>
        <v>0</v>
      </c>
      <c r="E20" s="16">
        <f>E16+E17+E18+E19</f>
        <v>0</v>
      </c>
      <c r="F20" s="16">
        <f>F16+F17+F18+F19</f>
        <v>0</v>
      </c>
    </row>
    <row r="21" spans="1:6" ht="12.75">
      <c r="A21" s="96"/>
      <c r="B21" s="64"/>
      <c r="C21" s="51"/>
      <c r="D21" s="64"/>
      <c r="E21" s="53"/>
      <c r="F21" s="64"/>
    </row>
    <row r="22" spans="1:6" ht="12.75">
      <c r="A22" s="96" t="s">
        <v>58</v>
      </c>
      <c r="B22" s="64"/>
      <c r="C22" s="51"/>
      <c r="D22" s="64"/>
      <c r="E22" s="53"/>
      <c r="F22" s="64"/>
    </row>
    <row r="23" spans="1:6" ht="12.75">
      <c r="A23" s="180" t="s">
        <v>59</v>
      </c>
      <c r="B23" s="39">
        <v>0</v>
      </c>
      <c r="C23" s="55">
        <v>0</v>
      </c>
      <c r="D23" s="39">
        <v>0</v>
      </c>
      <c r="E23" s="56">
        <v>0</v>
      </c>
      <c r="F23" s="39">
        <v>0</v>
      </c>
    </row>
    <row r="24" spans="1:6" ht="12.75">
      <c r="A24" s="125" t="s">
        <v>60</v>
      </c>
      <c r="B24" s="64">
        <v>0</v>
      </c>
      <c r="C24" s="51">
        <v>0</v>
      </c>
      <c r="D24" s="64">
        <v>0</v>
      </c>
      <c r="E24" s="53">
        <v>0</v>
      </c>
      <c r="F24" s="58">
        <v>0</v>
      </c>
    </row>
    <row r="25" spans="1:6" ht="12.75">
      <c r="A25" s="43" t="s">
        <v>135</v>
      </c>
      <c r="B25" s="16">
        <f>B23+B24</f>
        <v>0</v>
      </c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</row>
    <row r="26" spans="1:6" ht="12.75">
      <c r="A26" s="96"/>
      <c r="B26" s="64"/>
      <c r="C26" s="51"/>
      <c r="D26" s="64"/>
      <c r="E26" s="64"/>
      <c r="F26" s="53"/>
    </row>
    <row r="27" spans="1:6" ht="12.75">
      <c r="A27" s="62" t="s">
        <v>95</v>
      </c>
      <c r="B27" s="48"/>
      <c r="C27" s="131"/>
      <c r="D27" s="48"/>
      <c r="E27" s="48"/>
      <c r="F27" s="94"/>
    </row>
    <row r="28" spans="1:6" ht="12.75">
      <c r="A28" s="54" t="s">
        <v>59</v>
      </c>
      <c r="B28" s="48">
        <v>0</v>
      </c>
      <c r="C28" s="131">
        <v>0</v>
      </c>
      <c r="D28" s="48">
        <v>0</v>
      </c>
      <c r="E28" s="48">
        <f>1_e_f_sz_melléklet!D40</f>
        <v>3977</v>
      </c>
      <c r="F28" s="56">
        <f>1_e_f_sz_melléklet!D41</f>
        <v>1000</v>
      </c>
    </row>
    <row r="29" spans="1:6" ht="12.75">
      <c r="A29" s="126" t="s">
        <v>60</v>
      </c>
      <c r="B29" s="64">
        <v>0</v>
      </c>
      <c r="C29" s="51">
        <v>0</v>
      </c>
      <c r="D29" s="64">
        <v>0</v>
      </c>
      <c r="E29" s="64">
        <v>0</v>
      </c>
      <c r="F29" s="59">
        <f>1_e_f_sz_melléklet!C48</f>
        <v>400</v>
      </c>
    </row>
    <row r="30" spans="1:6" ht="12.75">
      <c r="A30" s="43" t="s">
        <v>96</v>
      </c>
      <c r="B30" s="16">
        <f>B28+B29</f>
        <v>0</v>
      </c>
      <c r="C30" s="16">
        <f>C28+C29</f>
        <v>0</v>
      </c>
      <c r="D30" s="16">
        <f>D28+D29</f>
        <v>0</v>
      </c>
      <c r="E30" s="16">
        <f>E28+E29</f>
        <v>3977</v>
      </c>
      <c r="F30" s="16">
        <f>F28+F29</f>
        <v>1400</v>
      </c>
    </row>
    <row r="31" spans="1:6" ht="20.25" customHeight="1">
      <c r="A31" s="44" t="s">
        <v>64</v>
      </c>
      <c r="B31" s="48"/>
      <c r="C31" s="48"/>
      <c r="D31" s="48"/>
      <c r="E31" s="131"/>
      <c r="F31" s="48"/>
    </row>
    <row r="32" spans="1:6" ht="12.75">
      <c r="A32" s="57" t="s">
        <v>97</v>
      </c>
      <c r="B32" s="64">
        <v>0</v>
      </c>
      <c r="C32" s="64">
        <v>0</v>
      </c>
      <c r="D32" s="64">
        <v>0</v>
      </c>
      <c r="E32" s="51">
        <v>0</v>
      </c>
      <c r="F32" s="39">
        <v>0</v>
      </c>
    </row>
    <row r="33" spans="1:6" ht="12.75">
      <c r="A33" s="8" t="s">
        <v>136</v>
      </c>
      <c r="B33" s="39">
        <v>0</v>
      </c>
      <c r="C33" s="39">
        <v>0</v>
      </c>
      <c r="D33" s="39">
        <v>0</v>
      </c>
      <c r="E33" s="55">
        <v>0</v>
      </c>
      <c r="F33" s="58">
        <v>0</v>
      </c>
    </row>
    <row r="34" spans="1:6" ht="12.75">
      <c r="A34" s="43" t="s">
        <v>99</v>
      </c>
      <c r="B34" s="16">
        <f>B33+B32</f>
        <v>0</v>
      </c>
      <c r="C34" s="16">
        <f>C33+C32</f>
        <v>0</v>
      </c>
      <c r="D34" s="16">
        <f>D33+D32</f>
        <v>0</v>
      </c>
      <c r="E34" s="16">
        <f>E33+E32</f>
        <v>0</v>
      </c>
      <c r="F34" s="16">
        <f>F33+F32</f>
        <v>0</v>
      </c>
    </row>
    <row r="35" spans="1:6" ht="19.5" customHeight="1">
      <c r="A35" s="47" t="s">
        <v>68</v>
      </c>
      <c r="B35" s="109"/>
      <c r="C35" s="69"/>
      <c r="D35" s="166"/>
      <c r="E35" s="109"/>
      <c r="F35" s="48"/>
    </row>
    <row r="36" spans="1:6" ht="12.75">
      <c r="A36" s="38" t="s">
        <v>137</v>
      </c>
      <c r="B36" s="131">
        <v>0</v>
      </c>
      <c r="C36" s="48">
        <v>0</v>
      </c>
      <c r="D36" s="49">
        <v>0</v>
      </c>
      <c r="E36" s="131">
        <v>0</v>
      </c>
      <c r="F36" s="39">
        <v>0</v>
      </c>
    </row>
    <row r="37" spans="1:6" ht="12.75">
      <c r="A37" s="38" t="s">
        <v>138</v>
      </c>
      <c r="B37" s="55">
        <v>0</v>
      </c>
      <c r="C37" s="39">
        <v>0</v>
      </c>
      <c r="D37" s="40">
        <v>0</v>
      </c>
      <c r="E37" s="55">
        <v>0</v>
      </c>
      <c r="F37" s="39">
        <v>0</v>
      </c>
    </row>
    <row r="38" spans="1:6" ht="12.75">
      <c r="A38" s="90" t="s">
        <v>71</v>
      </c>
      <c r="B38" s="16">
        <f>B37+B36</f>
        <v>0</v>
      </c>
      <c r="C38" s="16">
        <f>C37+C36</f>
        <v>0</v>
      </c>
      <c r="D38" s="16">
        <f>D37+D36</f>
        <v>0</v>
      </c>
      <c r="E38" s="16">
        <f>E37+E36</f>
        <v>0</v>
      </c>
      <c r="F38" s="16">
        <f>F37+F36</f>
        <v>0</v>
      </c>
    </row>
    <row r="39" spans="1:6" ht="12.75">
      <c r="A39" s="96"/>
      <c r="B39" s="52"/>
      <c r="C39" s="52"/>
      <c r="D39" s="52"/>
      <c r="E39" s="173"/>
      <c r="F39" s="64"/>
    </row>
    <row r="40" spans="1:6" ht="12.75">
      <c r="A40" s="181" t="s">
        <v>139</v>
      </c>
      <c r="B40" s="182"/>
      <c r="C40" s="182"/>
      <c r="D40" s="183"/>
      <c r="E40" s="183"/>
      <c r="F40" s="183"/>
    </row>
    <row r="41" spans="1:6" s="91" customFormat="1" ht="12.75">
      <c r="A41" s="184" t="s">
        <v>100</v>
      </c>
      <c r="B41" s="185">
        <f>B38+B34+B30+B25+B20+B14</f>
        <v>22009</v>
      </c>
      <c r="C41" s="185">
        <f>C38+C34+C30+C25+C20+C14</f>
        <v>32733</v>
      </c>
      <c r="D41" s="185">
        <f>D38+D34+D30+D25+D20+D14</f>
        <v>33465</v>
      </c>
      <c r="E41" s="185">
        <f>E38+E34+E30+E25+E20+E14</f>
        <v>3977</v>
      </c>
      <c r="F41" s="185">
        <f>F38+F34+F30+F25+F20+F14</f>
        <v>10500</v>
      </c>
    </row>
    <row r="42" spans="1:6" ht="12.75">
      <c r="A42" s="186"/>
      <c r="B42" s="187"/>
      <c r="C42" s="187"/>
      <c r="D42" s="69"/>
      <c r="E42" s="110"/>
      <c r="F42" s="110"/>
    </row>
    <row r="43" spans="1:6" ht="12.75">
      <c r="A43" s="188" t="s">
        <v>101</v>
      </c>
      <c r="B43" s="129"/>
      <c r="C43" s="129"/>
      <c r="D43" s="39"/>
      <c r="E43" s="56"/>
      <c r="F43" s="56"/>
    </row>
    <row r="44" spans="1:6" ht="12.75">
      <c r="A44" s="70" t="s">
        <v>74</v>
      </c>
      <c r="B44" s="129">
        <v>0</v>
      </c>
      <c r="C44" s="129">
        <v>0</v>
      </c>
      <c r="D44" s="39">
        <v>0</v>
      </c>
      <c r="E44" s="56">
        <v>0</v>
      </c>
      <c r="F44" s="56">
        <v>0</v>
      </c>
    </row>
    <row r="45" spans="1:6" ht="12.75">
      <c r="A45" s="113" t="s">
        <v>102</v>
      </c>
      <c r="B45" s="189">
        <f>'12_sz_ melléklet'!F11</f>
        <v>1875</v>
      </c>
      <c r="C45" s="189"/>
      <c r="D45" s="58">
        <v>0</v>
      </c>
      <c r="E45" s="59">
        <v>0</v>
      </c>
      <c r="F45" s="59">
        <v>0</v>
      </c>
    </row>
    <row r="46" spans="1:6" s="91" customFormat="1" ht="12.75">
      <c r="A46" s="90" t="s">
        <v>76</v>
      </c>
      <c r="B46" s="106">
        <f>SUM(B44:B45)</f>
        <v>1875</v>
      </c>
      <c r="C46" s="106">
        <f>SUM(C44:C45)</f>
        <v>0</v>
      </c>
      <c r="D46" s="106">
        <v>0</v>
      </c>
      <c r="E46" s="106">
        <f>SUM(E44:E45)</f>
        <v>0</v>
      </c>
      <c r="F46" s="74">
        <f>SUM(F44:F45)</f>
        <v>0</v>
      </c>
    </row>
    <row r="47" spans="1:6" ht="12.75">
      <c r="A47" s="90"/>
      <c r="B47" s="78"/>
      <c r="C47" s="78"/>
      <c r="D47" s="78"/>
      <c r="E47" s="157"/>
      <c r="F47" s="190"/>
    </row>
    <row r="48" spans="1:6" s="91" customFormat="1" ht="27" customHeight="1">
      <c r="A48" s="132" t="s">
        <v>140</v>
      </c>
      <c r="B48" s="74">
        <f>B41+B46</f>
        <v>23884</v>
      </c>
      <c r="C48" s="74">
        <f>C41+C46</f>
        <v>32733</v>
      </c>
      <c r="D48" s="74">
        <f>D41+D46</f>
        <v>33465</v>
      </c>
      <c r="E48" s="74">
        <f>E41+E46</f>
        <v>3977</v>
      </c>
      <c r="F48" s="74">
        <f>F41+F46</f>
        <v>10500</v>
      </c>
    </row>
    <row r="50" ht="8.25" customHeight="1"/>
    <row r="51" spans="1:6" ht="12.75">
      <c r="A51" s="910">
        <v>2</v>
      </c>
      <c r="B51" s="910"/>
      <c r="C51" s="910"/>
      <c r="D51" s="910"/>
      <c r="E51" s="910"/>
      <c r="F51" s="910"/>
    </row>
    <row r="52" spans="1:5" ht="14.25">
      <c r="A52" s="905" t="s">
        <v>123</v>
      </c>
      <c r="B52" s="905"/>
      <c r="C52" s="905"/>
      <c r="D52" s="905"/>
      <c r="E52" s="905"/>
    </row>
    <row r="53" spans="1:6" ht="15.75">
      <c r="A53" s="904" t="s">
        <v>124</v>
      </c>
      <c r="B53" s="904"/>
      <c r="C53" s="904"/>
      <c r="D53" s="904"/>
      <c r="E53" s="904"/>
      <c r="F53" s="904"/>
    </row>
    <row r="54" spans="1:6" ht="15.75">
      <c r="A54" s="904" t="s">
        <v>125</v>
      </c>
      <c r="B54" s="904"/>
      <c r="C54" s="904"/>
      <c r="D54" s="904"/>
      <c r="E54" s="904"/>
      <c r="F54" s="904"/>
    </row>
    <row r="55" ht="12.75">
      <c r="E55" s="31" t="s">
        <v>81</v>
      </c>
    </row>
    <row r="56" spans="1:6" ht="30" customHeight="1">
      <c r="A56" s="32" t="s">
        <v>126</v>
      </c>
      <c r="B56" s="191" t="s">
        <v>141</v>
      </c>
      <c r="C56" s="175" t="s">
        <v>142</v>
      </c>
      <c r="D56" s="176" t="s">
        <v>143</v>
      </c>
      <c r="E56" s="192" t="s">
        <v>144</v>
      </c>
      <c r="F56" s="192" t="s">
        <v>145</v>
      </c>
    </row>
    <row r="57" spans="1:6" ht="12.75">
      <c r="A57" s="44" t="s">
        <v>43</v>
      </c>
      <c r="B57" s="69"/>
      <c r="C57" s="69"/>
      <c r="D57" s="69"/>
      <c r="E57" s="166"/>
      <c r="F57" s="69"/>
    </row>
    <row r="58" spans="1:6" ht="12.75">
      <c r="A58" s="121" t="s">
        <v>44</v>
      </c>
      <c r="B58" s="48">
        <v>39508</v>
      </c>
      <c r="C58" s="39">
        <v>238055</v>
      </c>
      <c r="D58" s="48"/>
      <c r="E58" s="49">
        <v>1618</v>
      </c>
      <c r="F58" s="39"/>
    </row>
    <row r="59" spans="1:6" ht="12.75">
      <c r="A59" s="19" t="s">
        <v>45</v>
      </c>
      <c r="B59" s="48">
        <v>12279</v>
      </c>
      <c r="C59" s="39">
        <v>73875</v>
      </c>
      <c r="D59" s="48"/>
      <c r="E59" s="49">
        <v>533</v>
      </c>
      <c r="F59" s="39"/>
    </row>
    <row r="60" spans="1:6" ht="12.75">
      <c r="A60" s="19" t="s">
        <v>46</v>
      </c>
      <c r="B60" s="48">
        <v>3068</v>
      </c>
      <c r="C60" s="193">
        <v>210564</v>
      </c>
      <c r="D60" s="48">
        <v>1296</v>
      </c>
      <c r="E60" s="49">
        <v>3800</v>
      </c>
      <c r="F60" s="39">
        <v>4220</v>
      </c>
    </row>
    <row r="61" spans="1:6" ht="12.75">
      <c r="A61" s="19" t="s">
        <v>146</v>
      </c>
      <c r="B61" s="48">
        <v>-269</v>
      </c>
      <c r="C61" s="39">
        <v>-106000</v>
      </c>
      <c r="D61" s="48"/>
      <c r="E61" s="49"/>
      <c r="F61" s="39">
        <v>-4220</v>
      </c>
    </row>
    <row r="62" spans="1:6" ht="12.75">
      <c r="A62" s="19" t="s">
        <v>48</v>
      </c>
      <c r="B62" s="48">
        <v>0</v>
      </c>
      <c r="C62" s="39">
        <v>0</v>
      </c>
      <c r="D62" s="48">
        <v>0</v>
      </c>
      <c r="E62" s="49">
        <v>0</v>
      </c>
      <c r="F62" s="39">
        <v>0</v>
      </c>
    </row>
    <row r="63" spans="1:6" ht="12.75">
      <c r="A63" s="8" t="s">
        <v>49</v>
      </c>
      <c r="B63" s="48">
        <v>0</v>
      </c>
      <c r="C63" s="39">
        <v>0</v>
      </c>
      <c r="D63" s="48">
        <v>0</v>
      </c>
      <c r="E63" s="49">
        <v>0</v>
      </c>
      <c r="F63" s="39">
        <v>0</v>
      </c>
    </row>
    <row r="64" spans="1:6" ht="12.75">
      <c r="A64" s="122" t="s">
        <v>147</v>
      </c>
      <c r="B64" s="39">
        <f>B63</f>
        <v>0</v>
      </c>
      <c r="C64" s="39">
        <f>C63</f>
        <v>0</v>
      </c>
      <c r="D64" s="39">
        <f>D63</f>
        <v>0</v>
      </c>
      <c r="E64" s="39">
        <f>E63</f>
        <v>0</v>
      </c>
      <c r="F64" s="39">
        <f>F63</f>
        <v>0</v>
      </c>
    </row>
    <row r="65" spans="1:6" s="91" customFormat="1" ht="12.75">
      <c r="A65" s="43" t="s">
        <v>134</v>
      </c>
      <c r="B65" s="16">
        <f>SUM(B58:B63)</f>
        <v>54586</v>
      </c>
      <c r="C65" s="16">
        <f>SUM(C58:C63)</f>
        <v>416494</v>
      </c>
      <c r="D65" s="16">
        <f>SUM(D58:D63)</f>
        <v>1296</v>
      </c>
      <c r="E65" s="16">
        <f>SUM(E58:E63)</f>
        <v>5951</v>
      </c>
      <c r="F65" s="16">
        <f>SUM(F58:F63)</f>
        <v>0</v>
      </c>
    </row>
    <row r="66" spans="1:6" ht="12.75">
      <c r="A66" s="93"/>
      <c r="B66" s="69"/>
      <c r="C66" s="110"/>
      <c r="D66" s="69"/>
      <c r="E66" s="166"/>
      <c r="F66" s="48"/>
    </row>
    <row r="67" spans="1:6" ht="12.75">
      <c r="A67" s="47" t="s">
        <v>52</v>
      </c>
      <c r="B67" s="48"/>
      <c r="C67" s="94"/>
      <c r="D67" s="48"/>
      <c r="E67" s="131"/>
      <c r="F67" s="39"/>
    </row>
    <row r="68" spans="1:6" ht="12.75">
      <c r="A68" s="19" t="s">
        <v>53</v>
      </c>
      <c r="B68" s="48">
        <v>0</v>
      </c>
      <c r="C68" s="56">
        <f>'4_sz_ melléklet'!B44</f>
        <v>0</v>
      </c>
      <c r="D68" s="48">
        <v>0</v>
      </c>
      <c r="E68" s="131">
        <v>0</v>
      </c>
      <c r="F68" s="39">
        <v>0</v>
      </c>
    </row>
    <row r="69" spans="1:6" ht="12.75">
      <c r="A69" s="19" t="s">
        <v>54</v>
      </c>
      <c r="B69" s="48">
        <v>0</v>
      </c>
      <c r="C69" s="56">
        <f>'3_sz_ melléklet'!B26</f>
        <v>35455</v>
      </c>
      <c r="D69" s="48">
        <v>0</v>
      </c>
      <c r="E69" s="131">
        <v>0</v>
      </c>
      <c r="F69" s="39">
        <v>0</v>
      </c>
    </row>
    <row r="70" spans="1:6" ht="12.75">
      <c r="A70" s="19" t="s">
        <v>55</v>
      </c>
      <c r="B70" s="48">
        <v>0</v>
      </c>
      <c r="C70" s="56">
        <f>1_g_h_sz_melléklet!B41</f>
        <v>1500</v>
      </c>
      <c r="D70" s="48">
        <v>0</v>
      </c>
      <c r="E70" s="131">
        <v>0</v>
      </c>
      <c r="F70" s="39">
        <v>0</v>
      </c>
    </row>
    <row r="71" spans="1:6" ht="12.75">
      <c r="A71" s="179" t="s">
        <v>112</v>
      </c>
      <c r="B71" s="63">
        <f>-B61</f>
        <v>269</v>
      </c>
      <c r="C71" s="63">
        <f>-C61</f>
        <v>106000</v>
      </c>
      <c r="D71" s="63">
        <f>-D61</f>
        <v>0</v>
      </c>
      <c r="E71" s="63">
        <f>-E61</f>
        <v>0</v>
      </c>
      <c r="F71" s="63">
        <f>-F61</f>
        <v>4220</v>
      </c>
    </row>
    <row r="72" spans="1:6" ht="12.75">
      <c r="A72" s="194"/>
      <c r="B72" s="64"/>
      <c r="C72" s="53"/>
      <c r="D72" s="64"/>
      <c r="E72" s="51"/>
      <c r="F72" s="64"/>
    </row>
    <row r="73" spans="1:6" s="91" customFormat="1" ht="12.75">
      <c r="A73" s="43" t="s">
        <v>92</v>
      </c>
      <c r="B73" s="16">
        <f>SUM(B68:B71)</f>
        <v>269</v>
      </c>
      <c r="C73" s="16">
        <f>SUM(C68:C71)</f>
        <v>142955</v>
      </c>
      <c r="D73" s="16">
        <f>SUM(D68:D71)</f>
        <v>0</v>
      </c>
      <c r="E73" s="16">
        <f>SUM(E68:E71)</f>
        <v>0</v>
      </c>
      <c r="F73" s="16">
        <f>SUM(F68:F71)</f>
        <v>4220</v>
      </c>
    </row>
    <row r="74" spans="1:6" ht="8.25" customHeight="1">
      <c r="A74" s="96"/>
      <c r="B74" s="64"/>
      <c r="C74" s="51"/>
      <c r="D74" s="64"/>
      <c r="E74" s="53"/>
      <c r="F74" s="64"/>
    </row>
    <row r="75" spans="1:6" ht="12.75">
      <c r="A75" s="96" t="s">
        <v>58</v>
      </c>
      <c r="B75" s="64"/>
      <c r="C75" s="51"/>
      <c r="D75" s="64"/>
      <c r="E75" s="53"/>
      <c r="F75" s="64"/>
    </row>
    <row r="76" spans="1:6" ht="12.75">
      <c r="A76" s="180" t="s">
        <v>59</v>
      </c>
      <c r="B76" s="39">
        <v>0</v>
      </c>
      <c r="C76" s="55">
        <f>1_e_f_sz_melléklet!C9+1_e_f_sz_melléklet!D12</f>
        <v>32632</v>
      </c>
      <c r="D76" s="39"/>
      <c r="E76" s="56">
        <v>0</v>
      </c>
      <c r="F76" s="39">
        <f>1_e_f_sz_melléklet!C10</f>
        <v>571</v>
      </c>
    </row>
    <row r="77" spans="1:6" ht="12.75">
      <c r="A77" s="125" t="s">
        <v>60</v>
      </c>
      <c r="B77" s="64">
        <v>0</v>
      </c>
      <c r="C77" s="51">
        <v>0</v>
      </c>
      <c r="D77" s="64">
        <v>0</v>
      </c>
      <c r="E77" s="53">
        <v>0</v>
      </c>
      <c r="F77" s="58">
        <v>0</v>
      </c>
    </row>
    <row r="78" spans="1:6" s="91" customFormat="1" ht="12.75">
      <c r="A78" s="43" t="s">
        <v>135</v>
      </c>
      <c r="B78" s="16">
        <f>B76+B77</f>
        <v>0</v>
      </c>
      <c r="C78" s="16">
        <f>C76+C77</f>
        <v>32632</v>
      </c>
      <c r="D78" s="16">
        <f>D76+D77</f>
        <v>0</v>
      </c>
      <c r="E78" s="16">
        <f>E76+E77</f>
        <v>0</v>
      </c>
      <c r="F78" s="16">
        <f>F76+F77</f>
        <v>571</v>
      </c>
    </row>
    <row r="79" spans="1:6" ht="12.75">
      <c r="A79" s="96"/>
      <c r="B79" s="64"/>
      <c r="C79" s="51"/>
      <c r="D79" s="64"/>
      <c r="E79" s="64"/>
      <c r="F79" s="53"/>
    </row>
    <row r="80" spans="1:6" ht="12.75">
      <c r="A80" s="62" t="s">
        <v>95</v>
      </c>
      <c r="B80" s="48"/>
      <c r="C80" s="131"/>
      <c r="D80" s="48"/>
      <c r="E80" s="48"/>
      <c r="F80" s="94"/>
    </row>
    <row r="81" spans="1:6" ht="12.75">
      <c r="A81" s="54" t="s">
        <v>59</v>
      </c>
      <c r="B81" s="48">
        <v>0</v>
      </c>
      <c r="C81" s="131">
        <v>0</v>
      </c>
      <c r="D81" s="48">
        <f>1_e_f_sz_melléklet!C38</f>
        <v>416</v>
      </c>
      <c r="E81" s="48">
        <v>0</v>
      </c>
      <c r="F81" s="56">
        <f>1_e_f_sz_melléklet!C26+1_e_f_sz_melléklet!C27+1_e_f_sz_melléklet!C28+1_e_f_sz_melléklet!C29+1_e_f_sz_melléklet!C30+1_e_f_sz_melléklet!C31+1_e_f_sz_melléklet!C32+1_e_f_sz_melléklet!C33+1_e_f_sz_melléklet!C35+1_e_f_sz_melléklet!C36+1_e_f_sz_melléklet!C37</f>
        <v>162775</v>
      </c>
    </row>
    <row r="82" spans="1:6" ht="12.75">
      <c r="A82" s="126" t="s">
        <v>60</v>
      </c>
      <c r="B82" s="64">
        <v>0</v>
      </c>
      <c r="C82" s="51">
        <v>0</v>
      </c>
      <c r="D82" s="64">
        <v>0</v>
      </c>
      <c r="E82" s="64">
        <v>0</v>
      </c>
      <c r="F82" s="59">
        <f>1_e_f_sz_melléklet!C45+1_e_f_sz_melléklet!C46+1_e_f_sz_melléklet!C47</f>
        <v>21000</v>
      </c>
    </row>
    <row r="83" spans="1:6" s="91" customFormat="1" ht="12.75">
      <c r="A83" s="43" t="s">
        <v>96</v>
      </c>
      <c r="B83" s="16">
        <f>B81+B82</f>
        <v>0</v>
      </c>
      <c r="C83" s="16">
        <f>C81+C82</f>
        <v>0</v>
      </c>
      <c r="D83" s="16">
        <f>D81+D82</f>
        <v>416</v>
      </c>
      <c r="E83" s="16">
        <f>E81+E82</f>
        <v>0</v>
      </c>
      <c r="F83" s="16">
        <f>F81+F82</f>
        <v>183775</v>
      </c>
    </row>
    <row r="84" spans="1:6" ht="18" customHeight="1">
      <c r="A84" s="44" t="s">
        <v>64</v>
      </c>
      <c r="B84" s="48"/>
      <c r="C84" s="48"/>
      <c r="D84" s="48"/>
      <c r="E84" s="131"/>
      <c r="F84" s="48"/>
    </row>
    <row r="85" spans="1:6" ht="12.75">
      <c r="A85" s="57" t="s">
        <v>97</v>
      </c>
      <c r="B85" s="64">
        <v>0</v>
      </c>
      <c r="C85" s="64">
        <v>0</v>
      </c>
      <c r="D85" s="64">
        <v>0</v>
      </c>
      <c r="E85" s="51">
        <v>0</v>
      </c>
      <c r="F85" s="39">
        <f>1_g_h_sz_melléklet!B10</f>
        <v>1000</v>
      </c>
    </row>
    <row r="86" spans="1:6" ht="12.75">
      <c r="A86" s="8" t="s">
        <v>136</v>
      </c>
      <c r="B86" s="39">
        <v>0</v>
      </c>
      <c r="C86" s="39">
        <v>0</v>
      </c>
      <c r="D86" s="39">
        <v>0</v>
      </c>
      <c r="E86" s="55">
        <v>0</v>
      </c>
      <c r="F86" s="58">
        <f>1_g_h_sz_melléklet!B15</f>
        <v>5000</v>
      </c>
    </row>
    <row r="87" spans="1:6" s="91" customFormat="1" ht="12.75">
      <c r="A87" s="43" t="s">
        <v>99</v>
      </c>
      <c r="B87" s="16">
        <f>B85+B86</f>
        <v>0</v>
      </c>
      <c r="C87" s="16">
        <f>C85+C86</f>
        <v>0</v>
      </c>
      <c r="D87" s="16">
        <f>D85+D86</f>
        <v>0</v>
      </c>
      <c r="E87" s="16">
        <f>E85+E86</f>
        <v>0</v>
      </c>
      <c r="F87" s="16">
        <f>F85+F86</f>
        <v>6000</v>
      </c>
    </row>
    <row r="88" spans="1:6" ht="17.25" customHeight="1">
      <c r="A88" s="47" t="s">
        <v>68</v>
      </c>
      <c r="B88" s="109"/>
      <c r="C88" s="69"/>
      <c r="D88" s="166"/>
      <c r="E88" s="109"/>
      <c r="F88" s="48"/>
    </row>
    <row r="89" spans="1:6" ht="12.75">
      <c r="A89" s="38" t="s">
        <v>137</v>
      </c>
      <c r="B89" s="131"/>
      <c r="C89" s="48"/>
      <c r="D89" s="49"/>
      <c r="E89" s="131"/>
      <c r="F89" s="39">
        <v>0</v>
      </c>
    </row>
    <row r="90" spans="1:6" ht="12.75">
      <c r="A90" s="38" t="s">
        <v>138</v>
      </c>
      <c r="B90" s="55"/>
      <c r="C90" s="39"/>
      <c r="D90" s="40"/>
      <c r="E90" s="55"/>
      <c r="F90" s="39">
        <v>0</v>
      </c>
    </row>
    <row r="91" spans="1:6" s="91" customFormat="1" ht="12.75">
      <c r="A91" s="90" t="s">
        <v>71</v>
      </c>
      <c r="B91" s="16">
        <f>B89+B90</f>
        <v>0</v>
      </c>
      <c r="C91" s="16">
        <f>C89+C90</f>
        <v>0</v>
      </c>
      <c r="D91" s="16">
        <f>D89+D90</f>
        <v>0</v>
      </c>
      <c r="E91" s="16">
        <f>E89+E90</f>
        <v>0</v>
      </c>
      <c r="F91" s="16">
        <f>F89+F90</f>
        <v>0</v>
      </c>
    </row>
    <row r="92" spans="1:6" ht="12.75">
      <c r="A92" s="96"/>
      <c r="B92" s="52"/>
      <c r="C92" s="52"/>
      <c r="D92" s="52"/>
      <c r="E92" s="173"/>
      <c r="F92" s="64"/>
    </row>
    <row r="93" spans="1:6" ht="12.75">
      <c r="A93" s="181" t="s">
        <v>139</v>
      </c>
      <c r="B93" s="182"/>
      <c r="C93" s="182"/>
      <c r="D93" s="52"/>
      <c r="E93" s="173"/>
      <c r="F93" s="52"/>
    </row>
    <row r="94" spans="1:6" s="91" customFormat="1" ht="12.75">
      <c r="A94" s="184" t="s">
        <v>100</v>
      </c>
      <c r="B94" s="185">
        <f>B91+B87+B83+B78+B73+B65</f>
        <v>54855</v>
      </c>
      <c r="C94" s="185">
        <f>C91+C87+C83+C78+C73+C65</f>
        <v>592081</v>
      </c>
      <c r="D94" s="185">
        <f>D91+D87+D83+D78+D73+D65</f>
        <v>1712</v>
      </c>
      <c r="E94" s="185">
        <f>E91+E87+E83+E78+E73+E65</f>
        <v>5951</v>
      </c>
      <c r="F94" s="185">
        <f>F91+F87+F83+F78+F73+F65</f>
        <v>194566</v>
      </c>
    </row>
    <row r="95" spans="1:6" ht="12.75">
      <c r="A95" s="195"/>
      <c r="B95" s="187"/>
      <c r="C95" s="196"/>
      <c r="D95" s="166"/>
      <c r="E95" s="69"/>
      <c r="F95" s="110"/>
    </row>
    <row r="96" spans="1:6" ht="12.75">
      <c r="A96" s="188" t="s">
        <v>101</v>
      </c>
      <c r="B96" s="129"/>
      <c r="C96" s="130"/>
      <c r="D96" s="40"/>
      <c r="E96" s="39"/>
      <c r="F96" s="56"/>
    </row>
    <row r="97" spans="1:6" ht="12.75">
      <c r="A97" s="70" t="s">
        <v>74</v>
      </c>
      <c r="B97" s="129">
        <v>0</v>
      </c>
      <c r="C97" s="130"/>
      <c r="D97" s="40">
        <v>0</v>
      </c>
      <c r="E97" s="39">
        <v>0</v>
      </c>
      <c r="F97" s="56">
        <v>0</v>
      </c>
    </row>
    <row r="98" spans="1:6" ht="12.75">
      <c r="A98" s="113" t="s">
        <v>102</v>
      </c>
      <c r="B98" s="189">
        <f>'12_sz_ melléklet'!G11</f>
        <v>217</v>
      </c>
      <c r="C98" s="197">
        <v>0</v>
      </c>
      <c r="D98" s="42">
        <v>0</v>
      </c>
      <c r="E98" s="58">
        <v>0</v>
      </c>
      <c r="F98" s="59">
        <f>'12_sz_ melléklet'!E11</f>
        <v>2940</v>
      </c>
    </row>
    <row r="99" spans="1:6" s="91" customFormat="1" ht="12.75">
      <c r="A99" s="90" t="s">
        <v>113</v>
      </c>
      <c r="B99" s="60">
        <f>B97+B98</f>
        <v>217</v>
      </c>
      <c r="C99" s="60">
        <f>C97+C98</f>
        <v>0</v>
      </c>
      <c r="D99" s="60">
        <f>D97+D98</f>
        <v>0</v>
      </c>
      <c r="E99" s="60">
        <f>E97+E98</f>
        <v>0</v>
      </c>
      <c r="F99" s="16">
        <f>F97+F98</f>
        <v>2940</v>
      </c>
    </row>
    <row r="100" spans="1:6" ht="12.75">
      <c r="A100" s="194"/>
      <c r="B100" s="64"/>
      <c r="C100" s="39"/>
      <c r="D100" s="67"/>
      <c r="E100" s="104"/>
      <c r="F100" s="64"/>
    </row>
    <row r="101" spans="1:6" s="91" customFormat="1" ht="12.75">
      <c r="A101" s="132" t="s">
        <v>140</v>
      </c>
      <c r="B101" s="74">
        <f>B99+B94</f>
        <v>55072</v>
      </c>
      <c r="C101" s="74">
        <f>C99+C94</f>
        <v>592081</v>
      </c>
      <c r="D101" s="74">
        <f>D99+D94</f>
        <v>1712</v>
      </c>
      <c r="E101" s="74">
        <f>E99+E94</f>
        <v>5951</v>
      </c>
      <c r="F101" s="74">
        <f>F99+F94</f>
        <v>197506</v>
      </c>
    </row>
    <row r="102" spans="1:6" s="91" customFormat="1" ht="12.75">
      <c r="A102" s="198"/>
      <c r="B102" s="199"/>
      <c r="C102" s="199"/>
      <c r="D102" s="199"/>
      <c r="E102" s="199"/>
      <c r="F102" s="199"/>
    </row>
    <row r="103" spans="1:6" ht="12.75">
      <c r="A103" s="910">
        <v>3</v>
      </c>
      <c r="B103" s="910"/>
      <c r="C103" s="910"/>
      <c r="D103" s="910"/>
      <c r="E103" s="910"/>
      <c r="F103" s="910"/>
    </row>
    <row r="105" spans="1:5" ht="14.25">
      <c r="A105" s="905" t="s">
        <v>148</v>
      </c>
      <c r="B105" s="905"/>
      <c r="C105" s="905"/>
      <c r="D105" s="905"/>
      <c r="E105" s="905"/>
    </row>
    <row r="106" spans="1:6" ht="15.75">
      <c r="A106" s="904" t="s">
        <v>124</v>
      </c>
      <c r="B106" s="904"/>
      <c r="C106" s="904"/>
      <c r="D106" s="904"/>
      <c r="E106" s="904"/>
      <c r="F106" s="904"/>
    </row>
    <row r="107" spans="1:6" ht="15.75">
      <c r="A107" s="904" t="s">
        <v>125</v>
      </c>
      <c r="B107" s="904"/>
      <c r="C107" s="904"/>
      <c r="D107" s="904"/>
      <c r="E107" s="904"/>
      <c r="F107" s="904"/>
    </row>
    <row r="108" ht="12.75">
      <c r="E108" s="31" t="s">
        <v>81</v>
      </c>
    </row>
    <row r="109" spans="1:6" ht="30" customHeight="1">
      <c r="A109" s="32" t="s">
        <v>126</v>
      </c>
      <c r="B109" s="174" t="s">
        <v>149</v>
      </c>
      <c r="C109" s="200" t="s">
        <v>150</v>
      </c>
      <c r="D109" s="176" t="s">
        <v>151</v>
      </c>
      <c r="E109" s="176" t="s">
        <v>152</v>
      </c>
      <c r="F109" s="176" t="s">
        <v>153</v>
      </c>
    </row>
    <row r="110" spans="1:6" ht="12.75">
      <c r="A110" s="44" t="s">
        <v>43</v>
      </c>
      <c r="B110" s="69"/>
      <c r="C110" s="69"/>
      <c r="D110" s="69"/>
      <c r="E110" s="166"/>
      <c r="F110" s="69"/>
    </row>
    <row r="111" spans="1:6" ht="12.75">
      <c r="A111" s="121" t="s">
        <v>44</v>
      </c>
      <c r="B111" s="48">
        <v>101274</v>
      </c>
      <c r="C111" s="39"/>
      <c r="D111" s="48"/>
      <c r="E111" s="49">
        <v>7655</v>
      </c>
      <c r="F111" s="39"/>
    </row>
    <row r="112" spans="1:6" ht="12.75">
      <c r="A112" s="19" t="s">
        <v>45</v>
      </c>
      <c r="B112" s="48">
        <v>36098</v>
      </c>
      <c r="C112" s="39"/>
      <c r="D112" s="48"/>
      <c r="E112" s="49">
        <v>1052</v>
      </c>
      <c r="F112" s="39"/>
    </row>
    <row r="113" spans="1:6" ht="12.75">
      <c r="A113" s="19" t="s">
        <v>46</v>
      </c>
      <c r="B113" s="48">
        <v>77970</v>
      </c>
      <c r="C113" s="39">
        <v>1320</v>
      </c>
      <c r="D113" s="48">
        <v>41400</v>
      </c>
      <c r="E113" s="49">
        <v>20546</v>
      </c>
      <c r="F113" s="39">
        <v>936</v>
      </c>
    </row>
    <row r="114" spans="1:6" ht="12.75">
      <c r="A114" s="19" t="s">
        <v>154</v>
      </c>
      <c r="B114" s="48"/>
      <c r="C114" s="39"/>
      <c r="D114" s="48"/>
      <c r="E114" s="49"/>
      <c r="F114" s="39"/>
    </row>
    <row r="115" spans="1:6" ht="12.75">
      <c r="A115" s="19" t="s">
        <v>48</v>
      </c>
      <c r="B115" s="48">
        <v>0</v>
      </c>
      <c r="C115" s="39">
        <v>0</v>
      </c>
      <c r="D115" s="48">
        <v>0</v>
      </c>
      <c r="E115" s="49">
        <v>0</v>
      </c>
      <c r="F115" s="39">
        <v>0</v>
      </c>
    </row>
    <row r="116" spans="1:6" ht="12.75">
      <c r="A116" s="8" t="s">
        <v>49</v>
      </c>
      <c r="B116" s="48">
        <v>0</v>
      </c>
      <c r="C116" s="39">
        <v>0</v>
      </c>
      <c r="D116" s="48">
        <v>0</v>
      </c>
      <c r="E116" s="49">
        <v>0</v>
      </c>
      <c r="F116" s="39">
        <v>0</v>
      </c>
    </row>
    <row r="117" spans="1:6" ht="12.75">
      <c r="A117" s="122" t="s">
        <v>155</v>
      </c>
      <c r="B117" s="39">
        <f>B116</f>
        <v>0</v>
      </c>
      <c r="C117" s="39">
        <f>C116</f>
        <v>0</v>
      </c>
      <c r="D117" s="39">
        <f>D116</f>
        <v>0</v>
      </c>
      <c r="E117" s="39">
        <f>E116</f>
        <v>0</v>
      </c>
      <c r="F117" s="39">
        <f>F116</f>
        <v>0</v>
      </c>
    </row>
    <row r="118" spans="1:6" s="91" customFormat="1" ht="12.75">
      <c r="A118" s="43" t="s">
        <v>134</v>
      </c>
      <c r="B118" s="16">
        <f>SUM(B111:B116)</f>
        <v>215342</v>
      </c>
      <c r="C118" s="16">
        <f>SUM(C111:C116)</f>
        <v>1320</v>
      </c>
      <c r="D118" s="16">
        <f>SUM(D111:D116)</f>
        <v>41400</v>
      </c>
      <c r="E118" s="16">
        <f>SUM(E111:E116)</f>
        <v>29253</v>
      </c>
      <c r="F118" s="16">
        <f>SUM(F111:F116)</f>
        <v>936</v>
      </c>
    </row>
    <row r="119" spans="1:6" ht="12.75">
      <c r="A119" s="93"/>
      <c r="B119" s="52"/>
      <c r="C119" s="110"/>
      <c r="D119" s="69"/>
      <c r="E119" s="166"/>
      <c r="F119" s="48"/>
    </row>
    <row r="120" spans="1:6" ht="12.75">
      <c r="A120" s="47" t="s">
        <v>52</v>
      </c>
      <c r="B120" s="39"/>
      <c r="C120" s="94"/>
      <c r="D120" s="48"/>
      <c r="E120" s="131"/>
      <c r="F120" s="39"/>
    </row>
    <row r="121" spans="1:6" ht="12.75">
      <c r="A121" s="19" t="s">
        <v>53</v>
      </c>
      <c r="B121" s="48">
        <f>'4_sz_ melléklet'!B34</f>
        <v>93052</v>
      </c>
      <c r="C121" s="56">
        <v>0</v>
      </c>
      <c r="D121" s="48">
        <f>'4_sz_ melléklet'!B37</f>
        <v>3500</v>
      </c>
      <c r="E121" s="131">
        <v>0</v>
      </c>
      <c r="F121" s="39">
        <v>0</v>
      </c>
    </row>
    <row r="122" spans="1:6" ht="12.75">
      <c r="A122" s="19" t="s">
        <v>54</v>
      </c>
      <c r="B122" s="48">
        <v>0</v>
      </c>
      <c r="C122" s="56">
        <f>'3_sz_ melléklet'!B29</f>
        <v>15000</v>
      </c>
      <c r="D122" s="48">
        <v>0</v>
      </c>
      <c r="E122" s="131">
        <v>0</v>
      </c>
      <c r="F122" s="39">
        <v>0</v>
      </c>
    </row>
    <row r="123" spans="1:6" ht="12.75">
      <c r="A123" s="19" t="s">
        <v>55</v>
      </c>
      <c r="B123" s="48">
        <v>0</v>
      </c>
      <c r="C123" s="56">
        <v>0</v>
      </c>
      <c r="D123" s="48">
        <v>0</v>
      </c>
      <c r="E123" s="131">
        <v>0</v>
      </c>
      <c r="F123" s="39">
        <v>0</v>
      </c>
    </row>
    <row r="124" spans="1:6" ht="12.75">
      <c r="A124" s="179" t="s">
        <v>112</v>
      </c>
      <c r="B124" s="48">
        <f>-B114</f>
        <v>0</v>
      </c>
      <c r="C124" s="48">
        <f>-C114</f>
        <v>0</v>
      </c>
      <c r="D124" s="48">
        <f>-D114</f>
        <v>0</v>
      </c>
      <c r="E124" s="48">
        <f>-E114</f>
        <v>0</v>
      </c>
      <c r="F124" s="48">
        <f>-F114</f>
        <v>0</v>
      </c>
    </row>
    <row r="125" spans="1:6" ht="12.75">
      <c r="A125" s="194"/>
      <c r="B125" s="64"/>
      <c r="C125" s="53"/>
      <c r="D125" s="64"/>
      <c r="E125" s="51"/>
      <c r="F125" s="58"/>
    </row>
    <row r="126" spans="1:6" s="91" customFormat="1" ht="12.75">
      <c r="A126" s="43" t="s">
        <v>92</v>
      </c>
      <c r="B126" s="16">
        <f>B121+B122+B123+B124+B125</f>
        <v>93052</v>
      </c>
      <c r="C126" s="201">
        <f>C121+C122+C123+C124+C125</f>
        <v>15000</v>
      </c>
      <c r="D126" s="201">
        <f>D121+D122+D123+D124+D125</f>
        <v>3500</v>
      </c>
      <c r="E126" s="201">
        <f>E121+E122+E123+E124+E125</f>
        <v>0</v>
      </c>
      <c r="F126" s="201">
        <f>F121+F122+F123+F124+F125</f>
        <v>0</v>
      </c>
    </row>
    <row r="127" spans="1:6" ht="12.75">
      <c r="A127" s="96"/>
      <c r="B127" s="51"/>
      <c r="C127" s="52"/>
      <c r="D127" s="173"/>
      <c r="E127" s="52"/>
      <c r="F127" s="92"/>
    </row>
    <row r="128" spans="1:6" ht="12.75">
      <c r="A128" s="96" t="s">
        <v>58</v>
      </c>
      <c r="B128" s="51"/>
      <c r="C128" s="64"/>
      <c r="D128" s="51"/>
      <c r="E128" s="64"/>
      <c r="F128" s="53"/>
    </row>
    <row r="129" spans="1:6" ht="12.75">
      <c r="A129" s="180" t="s">
        <v>59</v>
      </c>
      <c r="B129" s="55">
        <v>0</v>
      </c>
      <c r="C129" s="39">
        <v>0</v>
      </c>
      <c r="D129" s="55">
        <v>0</v>
      </c>
      <c r="E129" s="39">
        <v>0</v>
      </c>
      <c r="F129" s="56">
        <v>0</v>
      </c>
    </row>
    <row r="130" spans="1:6" ht="12.75">
      <c r="A130" s="125" t="s">
        <v>60</v>
      </c>
      <c r="B130" s="51">
        <v>0</v>
      </c>
      <c r="C130" s="78">
        <v>0</v>
      </c>
      <c r="D130" s="157">
        <v>0</v>
      </c>
      <c r="E130" s="78">
        <v>0</v>
      </c>
      <c r="F130" s="202">
        <v>0</v>
      </c>
    </row>
    <row r="131" spans="1:6" ht="12.75">
      <c r="A131" s="43" t="s">
        <v>135</v>
      </c>
      <c r="B131" s="16">
        <f>B129+B130</f>
        <v>0</v>
      </c>
      <c r="C131" s="16">
        <f>C129+C130</f>
        <v>0</v>
      </c>
      <c r="D131" s="16">
        <f>D129+D130</f>
        <v>0</v>
      </c>
      <c r="E131" s="16">
        <f>E129+E130</f>
        <v>0</v>
      </c>
      <c r="F131" s="16">
        <f>F129+F130</f>
        <v>0</v>
      </c>
    </row>
    <row r="132" spans="1:6" ht="9" customHeight="1">
      <c r="A132" s="96"/>
      <c r="B132" s="64"/>
      <c r="C132" s="51"/>
      <c r="D132" s="64"/>
      <c r="E132" s="64"/>
      <c r="F132" s="53"/>
    </row>
    <row r="133" spans="1:6" ht="12.75">
      <c r="A133" s="62" t="s">
        <v>95</v>
      </c>
      <c r="B133" s="48"/>
      <c r="C133" s="131"/>
      <c r="D133" s="48"/>
      <c r="E133" s="48"/>
      <c r="F133" s="94"/>
    </row>
    <row r="134" spans="1:6" ht="12.75">
      <c r="A134" s="54" t="s">
        <v>59</v>
      </c>
      <c r="B134" s="48">
        <v>0</v>
      </c>
      <c r="C134" s="131">
        <v>0</v>
      </c>
      <c r="D134" s="48">
        <v>0</v>
      </c>
      <c r="E134" s="48">
        <v>0</v>
      </c>
      <c r="F134" s="56">
        <v>0</v>
      </c>
    </row>
    <row r="135" spans="1:6" ht="12.75">
      <c r="A135" s="126" t="s">
        <v>60</v>
      </c>
      <c r="B135" s="64">
        <v>0</v>
      </c>
      <c r="C135" s="51">
        <v>0</v>
      </c>
      <c r="D135" s="64">
        <v>0</v>
      </c>
      <c r="E135" s="64">
        <v>0</v>
      </c>
      <c r="F135" s="59">
        <v>0</v>
      </c>
    </row>
    <row r="136" spans="1:6" s="91" customFormat="1" ht="12.75">
      <c r="A136" s="43" t="s">
        <v>96</v>
      </c>
      <c r="B136" s="16">
        <f>B134+B135</f>
        <v>0</v>
      </c>
      <c r="C136" s="16">
        <f>C134+C135</f>
        <v>0</v>
      </c>
      <c r="D136" s="16">
        <f>D134+D135</f>
        <v>0</v>
      </c>
      <c r="E136" s="16">
        <f>E134+E135</f>
        <v>0</v>
      </c>
      <c r="F136" s="16">
        <f>F134+F135</f>
        <v>0</v>
      </c>
    </row>
    <row r="137" spans="1:6" ht="18.75" customHeight="1">
      <c r="A137" s="44" t="s">
        <v>64</v>
      </c>
      <c r="B137" s="48"/>
      <c r="C137" s="48"/>
      <c r="D137" s="48"/>
      <c r="E137" s="131"/>
      <c r="F137" s="48"/>
    </row>
    <row r="138" spans="1:6" ht="12.75">
      <c r="A138" s="57" t="s">
        <v>97</v>
      </c>
      <c r="B138" s="64">
        <v>0</v>
      </c>
      <c r="C138" s="64">
        <v>0</v>
      </c>
      <c r="D138" s="64">
        <v>0</v>
      </c>
      <c r="E138" s="51">
        <v>0</v>
      </c>
      <c r="F138" s="39">
        <v>0</v>
      </c>
    </row>
    <row r="139" spans="1:6" ht="12.75">
      <c r="A139" s="8" t="s">
        <v>136</v>
      </c>
      <c r="B139" s="39">
        <v>0</v>
      </c>
      <c r="C139" s="39">
        <v>0</v>
      </c>
      <c r="D139" s="39">
        <v>0</v>
      </c>
      <c r="E139" s="55">
        <v>0</v>
      </c>
      <c r="F139" s="58">
        <v>0</v>
      </c>
    </row>
    <row r="140" spans="1:6" s="91" customFormat="1" ht="12.75">
      <c r="A140" s="43" t="s">
        <v>99</v>
      </c>
      <c r="B140" s="16">
        <f>B138+B139</f>
        <v>0</v>
      </c>
      <c r="C140" s="16">
        <f>C138+C139</f>
        <v>0</v>
      </c>
      <c r="D140" s="16">
        <f>D138+D139</f>
        <v>0</v>
      </c>
      <c r="E140" s="16">
        <f>E138+E139</f>
        <v>0</v>
      </c>
      <c r="F140" s="16">
        <f>F138+F139</f>
        <v>0</v>
      </c>
    </row>
    <row r="141" spans="1:6" ht="19.5" customHeight="1">
      <c r="A141" s="47" t="s">
        <v>68</v>
      </c>
      <c r="B141" s="109"/>
      <c r="C141" s="69"/>
      <c r="D141" s="166"/>
      <c r="E141" s="109"/>
      <c r="F141" s="48"/>
    </row>
    <row r="142" spans="1:6" ht="12.75">
      <c r="A142" s="38" t="s">
        <v>137</v>
      </c>
      <c r="B142" s="131">
        <v>0</v>
      </c>
      <c r="C142" s="48">
        <v>0</v>
      </c>
      <c r="D142" s="49">
        <v>0</v>
      </c>
      <c r="E142" s="131">
        <v>0</v>
      </c>
      <c r="F142" s="39">
        <v>0</v>
      </c>
    </row>
    <row r="143" spans="1:6" ht="12.75">
      <c r="A143" s="38" t="s">
        <v>138</v>
      </c>
      <c r="B143" s="55">
        <v>0</v>
      </c>
      <c r="C143" s="39">
        <v>0</v>
      </c>
      <c r="D143" s="40">
        <v>0</v>
      </c>
      <c r="E143" s="55">
        <v>0</v>
      </c>
      <c r="F143" s="39">
        <v>0</v>
      </c>
    </row>
    <row r="144" spans="1:6" ht="12.75">
      <c r="A144" s="90" t="s">
        <v>71</v>
      </c>
      <c r="B144" s="67"/>
      <c r="C144" s="67"/>
      <c r="D144" s="67"/>
      <c r="E144" s="104"/>
      <c r="F144" s="67"/>
    </row>
    <row r="145" spans="1:6" ht="12.75">
      <c r="A145" s="96"/>
      <c r="B145" s="52"/>
      <c r="C145" s="52"/>
      <c r="D145" s="52"/>
      <c r="E145" s="173"/>
      <c r="F145" s="64"/>
    </row>
    <row r="146" spans="1:6" ht="12.75">
      <c r="A146" s="181" t="s">
        <v>139</v>
      </c>
      <c r="B146" s="182"/>
      <c r="C146" s="182"/>
      <c r="D146" s="52"/>
      <c r="E146" s="173"/>
      <c r="F146" s="52"/>
    </row>
    <row r="147" spans="1:6" s="91" customFormat="1" ht="12.75">
      <c r="A147" s="184" t="s">
        <v>100</v>
      </c>
      <c r="B147" s="203">
        <f>B140+B136+B131+B126+B118</f>
        <v>308394</v>
      </c>
      <c r="C147" s="203">
        <f>C140+C136+C131+C126+C118</f>
        <v>16320</v>
      </c>
      <c r="D147" s="203">
        <f>D140+D136+D131+D126+D118</f>
        <v>44900</v>
      </c>
      <c r="E147" s="203">
        <f>E140+E136+E131+E126+E118</f>
        <v>29253</v>
      </c>
      <c r="F147" s="203">
        <f>F140+F136+F131+F126+F118</f>
        <v>936</v>
      </c>
    </row>
    <row r="148" spans="1:6" ht="12.75">
      <c r="A148" s="204" t="s">
        <v>101</v>
      </c>
      <c r="B148" s="196"/>
      <c r="C148" s="205"/>
      <c r="D148" s="206"/>
      <c r="E148" s="205"/>
      <c r="F148" s="206"/>
    </row>
    <row r="149" spans="1:6" ht="12.75">
      <c r="A149" s="70" t="s">
        <v>74</v>
      </c>
      <c r="B149" s="130"/>
      <c r="C149" s="207">
        <f aca="true" t="shared" si="0" ref="C149:F150">C143+C139+C134+C129+C121</f>
        <v>0</v>
      </c>
      <c r="D149" s="208">
        <v>0</v>
      </c>
      <c r="E149" s="207">
        <f t="shared" si="0"/>
        <v>0</v>
      </c>
      <c r="F149" s="208">
        <v>0</v>
      </c>
    </row>
    <row r="150" spans="1:6" ht="12.75">
      <c r="A150" s="113" t="s">
        <v>102</v>
      </c>
      <c r="B150" s="209">
        <v>0</v>
      </c>
      <c r="C150" s="210">
        <v>0</v>
      </c>
      <c r="D150" s="211">
        <v>0</v>
      </c>
      <c r="E150" s="210">
        <f t="shared" si="0"/>
        <v>0</v>
      </c>
      <c r="F150" s="211">
        <f t="shared" si="0"/>
        <v>0</v>
      </c>
    </row>
    <row r="151" spans="1:6" s="91" customFormat="1" ht="12.75">
      <c r="A151" s="90" t="s">
        <v>113</v>
      </c>
      <c r="B151" s="16">
        <f>B149+B150</f>
        <v>0</v>
      </c>
      <c r="C151" s="16">
        <f>C149+C150</f>
        <v>0</v>
      </c>
      <c r="D151" s="16">
        <f>D149+D150</f>
        <v>0</v>
      </c>
      <c r="E151" s="16">
        <f>E149+E150</f>
        <v>0</v>
      </c>
      <c r="F151" s="16">
        <f>F149+F150</f>
        <v>0</v>
      </c>
    </row>
    <row r="152" spans="1:6" ht="12.75">
      <c r="A152" s="194"/>
      <c r="B152" s="64"/>
      <c r="C152" s="212"/>
      <c r="D152" s="212"/>
      <c r="E152" s="212"/>
      <c r="F152" s="212"/>
    </row>
    <row r="153" spans="1:6" s="91" customFormat="1" ht="12.75">
      <c r="A153" s="132" t="s">
        <v>140</v>
      </c>
      <c r="B153" s="74">
        <f>B147+B151</f>
        <v>308394</v>
      </c>
      <c r="C153" s="203">
        <f>C147+C143+C138+C133+C125</f>
        <v>16320</v>
      </c>
      <c r="D153" s="203">
        <f>D147+D143+D138+D133+D125</f>
        <v>44900</v>
      </c>
      <c r="E153" s="203">
        <f>E147+E143+E138+E133+E125</f>
        <v>29253</v>
      </c>
      <c r="F153" s="203">
        <f>F147+F143+F138+F133+F125</f>
        <v>936</v>
      </c>
    </row>
    <row r="154" spans="1:6" s="91" customFormat="1" ht="12.75">
      <c r="A154" s="198"/>
      <c r="B154" s="199"/>
      <c r="C154" s="213"/>
      <c r="D154" s="213"/>
      <c r="E154" s="213"/>
      <c r="F154" s="213"/>
    </row>
    <row r="155" spans="1:6" ht="12.75">
      <c r="A155" s="910">
        <v>4</v>
      </c>
      <c r="B155" s="910"/>
      <c r="C155" s="910"/>
      <c r="D155" s="910"/>
      <c r="E155" s="910"/>
      <c r="F155" s="910"/>
    </row>
    <row r="156" spans="1:5" ht="14.25">
      <c r="A156" s="905" t="s">
        <v>123</v>
      </c>
      <c r="B156" s="905"/>
      <c r="C156" s="905"/>
      <c r="D156" s="905"/>
      <c r="E156" s="905"/>
    </row>
    <row r="157" spans="1:6" ht="15.75">
      <c r="A157" s="904" t="s">
        <v>124</v>
      </c>
      <c r="B157" s="904"/>
      <c r="C157" s="904"/>
      <c r="D157" s="904"/>
      <c r="E157" s="904"/>
      <c r="F157" s="904"/>
    </row>
    <row r="158" spans="1:6" ht="15.75">
      <c r="A158" s="904" t="s">
        <v>125</v>
      </c>
      <c r="B158" s="904"/>
      <c r="C158" s="904"/>
      <c r="D158" s="904"/>
      <c r="E158" s="904"/>
      <c r="F158" s="904"/>
    </row>
    <row r="159" ht="12.75">
      <c r="E159" s="31" t="s">
        <v>81</v>
      </c>
    </row>
    <row r="160" spans="1:6" ht="30.75" customHeight="1">
      <c r="A160" s="32" t="s">
        <v>126</v>
      </c>
      <c r="B160" s="175" t="s">
        <v>156</v>
      </c>
      <c r="C160" s="214" t="s">
        <v>157</v>
      </c>
      <c r="D160" s="176" t="s">
        <v>158</v>
      </c>
      <c r="E160" s="215" t="s">
        <v>159</v>
      </c>
      <c r="F160" s="216" t="s">
        <v>160</v>
      </c>
    </row>
    <row r="161" spans="1:6" ht="15.75" customHeight="1">
      <c r="A161" s="44" t="s">
        <v>43</v>
      </c>
      <c r="B161" s="69"/>
      <c r="C161" s="69"/>
      <c r="D161" s="69"/>
      <c r="E161" s="166"/>
      <c r="F161" s="69"/>
    </row>
    <row r="162" spans="1:6" ht="12.75">
      <c r="A162" s="121" t="s">
        <v>44</v>
      </c>
      <c r="B162" s="48"/>
      <c r="C162" s="39"/>
      <c r="D162" s="48"/>
      <c r="E162" s="49"/>
      <c r="F162" s="39"/>
    </row>
    <row r="163" spans="1:6" ht="12.75">
      <c r="A163" s="19" t="s">
        <v>45</v>
      </c>
      <c r="B163" s="48"/>
      <c r="C163" s="39">
        <v>11614</v>
      </c>
      <c r="D163" s="48"/>
      <c r="E163" s="49"/>
      <c r="F163" s="39"/>
    </row>
    <row r="164" spans="1:6" ht="12.75">
      <c r="A164" s="19" t="s">
        <v>46</v>
      </c>
      <c r="B164" s="48">
        <v>1639</v>
      </c>
      <c r="C164" s="39">
        <v>5000</v>
      </c>
      <c r="D164" s="48"/>
      <c r="E164" s="49"/>
      <c r="F164" s="39">
        <v>2340</v>
      </c>
    </row>
    <row r="165" spans="1:6" ht="12.75">
      <c r="A165" s="19" t="s">
        <v>161</v>
      </c>
      <c r="B165" s="48"/>
      <c r="C165" s="39"/>
      <c r="D165" s="48"/>
      <c r="E165" s="49"/>
      <c r="F165" s="39"/>
    </row>
    <row r="166" spans="1:6" ht="12.75">
      <c r="A166" s="19" t="s">
        <v>48</v>
      </c>
      <c r="B166" s="48"/>
      <c r="C166" s="39"/>
      <c r="D166" s="48"/>
      <c r="E166" s="49"/>
      <c r="F166" s="39"/>
    </row>
    <row r="167" spans="1:6" ht="12.75">
      <c r="A167" s="8" t="s">
        <v>49</v>
      </c>
      <c r="B167" s="48"/>
      <c r="C167" s="39">
        <v>131000</v>
      </c>
      <c r="D167" s="48">
        <v>1010</v>
      </c>
      <c r="E167" s="49">
        <v>95748</v>
      </c>
      <c r="F167" s="39">
        <v>27000</v>
      </c>
    </row>
    <row r="168" spans="1:6" ht="12.75">
      <c r="A168" s="122" t="s">
        <v>155</v>
      </c>
      <c r="B168" s="39">
        <f>B167</f>
        <v>0</v>
      </c>
      <c r="C168" s="39">
        <f>C167</f>
        <v>131000</v>
      </c>
      <c r="D168" s="39">
        <f>D167</f>
        <v>1010</v>
      </c>
      <c r="E168" s="39">
        <f>E167</f>
        <v>95748</v>
      </c>
      <c r="F168" s="39">
        <f>F167</f>
        <v>27000</v>
      </c>
    </row>
    <row r="169" spans="1:6" s="91" customFormat="1" ht="12.75">
      <c r="A169" s="43" t="s">
        <v>134</v>
      </c>
      <c r="B169" s="16">
        <f>SUM(B162:B167)</f>
        <v>1639</v>
      </c>
      <c r="C169" s="16">
        <f>SUM(C162:C167)</f>
        <v>147614</v>
      </c>
      <c r="D169" s="16">
        <f>SUM(D162:D167)</f>
        <v>1010</v>
      </c>
      <c r="E169" s="16">
        <f>SUM(E162:E167)</f>
        <v>95748</v>
      </c>
      <c r="F169" s="16">
        <f>SUM(F162:F167)</f>
        <v>29340</v>
      </c>
    </row>
    <row r="170" spans="1:6" ht="8.25" customHeight="1">
      <c r="A170" s="93"/>
      <c r="B170" s="52"/>
      <c r="C170" s="110"/>
      <c r="D170" s="69"/>
      <c r="E170" s="166"/>
      <c r="F170" s="48"/>
    </row>
    <row r="171" spans="1:6" ht="12.75">
      <c r="A171" s="47" t="s">
        <v>52</v>
      </c>
      <c r="B171" s="48"/>
      <c r="C171" s="94"/>
      <c r="D171" s="48"/>
      <c r="E171" s="131"/>
      <c r="F171" s="39"/>
    </row>
    <row r="172" spans="1:6" ht="12.75">
      <c r="A172" s="19" t="s">
        <v>53</v>
      </c>
      <c r="B172" s="48">
        <v>0</v>
      </c>
      <c r="C172" s="56">
        <v>0</v>
      </c>
      <c r="D172" s="48">
        <v>0</v>
      </c>
      <c r="E172" s="131">
        <v>0</v>
      </c>
      <c r="F172" s="39">
        <v>0</v>
      </c>
    </row>
    <row r="173" spans="1:6" ht="12.75">
      <c r="A173" s="19" t="s">
        <v>54</v>
      </c>
      <c r="B173" s="48">
        <v>0</v>
      </c>
      <c r="C173" s="56">
        <v>0</v>
      </c>
      <c r="D173" s="48">
        <v>0</v>
      </c>
      <c r="E173" s="131">
        <v>0</v>
      </c>
      <c r="F173" s="39">
        <v>0</v>
      </c>
    </row>
    <row r="174" spans="1:6" ht="12.75">
      <c r="A174" s="19" t="s">
        <v>55</v>
      </c>
      <c r="B174" s="48">
        <v>0</v>
      </c>
      <c r="C174" s="56">
        <v>0</v>
      </c>
      <c r="D174" s="48">
        <v>0</v>
      </c>
      <c r="E174" s="131">
        <v>0</v>
      </c>
      <c r="F174" s="39">
        <v>0</v>
      </c>
    </row>
    <row r="175" spans="1:6" ht="12.75">
      <c r="A175" s="8" t="s">
        <v>112</v>
      </c>
      <c r="B175" s="48">
        <f>-B165</f>
        <v>0</v>
      </c>
      <c r="C175" s="48">
        <f>-C165</f>
        <v>0</v>
      </c>
      <c r="D175" s="48">
        <f>-D165</f>
        <v>0</v>
      </c>
      <c r="E175" s="48">
        <f>-E165</f>
        <v>0</v>
      </c>
      <c r="F175" s="48">
        <f>-F165</f>
        <v>0</v>
      </c>
    </row>
    <row r="176" spans="1:6" ht="7.5" customHeight="1">
      <c r="A176" s="194"/>
      <c r="B176" s="64"/>
      <c r="C176" s="53"/>
      <c r="D176" s="64"/>
      <c r="E176" s="51"/>
      <c r="F176" s="58"/>
    </row>
    <row r="177" spans="1:6" ht="12.75">
      <c r="A177" s="43" t="s">
        <v>92</v>
      </c>
      <c r="B177" s="16">
        <f>B172+B173+B174+B175</f>
        <v>0</v>
      </c>
      <c r="C177" s="16">
        <f>C172+C173+C174+C175</f>
        <v>0</v>
      </c>
      <c r="D177" s="16">
        <f>D172+D173+D174+D175</f>
        <v>0</v>
      </c>
      <c r="E177" s="16">
        <f>E172+E173+E174+E175</f>
        <v>0</v>
      </c>
      <c r="F177" s="16">
        <f>F172+F173+F174+F175</f>
        <v>0</v>
      </c>
    </row>
    <row r="178" spans="1:6" ht="6" customHeight="1">
      <c r="A178" s="96"/>
      <c r="B178" s="64"/>
      <c r="C178" s="51"/>
      <c r="D178" s="64"/>
      <c r="E178" s="53"/>
      <c r="F178" s="64"/>
    </row>
    <row r="179" spans="1:6" ht="12.75">
      <c r="A179" s="96" t="s">
        <v>58</v>
      </c>
      <c r="B179" s="64"/>
      <c r="C179" s="51"/>
      <c r="D179" s="64"/>
      <c r="E179" s="53"/>
      <c r="F179" s="64"/>
    </row>
    <row r="180" spans="1:6" ht="12.75">
      <c r="A180" s="180" t="s">
        <v>59</v>
      </c>
      <c r="B180" s="39">
        <v>0</v>
      </c>
      <c r="C180" s="55">
        <v>0</v>
      </c>
      <c r="D180" s="39">
        <v>0</v>
      </c>
      <c r="E180" s="56">
        <v>0</v>
      </c>
      <c r="F180" s="39">
        <v>0</v>
      </c>
    </row>
    <row r="181" spans="1:6" ht="12.75">
      <c r="A181" s="125" t="s">
        <v>60</v>
      </c>
      <c r="B181" s="64">
        <v>0</v>
      </c>
      <c r="C181" s="51">
        <v>0</v>
      </c>
      <c r="D181" s="64">
        <v>0</v>
      </c>
      <c r="E181" s="53">
        <v>0</v>
      </c>
      <c r="F181" s="58">
        <v>0</v>
      </c>
    </row>
    <row r="182" spans="1:6" ht="12.75">
      <c r="A182" s="43" t="s">
        <v>135</v>
      </c>
      <c r="B182" s="16">
        <f>B180+B181</f>
        <v>0</v>
      </c>
      <c r="C182" s="16">
        <f>C180+C181</f>
        <v>0</v>
      </c>
      <c r="D182" s="16">
        <f>D180+D181</f>
        <v>0</v>
      </c>
      <c r="E182" s="16">
        <f>E180+E181</f>
        <v>0</v>
      </c>
      <c r="F182" s="16">
        <f>F180+F181</f>
        <v>0</v>
      </c>
    </row>
    <row r="183" spans="1:6" ht="12.75">
      <c r="A183" s="96"/>
      <c r="B183" s="64"/>
      <c r="C183" s="51"/>
      <c r="D183" s="64"/>
      <c r="E183" s="64"/>
      <c r="F183" s="53"/>
    </row>
    <row r="184" spans="1:6" ht="12.75">
      <c r="A184" s="62" t="s">
        <v>95</v>
      </c>
      <c r="B184" s="48"/>
      <c r="C184" s="131"/>
      <c r="D184" s="48"/>
      <c r="E184" s="48"/>
      <c r="F184" s="94"/>
    </row>
    <row r="185" spans="1:6" ht="12.75">
      <c r="A185" s="54" t="s">
        <v>59</v>
      </c>
      <c r="B185" s="48">
        <v>0</v>
      </c>
      <c r="C185" s="131">
        <v>0</v>
      </c>
      <c r="D185" s="48">
        <v>0</v>
      </c>
      <c r="E185" s="48">
        <v>0</v>
      </c>
      <c r="F185" s="56">
        <v>0</v>
      </c>
    </row>
    <row r="186" spans="1:6" ht="12.75">
      <c r="A186" s="126" t="s">
        <v>60</v>
      </c>
      <c r="B186" s="64">
        <v>0</v>
      </c>
      <c r="C186" s="51">
        <v>0</v>
      </c>
      <c r="D186" s="64">
        <v>0</v>
      </c>
      <c r="E186" s="64">
        <v>0</v>
      </c>
      <c r="F186" s="59">
        <v>0</v>
      </c>
    </row>
    <row r="187" spans="1:6" ht="12.75">
      <c r="A187" s="43" t="s">
        <v>96</v>
      </c>
      <c r="B187" s="16">
        <f>B185+B186</f>
        <v>0</v>
      </c>
      <c r="C187" s="16">
        <f>C185+C186</f>
        <v>0</v>
      </c>
      <c r="D187" s="16">
        <f>D185+D186</f>
        <v>0</v>
      </c>
      <c r="E187" s="16">
        <f>E185+E186</f>
        <v>0</v>
      </c>
      <c r="F187" s="16">
        <f>F185+F186</f>
        <v>0</v>
      </c>
    </row>
    <row r="188" spans="1:6" ht="18" customHeight="1">
      <c r="A188" s="44" t="s">
        <v>64</v>
      </c>
      <c r="B188" s="48"/>
      <c r="C188" s="48"/>
      <c r="D188" s="48"/>
      <c r="E188" s="131"/>
      <c r="F188" s="48"/>
    </row>
    <row r="189" spans="1:6" ht="12.75">
      <c r="A189" s="57" t="s">
        <v>97</v>
      </c>
      <c r="B189" s="64">
        <v>0</v>
      </c>
      <c r="C189" s="64">
        <v>0</v>
      </c>
      <c r="D189" s="64">
        <v>0</v>
      </c>
      <c r="E189" s="51">
        <v>0</v>
      </c>
      <c r="F189" s="39">
        <v>0</v>
      </c>
    </row>
    <row r="190" spans="1:6" ht="12.75">
      <c r="A190" s="8" t="s">
        <v>136</v>
      </c>
      <c r="B190" s="39">
        <v>0</v>
      </c>
      <c r="C190" s="39">
        <v>0</v>
      </c>
      <c r="D190" s="39">
        <v>0</v>
      </c>
      <c r="E190" s="55">
        <v>0</v>
      </c>
      <c r="F190" s="58">
        <v>0</v>
      </c>
    </row>
    <row r="191" spans="1:6" ht="15" customHeight="1">
      <c r="A191" s="43" t="s">
        <v>99</v>
      </c>
      <c r="B191" s="16">
        <f>B189+B190</f>
        <v>0</v>
      </c>
      <c r="C191" s="16">
        <f>C189+C190</f>
        <v>0</v>
      </c>
      <c r="D191" s="16">
        <f>D189+D190</f>
        <v>0</v>
      </c>
      <c r="E191" s="16">
        <f>E189+E190</f>
        <v>0</v>
      </c>
      <c r="F191" s="16">
        <f>F189+F190</f>
        <v>0</v>
      </c>
    </row>
    <row r="192" spans="1:6" ht="17.25" customHeight="1">
      <c r="A192" s="47" t="s">
        <v>68</v>
      </c>
      <c r="B192" s="109"/>
      <c r="C192" s="69"/>
      <c r="D192" s="166"/>
      <c r="E192" s="109"/>
      <c r="F192" s="48"/>
    </row>
    <row r="193" spans="1:6" ht="12.75">
      <c r="A193" s="38" t="s">
        <v>137</v>
      </c>
      <c r="B193" s="131">
        <v>0</v>
      </c>
      <c r="C193" s="48">
        <v>0</v>
      </c>
      <c r="D193" s="49">
        <v>0</v>
      </c>
      <c r="E193" s="131">
        <v>0</v>
      </c>
      <c r="F193" s="39">
        <v>0</v>
      </c>
    </row>
    <row r="194" spans="1:6" ht="12.75">
      <c r="A194" s="38" t="s">
        <v>138</v>
      </c>
      <c r="B194" s="55">
        <v>0</v>
      </c>
      <c r="C194" s="39">
        <v>0</v>
      </c>
      <c r="D194" s="40">
        <v>0</v>
      </c>
      <c r="E194" s="55">
        <v>0</v>
      </c>
      <c r="F194" s="39">
        <v>0</v>
      </c>
    </row>
    <row r="195" spans="1:6" ht="12.75">
      <c r="A195" s="90" t="s">
        <v>71</v>
      </c>
      <c r="B195" s="16">
        <f>B193+B194</f>
        <v>0</v>
      </c>
      <c r="C195" s="16">
        <f>C193+C194</f>
        <v>0</v>
      </c>
      <c r="D195" s="16">
        <f>D193+D194</f>
        <v>0</v>
      </c>
      <c r="E195" s="16">
        <f>E193+E194</f>
        <v>0</v>
      </c>
      <c r="F195" s="16">
        <f>F193+F194</f>
        <v>0</v>
      </c>
    </row>
    <row r="196" spans="1:6" ht="12.75">
      <c r="A196" s="96"/>
      <c r="B196" s="52"/>
      <c r="C196" s="52"/>
      <c r="D196" s="52"/>
      <c r="E196" s="173"/>
      <c r="F196" s="64"/>
    </row>
    <row r="197" spans="1:6" ht="12.75">
      <c r="A197" s="181" t="s">
        <v>139</v>
      </c>
      <c r="B197" s="182"/>
      <c r="C197" s="182"/>
      <c r="D197" s="52"/>
      <c r="E197" s="173"/>
      <c r="F197" s="52"/>
    </row>
    <row r="198" spans="1:6" s="91" customFormat="1" ht="12.75">
      <c r="A198" s="184" t="s">
        <v>100</v>
      </c>
      <c r="B198" s="185">
        <f>B195+B191+B187+B182+B177+B169</f>
        <v>1639</v>
      </c>
      <c r="C198" s="185">
        <f>C195+C191+C187+C182+C177+C169</f>
        <v>147614</v>
      </c>
      <c r="D198" s="185">
        <f>D195+D191+D187+D182+D177+D169</f>
        <v>1010</v>
      </c>
      <c r="E198" s="185">
        <f>E195+E191+E187+E182+E177+E169</f>
        <v>95748</v>
      </c>
      <c r="F198" s="185">
        <f>F195+F191+F187+F182+F177+F169</f>
        <v>29340</v>
      </c>
    </row>
    <row r="199" spans="1:6" ht="12.75">
      <c r="A199" s="217"/>
      <c r="B199" s="218"/>
      <c r="C199" s="219"/>
      <c r="D199" s="64"/>
      <c r="E199" s="52"/>
      <c r="F199" s="53"/>
    </row>
    <row r="200" spans="1:6" ht="12.75">
      <c r="A200" s="220" t="s">
        <v>101</v>
      </c>
      <c r="B200" s="130"/>
      <c r="C200" s="129"/>
      <c r="D200" s="39"/>
      <c r="E200" s="39"/>
      <c r="F200" s="56"/>
    </row>
    <row r="201" spans="1:6" ht="12.75">
      <c r="A201" s="70" t="s">
        <v>74</v>
      </c>
      <c r="B201" s="130">
        <v>0</v>
      </c>
      <c r="C201" s="129">
        <v>0</v>
      </c>
      <c r="D201" s="39">
        <v>0</v>
      </c>
      <c r="E201" s="39">
        <v>0</v>
      </c>
      <c r="F201" s="56">
        <v>0</v>
      </c>
    </row>
    <row r="202" spans="1:6" ht="12.75">
      <c r="A202" s="113" t="s">
        <v>102</v>
      </c>
      <c r="B202" s="197">
        <v>0</v>
      </c>
      <c r="C202" s="189">
        <v>0</v>
      </c>
      <c r="D202" s="58">
        <v>0</v>
      </c>
      <c r="E202" s="58">
        <v>0</v>
      </c>
      <c r="F202" s="59">
        <v>0</v>
      </c>
    </row>
    <row r="203" spans="1:6" ht="12.75">
      <c r="A203" s="90" t="s">
        <v>113</v>
      </c>
      <c r="B203" s="16">
        <f>B201+B202</f>
        <v>0</v>
      </c>
      <c r="C203" s="16">
        <f>C201+C202</f>
        <v>0</v>
      </c>
      <c r="D203" s="16">
        <f>D201+D202</f>
        <v>0</v>
      </c>
      <c r="E203" s="16">
        <f>E201+E202</f>
        <v>0</v>
      </c>
      <c r="F203" s="16">
        <f>F201+F202</f>
        <v>0</v>
      </c>
    </row>
    <row r="204" spans="1:6" ht="12.75">
      <c r="A204" s="194"/>
      <c r="B204" s="64"/>
      <c r="C204" s="39"/>
      <c r="D204" s="67"/>
      <c r="E204" s="104"/>
      <c r="F204" s="64"/>
    </row>
    <row r="205" spans="1:6" s="91" customFormat="1" ht="12.75">
      <c r="A205" s="132" t="s">
        <v>140</v>
      </c>
      <c r="B205" s="74">
        <f>B198+B203</f>
        <v>1639</v>
      </c>
      <c r="C205" s="74">
        <f>C198+C203</f>
        <v>147614</v>
      </c>
      <c r="D205" s="74">
        <f>D198+D203</f>
        <v>1010</v>
      </c>
      <c r="E205" s="74">
        <f>E198+E203</f>
        <v>95748</v>
      </c>
      <c r="F205" s="74">
        <f>F198+F203</f>
        <v>29340</v>
      </c>
    </row>
    <row r="206" spans="1:6" s="91" customFormat="1" ht="12.75">
      <c r="A206" s="198"/>
      <c r="B206" s="199"/>
      <c r="C206" s="199"/>
      <c r="D206" s="199"/>
      <c r="E206" s="199"/>
      <c r="F206" s="199"/>
    </row>
    <row r="207" spans="1:6" s="91" customFormat="1" ht="12.75">
      <c r="A207" s="198"/>
      <c r="B207" s="199"/>
      <c r="C207" s="199"/>
      <c r="D207" s="199"/>
      <c r="E207" s="199"/>
      <c r="F207" s="199"/>
    </row>
    <row r="208" spans="1:6" ht="12.75">
      <c r="A208" s="909">
        <v>5</v>
      </c>
      <c r="B208" s="909"/>
      <c r="C208" s="909"/>
      <c r="D208" s="909"/>
      <c r="E208" s="909"/>
      <c r="F208" s="909"/>
    </row>
    <row r="210" spans="1:5" ht="14.25">
      <c r="A210" s="905" t="s">
        <v>148</v>
      </c>
      <c r="B210" s="905"/>
      <c r="C210" s="905"/>
      <c r="D210" s="905"/>
      <c r="E210" s="905"/>
    </row>
    <row r="211" spans="1:6" ht="15.75">
      <c r="A211" s="904" t="s">
        <v>124</v>
      </c>
      <c r="B211" s="904"/>
      <c r="C211" s="904"/>
      <c r="D211" s="904"/>
      <c r="E211" s="904"/>
      <c r="F211" s="904"/>
    </row>
    <row r="212" spans="1:6" ht="15.75">
      <c r="A212" s="904" t="s">
        <v>125</v>
      </c>
      <c r="B212" s="904"/>
      <c r="C212" s="904"/>
      <c r="D212" s="904"/>
      <c r="E212" s="904"/>
      <c r="F212" s="904"/>
    </row>
    <row r="213" ht="12.75">
      <c r="E213" s="31" t="s">
        <v>81</v>
      </c>
    </row>
    <row r="214" spans="1:6" ht="42" customHeight="1">
      <c r="A214" s="32" t="s">
        <v>126</v>
      </c>
      <c r="B214" s="200" t="s">
        <v>162</v>
      </c>
      <c r="C214" s="192" t="s">
        <v>163</v>
      </c>
      <c r="D214" s="176" t="s">
        <v>164</v>
      </c>
      <c r="E214" s="176" t="s">
        <v>165</v>
      </c>
      <c r="F214" s="214" t="s">
        <v>166</v>
      </c>
    </row>
    <row r="215" spans="1:6" ht="12.75">
      <c r="A215" s="44" t="s">
        <v>43</v>
      </c>
      <c r="B215" s="69"/>
      <c r="C215" s="69"/>
      <c r="D215" s="69"/>
      <c r="E215" s="166"/>
      <c r="F215" s="69"/>
    </row>
    <row r="216" spans="1:6" ht="12.75">
      <c r="A216" s="121" t="s">
        <v>44</v>
      </c>
      <c r="B216" s="48"/>
      <c r="C216" s="39"/>
      <c r="D216" s="48">
        <v>150</v>
      </c>
      <c r="E216" s="49"/>
      <c r="F216" s="39"/>
    </row>
    <row r="217" spans="1:6" ht="12.75">
      <c r="A217" s="19" t="s">
        <v>45</v>
      </c>
      <c r="B217" s="48"/>
      <c r="C217" s="39"/>
      <c r="D217" s="48">
        <v>71</v>
      </c>
      <c r="E217" s="49"/>
      <c r="F217" s="39"/>
    </row>
    <row r="218" spans="1:6" ht="12.75">
      <c r="A218" s="19" t="s">
        <v>46</v>
      </c>
      <c r="B218" s="48"/>
      <c r="C218" s="39"/>
      <c r="D218" s="48">
        <v>10779</v>
      </c>
      <c r="E218" s="49">
        <v>1740</v>
      </c>
      <c r="F218" s="39">
        <v>7066</v>
      </c>
    </row>
    <row r="219" spans="1:6" ht="12.75">
      <c r="A219" s="19" t="s">
        <v>167</v>
      </c>
      <c r="B219" s="48"/>
      <c r="C219" s="39"/>
      <c r="D219" s="48"/>
      <c r="E219" s="49"/>
      <c r="F219" s="39">
        <v>-7066</v>
      </c>
    </row>
    <row r="220" spans="1:6" ht="12.75">
      <c r="A220" s="19" t="s">
        <v>48</v>
      </c>
      <c r="B220" s="48"/>
      <c r="C220" s="39"/>
      <c r="D220" s="48"/>
      <c r="E220" s="49"/>
      <c r="F220" s="39"/>
    </row>
    <row r="221" spans="1:6" ht="12.75">
      <c r="A221" s="8" t="s">
        <v>49</v>
      </c>
      <c r="B221" s="48">
        <v>100</v>
      </c>
      <c r="C221" s="39"/>
      <c r="D221" s="48"/>
      <c r="E221" s="49"/>
      <c r="F221" s="39"/>
    </row>
    <row r="222" spans="1:6" ht="12.75">
      <c r="A222" s="122" t="s">
        <v>155</v>
      </c>
      <c r="B222" s="48">
        <f>B221</f>
        <v>100</v>
      </c>
      <c r="C222" s="39"/>
      <c r="D222" s="39"/>
      <c r="E222" s="39"/>
      <c r="F222" s="39"/>
    </row>
    <row r="223" spans="1:6" s="91" customFormat="1" ht="12.75">
      <c r="A223" s="43" t="s">
        <v>134</v>
      </c>
      <c r="B223" s="16">
        <f>SUM(B216:B221)</f>
        <v>100</v>
      </c>
      <c r="C223" s="16">
        <f>SUM(C216:C221)</f>
        <v>0</v>
      </c>
      <c r="D223" s="16">
        <f>SUM(D216:D221)</f>
        <v>11000</v>
      </c>
      <c r="E223" s="16">
        <f>SUM(E216:E221)</f>
        <v>1740</v>
      </c>
      <c r="F223" s="16">
        <f>SUM(F216:F221)</f>
        <v>0</v>
      </c>
    </row>
    <row r="224" spans="1:6" ht="7.5" customHeight="1">
      <c r="A224" s="93"/>
      <c r="B224" s="69"/>
      <c r="C224" s="110"/>
      <c r="D224" s="69"/>
      <c r="E224" s="166"/>
      <c r="F224" s="48"/>
    </row>
    <row r="225" spans="1:6" ht="12.75">
      <c r="A225" s="47" t="s">
        <v>52</v>
      </c>
      <c r="B225" s="48"/>
      <c r="C225" s="94"/>
      <c r="D225" s="48"/>
      <c r="E225" s="131"/>
      <c r="F225" s="39"/>
    </row>
    <row r="226" spans="1:6" ht="12.75">
      <c r="A226" s="19" t="s">
        <v>53</v>
      </c>
      <c r="B226" s="48">
        <v>0</v>
      </c>
      <c r="C226" s="56">
        <f>'4_sz_ melléklet'!B47</f>
        <v>90000</v>
      </c>
      <c r="D226" s="48">
        <v>0</v>
      </c>
      <c r="E226" s="131">
        <v>0</v>
      </c>
      <c r="F226" s="39">
        <f>'4_sz_ melléklet'!B41</f>
        <v>30685</v>
      </c>
    </row>
    <row r="227" spans="1:6" ht="12.75">
      <c r="A227" s="19" t="s">
        <v>54</v>
      </c>
      <c r="B227" s="48">
        <v>0</v>
      </c>
      <c r="C227" s="56">
        <v>0</v>
      </c>
      <c r="D227" s="48">
        <v>0</v>
      </c>
      <c r="E227" s="131">
        <v>0</v>
      </c>
      <c r="F227" s="39">
        <v>0</v>
      </c>
    </row>
    <row r="228" spans="1:6" ht="12.75">
      <c r="A228" s="19" t="s">
        <v>55</v>
      </c>
      <c r="B228" s="48">
        <v>0</v>
      </c>
      <c r="C228" s="56">
        <v>0</v>
      </c>
      <c r="D228" s="48">
        <v>0</v>
      </c>
      <c r="E228" s="131">
        <v>0</v>
      </c>
      <c r="F228" s="39">
        <v>0</v>
      </c>
    </row>
    <row r="229" spans="1:6" ht="12.75">
      <c r="A229" s="179" t="s">
        <v>112</v>
      </c>
      <c r="B229" s="48">
        <f>-B219</f>
        <v>0</v>
      </c>
      <c r="C229" s="48">
        <f>-C219</f>
        <v>0</v>
      </c>
      <c r="D229" s="48">
        <f>-D219</f>
        <v>0</v>
      </c>
      <c r="E229" s="48">
        <f>-E219</f>
        <v>0</v>
      </c>
      <c r="F229" s="48">
        <f>-F219</f>
        <v>7066</v>
      </c>
    </row>
    <row r="230" spans="1:6" ht="9" customHeight="1">
      <c r="A230" s="194"/>
      <c r="B230" s="64"/>
      <c r="C230" s="53"/>
      <c r="D230" s="64"/>
      <c r="E230" s="51"/>
      <c r="F230" s="58"/>
    </row>
    <row r="231" spans="1:6" s="91" customFormat="1" ht="12.75">
      <c r="A231" s="43" t="s">
        <v>92</v>
      </c>
      <c r="B231" s="16">
        <f>B226+B227+B228+B229</f>
        <v>0</v>
      </c>
      <c r="C231" s="16">
        <f>C226+C227+C228+C229</f>
        <v>90000</v>
      </c>
      <c r="D231" s="16">
        <f>D226+D227+D228+D229</f>
        <v>0</v>
      </c>
      <c r="E231" s="16">
        <f>E226+E227+E228+E229</f>
        <v>0</v>
      </c>
      <c r="F231" s="16">
        <f>F226+F227+F228+F229</f>
        <v>37751</v>
      </c>
    </row>
    <row r="232" spans="1:6" ht="6.75" customHeight="1">
      <c r="A232" s="96"/>
      <c r="B232" s="64"/>
      <c r="C232" s="51"/>
      <c r="D232" s="64"/>
      <c r="E232" s="53"/>
      <c r="F232" s="64"/>
    </row>
    <row r="233" spans="1:6" ht="12.75">
      <c r="A233" s="96" t="s">
        <v>58</v>
      </c>
      <c r="B233" s="64"/>
      <c r="C233" s="51"/>
      <c r="D233" s="64"/>
      <c r="E233" s="53"/>
      <c r="F233" s="64"/>
    </row>
    <row r="234" spans="1:6" ht="12.75">
      <c r="A234" s="180" t="s">
        <v>59</v>
      </c>
      <c r="B234" s="39">
        <v>0</v>
      </c>
      <c r="C234" s="55">
        <v>0</v>
      </c>
      <c r="D234" s="39">
        <v>0</v>
      </c>
      <c r="E234" s="56">
        <v>0</v>
      </c>
      <c r="F234" s="39">
        <v>0</v>
      </c>
    </row>
    <row r="235" spans="1:6" ht="12.75">
      <c r="A235" s="125" t="s">
        <v>60</v>
      </c>
      <c r="B235" s="64">
        <v>0</v>
      </c>
      <c r="C235" s="51">
        <v>0</v>
      </c>
      <c r="D235" s="64">
        <v>0</v>
      </c>
      <c r="E235" s="53">
        <v>0</v>
      </c>
      <c r="F235" s="58">
        <v>0</v>
      </c>
    </row>
    <row r="236" spans="1:6" ht="12.75">
      <c r="A236" s="43" t="s">
        <v>135</v>
      </c>
      <c r="B236" s="16">
        <f>B234+B235</f>
        <v>0</v>
      </c>
      <c r="C236" s="16">
        <f>C234+C235</f>
        <v>0</v>
      </c>
      <c r="D236" s="16">
        <f>D234+D235</f>
        <v>0</v>
      </c>
      <c r="E236" s="16">
        <f>E234+E235</f>
        <v>0</v>
      </c>
      <c r="F236" s="16">
        <f>F234+F235</f>
        <v>0</v>
      </c>
    </row>
    <row r="237" spans="1:6" ht="9" customHeight="1">
      <c r="A237" s="96"/>
      <c r="B237" s="64"/>
      <c r="C237" s="51"/>
      <c r="D237" s="64"/>
      <c r="E237" s="64"/>
      <c r="F237" s="53"/>
    </row>
    <row r="238" spans="1:6" ht="12.75">
      <c r="A238" s="62" t="s">
        <v>95</v>
      </c>
      <c r="B238" s="48"/>
      <c r="C238" s="131"/>
      <c r="D238" s="48"/>
      <c r="E238" s="48"/>
      <c r="F238" s="94"/>
    </row>
    <row r="239" spans="1:6" ht="12.75">
      <c r="A239" s="54" t="s">
        <v>59</v>
      </c>
      <c r="B239" s="48">
        <v>0</v>
      </c>
      <c r="C239" s="48">
        <f>1_e_f_sz_melléklet!C39</f>
        <v>1156</v>
      </c>
      <c r="D239" s="48"/>
      <c r="E239" s="48">
        <v>0</v>
      </c>
      <c r="F239" s="56"/>
    </row>
    <row r="240" spans="1:6" ht="12.75">
      <c r="A240" s="126" t="s">
        <v>60</v>
      </c>
      <c r="B240" s="64">
        <v>0</v>
      </c>
      <c r="C240" s="51">
        <f>1_e_f_sz_melléklet!C43+1_e_f_sz_melléklet!C44</f>
        <v>48876</v>
      </c>
      <c r="D240" s="64"/>
      <c r="E240" s="64">
        <v>0</v>
      </c>
      <c r="F240" s="59">
        <v>0</v>
      </c>
    </row>
    <row r="241" spans="1:6" s="91" customFormat="1" ht="12" customHeight="1">
      <c r="A241" s="43" t="s">
        <v>96</v>
      </c>
      <c r="B241" s="16">
        <f>B239+B240</f>
        <v>0</v>
      </c>
      <c r="C241" s="16">
        <f>C239+C240</f>
        <v>50032</v>
      </c>
      <c r="D241" s="16">
        <f>D239+D240</f>
        <v>0</v>
      </c>
      <c r="E241" s="16">
        <f>E239+E240</f>
        <v>0</v>
      </c>
      <c r="F241" s="16">
        <f>F239+F240</f>
        <v>0</v>
      </c>
    </row>
    <row r="242" spans="1:6" ht="18" customHeight="1">
      <c r="A242" s="44" t="s">
        <v>64</v>
      </c>
      <c r="B242" s="48"/>
      <c r="C242" s="48"/>
      <c r="D242" s="48"/>
      <c r="E242" s="131"/>
      <c r="F242" s="48"/>
    </row>
    <row r="243" spans="1:6" ht="12.75">
      <c r="A243" s="57" t="s">
        <v>97</v>
      </c>
      <c r="B243" s="64">
        <v>0</v>
      </c>
      <c r="C243" s="64">
        <v>0</v>
      </c>
      <c r="D243" s="64">
        <v>0</v>
      </c>
      <c r="E243" s="51">
        <v>0</v>
      </c>
      <c r="F243" s="39">
        <v>0</v>
      </c>
    </row>
    <row r="244" spans="1:6" ht="12.75">
      <c r="A244" s="8" t="s">
        <v>136</v>
      </c>
      <c r="B244" s="39">
        <v>0</v>
      </c>
      <c r="C244" s="39">
        <v>0</v>
      </c>
      <c r="D244" s="39">
        <f>1_g_h_sz_melléklet!B16</f>
        <v>0</v>
      </c>
      <c r="E244" s="55">
        <v>0</v>
      </c>
      <c r="F244" s="58">
        <v>0</v>
      </c>
    </row>
    <row r="245" spans="1:6" s="91" customFormat="1" ht="12.75">
      <c r="A245" s="43" t="s">
        <v>99</v>
      </c>
      <c r="B245" s="16">
        <f>B243+B244</f>
        <v>0</v>
      </c>
      <c r="C245" s="16">
        <f>C243+C244</f>
        <v>0</v>
      </c>
      <c r="D245" s="16">
        <f>D243+D244</f>
        <v>0</v>
      </c>
      <c r="E245" s="16">
        <f>E243+E244</f>
        <v>0</v>
      </c>
      <c r="F245" s="16">
        <f>F243+F244</f>
        <v>0</v>
      </c>
    </row>
    <row r="246" spans="1:6" ht="18" customHeight="1">
      <c r="A246" s="47" t="s">
        <v>68</v>
      </c>
      <c r="B246" s="109"/>
      <c r="C246" s="69"/>
      <c r="D246" s="166"/>
      <c r="E246" s="109"/>
      <c r="F246" s="48"/>
    </row>
    <row r="247" spans="1:6" ht="12.75">
      <c r="A247" s="38" t="s">
        <v>137</v>
      </c>
      <c r="B247" s="131">
        <v>0</v>
      </c>
      <c r="C247" s="48">
        <v>0</v>
      </c>
      <c r="D247" s="49">
        <v>0</v>
      </c>
      <c r="E247" s="131">
        <v>0</v>
      </c>
      <c r="F247" s="39">
        <v>0</v>
      </c>
    </row>
    <row r="248" spans="1:6" ht="12.75">
      <c r="A248" s="38" t="s">
        <v>138</v>
      </c>
      <c r="B248" s="55">
        <v>0</v>
      </c>
      <c r="C248" s="39">
        <v>0</v>
      </c>
      <c r="D248" s="40">
        <v>0</v>
      </c>
      <c r="E248" s="55">
        <v>0</v>
      </c>
      <c r="F248" s="39">
        <v>0</v>
      </c>
    </row>
    <row r="249" spans="1:6" ht="12.75">
      <c r="A249" s="90" t="s">
        <v>71</v>
      </c>
      <c r="B249" s="16">
        <f>B247+B248</f>
        <v>0</v>
      </c>
      <c r="C249" s="16">
        <f>C247+C248</f>
        <v>0</v>
      </c>
      <c r="D249" s="16">
        <f>D247+D248</f>
        <v>0</v>
      </c>
      <c r="E249" s="16">
        <f>E247+E248</f>
        <v>0</v>
      </c>
      <c r="F249" s="16">
        <f>F247+F248</f>
        <v>0</v>
      </c>
    </row>
    <row r="250" spans="1:6" ht="12.75">
      <c r="A250" s="96"/>
      <c r="B250" s="52"/>
      <c r="C250" s="52"/>
      <c r="D250" s="52"/>
      <c r="E250" s="173"/>
      <c r="F250" s="64"/>
    </row>
    <row r="251" spans="1:6" ht="12.75">
      <c r="A251" s="181" t="s">
        <v>139</v>
      </c>
      <c r="B251" s="182"/>
      <c r="C251" s="182"/>
      <c r="D251" s="52"/>
      <c r="E251" s="173"/>
      <c r="F251" s="52"/>
    </row>
    <row r="252" spans="1:6" s="91" customFormat="1" ht="12.75">
      <c r="A252" s="184" t="s">
        <v>100</v>
      </c>
      <c r="B252" s="185">
        <f>B249+B245+B241+B236+B231+B223</f>
        <v>100</v>
      </c>
      <c r="C252" s="185">
        <f>C249+C245+C241+C236+C231+C223</f>
        <v>140032</v>
      </c>
      <c r="D252" s="185">
        <f>D249+D245+D241+D236+D231+D223</f>
        <v>11000</v>
      </c>
      <c r="E252" s="185">
        <f>E249+E245+E241+E236+E231+E223</f>
        <v>1740</v>
      </c>
      <c r="F252" s="185">
        <f>F249+F245+F241+F236+F231+F223</f>
        <v>37751</v>
      </c>
    </row>
    <row r="253" spans="1:6" ht="12.75">
      <c r="A253" s="217"/>
      <c r="B253" s="196"/>
      <c r="C253" s="196"/>
      <c r="D253" s="69"/>
      <c r="E253" s="109"/>
      <c r="F253" s="69"/>
    </row>
    <row r="254" spans="1:6" ht="12.75">
      <c r="A254" s="220" t="s">
        <v>101</v>
      </c>
      <c r="B254" s="76"/>
      <c r="C254" s="221"/>
      <c r="D254" s="48"/>
      <c r="E254" s="48"/>
      <c r="F254" s="94"/>
    </row>
    <row r="255" spans="1:6" ht="12.75">
      <c r="A255" s="70" t="s">
        <v>74</v>
      </c>
      <c r="B255" s="130">
        <v>0</v>
      </c>
      <c r="C255" s="129">
        <v>0</v>
      </c>
      <c r="D255" s="39">
        <v>0</v>
      </c>
      <c r="E255" s="39">
        <v>0</v>
      </c>
      <c r="F255" s="56">
        <v>0</v>
      </c>
    </row>
    <row r="256" spans="1:6" ht="12.75">
      <c r="A256" s="113" t="s">
        <v>102</v>
      </c>
      <c r="B256" s="197">
        <v>0</v>
      </c>
      <c r="C256" s="189">
        <v>0</v>
      </c>
      <c r="D256" s="58"/>
      <c r="E256" s="58">
        <v>0</v>
      </c>
      <c r="F256" s="59">
        <f>'12_sz_ melléklet'!J11</f>
        <v>8696</v>
      </c>
    </row>
    <row r="257" spans="1:6" s="91" customFormat="1" ht="12.75">
      <c r="A257" s="90" t="s">
        <v>113</v>
      </c>
      <c r="B257" s="16">
        <f>B255+B256</f>
        <v>0</v>
      </c>
      <c r="C257" s="16">
        <f>C255+C256</f>
        <v>0</v>
      </c>
      <c r="D257" s="16">
        <f>D255+D256</f>
        <v>0</v>
      </c>
      <c r="E257" s="16">
        <f>E255+E256</f>
        <v>0</v>
      </c>
      <c r="F257" s="16">
        <f>F255+F256</f>
        <v>8696</v>
      </c>
    </row>
    <row r="258" spans="1:6" ht="12.75">
      <c r="A258" s="194"/>
      <c r="B258" s="64"/>
      <c r="C258" s="39"/>
      <c r="D258" s="67"/>
      <c r="E258" s="104"/>
      <c r="F258" s="64"/>
    </row>
    <row r="259" spans="1:6" s="91" customFormat="1" ht="12.75">
      <c r="A259" s="132" t="s">
        <v>140</v>
      </c>
      <c r="B259" s="74">
        <f>B252+B257</f>
        <v>100</v>
      </c>
      <c r="C259" s="74">
        <f>C252+C257</f>
        <v>140032</v>
      </c>
      <c r="D259" s="74">
        <f>D252+D257</f>
        <v>11000</v>
      </c>
      <c r="E259" s="74">
        <f>E252+E257</f>
        <v>1740</v>
      </c>
      <c r="F259" s="74">
        <f>F252+F257</f>
        <v>46447</v>
      </c>
    </row>
    <row r="260" spans="1:6" s="91" customFormat="1" ht="12.75">
      <c r="A260" s="198"/>
      <c r="B260" s="199"/>
      <c r="C260" s="199"/>
      <c r="D260" s="199"/>
      <c r="E260" s="199"/>
      <c r="F260" s="199"/>
    </row>
    <row r="261" spans="1:6" ht="12.75">
      <c r="A261" s="909">
        <v>6</v>
      </c>
      <c r="B261" s="909"/>
      <c r="C261" s="909"/>
      <c r="D261" s="909"/>
      <c r="E261" s="909"/>
      <c r="F261" s="909"/>
    </row>
    <row r="263" spans="1:5" ht="14.25">
      <c r="A263" s="905" t="s">
        <v>123</v>
      </c>
      <c r="B263" s="905"/>
      <c r="C263" s="905"/>
      <c r="D263" s="905"/>
      <c r="E263" s="905"/>
    </row>
    <row r="264" spans="1:6" ht="15.75">
      <c r="A264" s="904" t="s">
        <v>124</v>
      </c>
      <c r="B264" s="904"/>
      <c r="C264" s="904"/>
      <c r="D264" s="904"/>
      <c r="E264" s="904"/>
      <c r="F264" s="904"/>
    </row>
    <row r="265" spans="1:6" ht="15.75">
      <c r="A265" s="904" t="s">
        <v>125</v>
      </c>
      <c r="B265" s="904"/>
      <c r="C265" s="904"/>
      <c r="D265" s="904"/>
      <c r="E265" s="904"/>
      <c r="F265" s="904"/>
    </row>
    <row r="266" ht="12.75">
      <c r="E266" s="31" t="s">
        <v>81</v>
      </c>
    </row>
    <row r="267" spans="1:6" ht="51.75" customHeight="1">
      <c r="A267" s="32" t="s">
        <v>82</v>
      </c>
      <c r="B267" s="176" t="s">
        <v>168</v>
      </c>
      <c r="C267" s="222" t="s">
        <v>169</v>
      </c>
      <c r="D267" s="214" t="s">
        <v>170</v>
      </c>
      <c r="E267" s="223" t="s">
        <v>171</v>
      </c>
      <c r="F267" s="224" t="s">
        <v>172</v>
      </c>
    </row>
    <row r="268" spans="1:6" ht="12.75">
      <c r="A268" s="44" t="s">
        <v>43</v>
      </c>
      <c r="B268" s="69"/>
      <c r="C268" s="69"/>
      <c r="D268" s="69"/>
      <c r="E268" s="166"/>
      <c r="F268" s="69"/>
    </row>
    <row r="269" spans="1:6" ht="12.75">
      <c r="A269" s="121" t="s">
        <v>44</v>
      </c>
      <c r="B269" s="48">
        <f aca="true" t="shared" si="1" ref="B269:B275">F216+E216+D216+C216+B216+B162+C162+D162+E162+F162+B111+C111+D111+E111+F111+B58+C58+D58+E58+F58+B7+C7+D7+E7+F7</f>
        <v>388560</v>
      </c>
      <c r="C269" s="39"/>
      <c r="D269" s="48">
        <f>SUM(B269:C269)</f>
        <v>388560</v>
      </c>
      <c r="E269" s="49">
        <f>'1_c_sz_ melléklet'!F61</f>
        <v>1025938</v>
      </c>
      <c r="F269" s="39">
        <f>SUM(D269:E269)</f>
        <v>1414498</v>
      </c>
    </row>
    <row r="270" spans="1:6" ht="12.75">
      <c r="A270" s="19" t="s">
        <v>45</v>
      </c>
      <c r="B270" s="48">
        <f t="shared" si="1"/>
        <v>135608</v>
      </c>
      <c r="C270" s="39"/>
      <c r="D270" s="48">
        <f aca="true" t="shared" si="2" ref="D270:D275">SUM(B270:C270)</f>
        <v>135608</v>
      </c>
      <c r="E270" s="49">
        <f>'1_c_sz_ melléklet'!F62</f>
        <v>319562</v>
      </c>
      <c r="F270" s="39">
        <f aca="true" t="shared" si="3" ref="F270:F275">SUM(D270:E270)</f>
        <v>455170</v>
      </c>
    </row>
    <row r="271" spans="1:6" ht="12.75">
      <c r="A271" s="19" t="s">
        <v>46</v>
      </c>
      <c r="B271" s="48">
        <f t="shared" si="1"/>
        <v>457872</v>
      </c>
      <c r="C271" s="39"/>
      <c r="D271" s="48">
        <f t="shared" si="2"/>
        <v>457872</v>
      </c>
      <c r="E271" s="49">
        <f>'1_c_sz_ melléklet'!F63</f>
        <v>409300</v>
      </c>
      <c r="F271" s="39">
        <f t="shared" si="3"/>
        <v>867172</v>
      </c>
    </row>
    <row r="272" spans="1:6" ht="12.75">
      <c r="A272" s="19" t="s">
        <v>173</v>
      </c>
      <c r="B272" s="48">
        <f t="shared" si="1"/>
        <v>-120152</v>
      </c>
      <c r="C272" s="39"/>
      <c r="D272" s="48">
        <f t="shared" si="2"/>
        <v>-120152</v>
      </c>
      <c r="E272" s="49">
        <v>0</v>
      </c>
      <c r="F272" s="39">
        <f t="shared" si="3"/>
        <v>-120152</v>
      </c>
    </row>
    <row r="273" spans="1:6" ht="12.75">
      <c r="A273" s="19" t="s">
        <v>48</v>
      </c>
      <c r="B273" s="48">
        <f t="shared" si="1"/>
        <v>0</v>
      </c>
      <c r="C273" s="39"/>
      <c r="D273" s="48">
        <f t="shared" si="2"/>
        <v>0</v>
      </c>
      <c r="E273" s="49">
        <v>358</v>
      </c>
      <c r="F273" s="39">
        <f t="shared" si="3"/>
        <v>358</v>
      </c>
    </row>
    <row r="274" spans="1:6" ht="12.75">
      <c r="A274" s="8" t="s">
        <v>49</v>
      </c>
      <c r="B274" s="48">
        <f t="shared" si="1"/>
        <v>254858</v>
      </c>
      <c r="C274" s="39"/>
      <c r="D274" s="48">
        <f t="shared" si="2"/>
        <v>254858</v>
      </c>
      <c r="E274" s="49"/>
      <c r="F274" s="39">
        <f t="shared" si="3"/>
        <v>254858</v>
      </c>
    </row>
    <row r="275" spans="1:6" ht="12.75">
      <c r="A275" s="122" t="s">
        <v>174</v>
      </c>
      <c r="B275" s="48">
        <f t="shared" si="1"/>
        <v>254858</v>
      </c>
      <c r="C275" s="39"/>
      <c r="D275" s="48">
        <f t="shared" si="2"/>
        <v>254858</v>
      </c>
      <c r="E275" s="40"/>
      <c r="F275" s="39">
        <f t="shared" si="3"/>
        <v>254858</v>
      </c>
    </row>
    <row r="276" spans="1:6" s="91" customFormat="1" ht="12.75">
      <c r="A276" s="43" t="s">
        <v>134</v>
      </c>
      <c r="B276" s="16">
        <f>SUM(B269:B274)</f>
        <v>1116746</v>
      </c>
      <c r="C276" s="16">
        <f>SUM(C269:C274)</f>
        <v>0</v>
      </c>
      <c r="D276" s="16">
        <f>SUM(D269:D274)</f>
        <v>1116746</v>
      </c>
      <c r="E276" s="16">
        <f>SUM(E269:E274)</f>
        <v>1755158</v>
      </c>
      <c r="F276" s="16">
        <f>SUM(F269:F274)</f>
        <v>2871904</v>
      </c>
    </row>
    <row r="277" spans="1:6" ht="8.25" customHeight="1">
      <c r="A277" s="93"/>
      <c r="B277" s="52"/>
      <c r="C277" s="110"/>
      <c r="D277" s="69"/>
      <c r="E277" s="166"/>
      <c r="F277" s="48"/>
    </row>
    <row r="278" spans="1:6" ht="12.75">
      <c r="A278" s="41" t="s">
        <v>52</v>
      </c>
      <c r="B278" s="39"/>
      <c r="C278" s="56"/>
      <c r="D278" s="39"/>
      <c r="E278" s="55"/>
      <c r="F278" s="39"/>
    </row>
    <row r="279" spans="1:6" ht="12.75">
      <c r="A279" s="19" t="s">
        <v>53</v>
      </c>
      <c r="B279" s="48">
        <f>F226+E226+D226+C226+B226+F172+E172+D172+C172+B172+F121+E121+D121+C121+B121+F68+E68+D68+C68+B68+F16+E16+D16+C16+B16</f>
        <v>217237</v>
      </c>
      <c r="C279" s="56"/>
      <c r="D279" s="39">
        <f>SUM(B279:C279)</f>
        <v>217237</v>
      </c>
      <c r="E279" s="131">
        <f>'1_c_sz_ melléklet'!F72</f>
        <v>4600</v>
      </c>
      <c r="F279" s="39">
        <f>SUM(D279:E279)</f>
        <v>221837</v>
      </c>
    </row>
    <row r="280" spans="1:6" ht="12.75">
      <c r="A280" s="19" t="s">
        <v>54</v>
      </c>
      <c r="B280" s="48">
        <f>F227+E227+D227+C227+B227+F173+E173+D173+C173+B173+F122+E122+D122+C122+B122+F69+E69+D69+C69+B69+F17+E17+D17+C17+B17</f>
        <v>83188</v>
      </c>
      <c r="C280" s="56"/>
      <c r="D280" s="39">
        <f>SUM(B280:C280)</f>
        <v>83188</v>
      </c>
      <c r="E280" s="131">
        <f>'1_c_sz_ melléklet'!F73</f>
        <v>2400</v>
      </c>
      <c r="F280" s="39">
        <f>SUM(D280:E280)</f>
        <v>85588</v>
      </c>
    </row>
    <row r="281" spans="1:6" ht="12.75">
      <c r="A281" s="19" t="s">
        <v>55</v>
      </c>
      <c r="B281" s="48">
        <f>F228+E228+D228+C228+B228+F174+E174+D174+C174+B174+F123+E123+D123+C123+B123+F70+E70+D70+C70+B70+F18+E18+D18+C18+B18</f>
        <v>1500</v>
      </c>
      <c r="C281" s="56"/>
      <c r="D281" s="39">
        <f>SUM(B281:C281)</f>
        <v>1500</v>
      </c>
      <c r="E281" s="131">
        <f>'1_c_sz_ melléklet'!F74</f>
        <v>0</v>
      </c>
      <c r="F281" s="39">
        <f>SUM(D281:E281)</f>
        <v>1500</v>
      </c>
    </row>
    <row r="282" spans="1:6" ht="12.75">
      <c r="A282" s="179" t="s">
        <v>112</v>
      </c>
      <c r="B282" s="48">
        <f>F229+E229+D229+C229+B229+F175+E175+D175+C175+B175+F124+E124+D124+C124+B124+F71+E71+D71+C71+B71+F19+E19+D19+C19+B19</f>
        <v>120152</v>
      </c>
      <c r="C282" s="48"/>
      <c r="D282" s="39">
        <f>SUM(B282:C282)</f>
        <v>120152</v>
      </c>
      <c r="E282" s="131">
        <f>'1_c_sz_ melléklet'!F75</f>
        <v>0</v>
      </c>
      <c r="F282" s="39">
        <f>SUM(D282:E282)</f>
        <v>120152</v>
      </c>
    </row>
    <row r="283" spans="1:6" ht="9" customHeight="1">
      <c r="A283" s="194"/>
      <c r="B283" s="64"/>
      <c r="C283" s="53"/>
      <c r="D283" s="64"/>
      <c r="E283" s="51"/>
      <c r="F283" s="58"/>
    </row>
    <row r="284" spans="1:6" s="91" customFormat="1" ht="12.75">
      <c r="A284" s="43" t="s">
        <v>92</v>
      </c>
      <c r="B284" s="16">
        <f>SUM(B279:B282)</f>
        <v>422077</v>
      </c>
      <c r="C284" s="16">
        <f>SUM(C279:C282)</f>
        <v>0</v>
      </c>
      <c r="D284" s="16">
        <f>SUM(D279:D282)</f>
        <v>422077</v>
      </c>
      <c r="E284" s="16">
        <f>SUM(E279:E282)</f>
        <v>7000</v>
      </c>
      <c r="F284" s="16">
        <f>SUM(F279:F282)</f>
        <v>429077</v>
      </c>
    </row>
    <row r="285" spans="1:6" ht="7.5" customHeight="1">
      <c r="A285" s="96"/>
      <c r="B285" s="64"/>
      <c r="C285" s="51"/>
      <c r="D285" s="64"/>
      <c r="E285" s="53"/>
      <c r="F285" s="64"/>
    </row>
    <row r="286" spans="1:6" ht="12.75">
      <c r="A286" s="96" t="s">
        <v>58</v>
      </c>
      <c r="B286" s="64"/>
      <c r="C286" s="51"/>
      <c r="D286" s="64"/>
      <c r="E286" s="53"/>
      <c r="F286" s="64"/>
    </row>
    <row r="287" spans="1:6" ht="12.75">
      <c r="A287" s="180" t="s">
        <v>59</v>
      </c>
      <c r="B287" s="39">
        <f>F234+E234+D234+C234+B234+F180+E180+D180+C180+B180+F129+E129+D129+C129+B129+F76+E76+D76+C76+B76+F23+E23+D23+C23+B23</f>
        <v>33203</v>
      </c>
      <c r="C287" s="55"/>
      <c r="D287" s="39">
        <f>SUM(B287:C287)</f>
        <v>33203</v>
      </c>
      <c r="E287" s="56">
        <f>'1_c_sz_ melléklet'!F80</f>
        <v>0</v>
      </c>
      <c r="F287" s="39">
        <f>SUM(D287:E287)</f>
        <v>33203</v>
      </c>
    </row>
    <row r="288" spans="1:6" ht="12.75">
      <c r="A288" s="125" t="s">
        <v>60</v>
      </c>
      <c r="B288" s="39">
        <f>F235+E235+D235+C235+B235+F181+E181+D181+C181+B181+F130+E130+D130+C130+B130+F77+E77+D77+C77+B77+F24+E24+D24+C24+B24</f>
        <v>0</v>
      </c>
      <c r="C288" s="51">
        <v>0</v>
      </c>
      <c r="D288" s="39">
        <f>SUM(B288:C288)</f>
        <v>0</v>
      </c>
      <c r="E288" s="56">
        <f>'1_c_sz_ melléklet'!F81</f>
        <v>0</v>
      </c>
      <c r="F288" s="39">
        <f>SUM(D288:E288)</f>
        <v>0</v>
      </c>
    </row>
    <row r="289" spans="1:6" s="91" customFormat="1" ht="12.75">
      <c r="A289" s="43" t="s">
        <v>135</v>
      </c>
      <c r="B289" s="16">
        <f>B287+B288</f>
        <v>33203</v>
      </c>
      <c r="C289" s="16">
        <f>C287+C288</f>
        <v>0</v>
      </c>
      <c r="D289" s="16">
        <f>D287+D288</f>
        <v>33203</v>
      </c>
      <c r="E289" s="16">
        <f>E287+E288</f>
        <v>0</v>
      </c>
      <c r="F289" s="16">
        <f>F287+F288</f>
        <v>33203</v>
      </c>
    </row>
    <row r="290" spans="1:6" ht="6" customHeight="1">
      <c r="A290" s="96"/>
      <c r="B290" s="64"/>
      <c r="C290" s="51"/>
      <c r="D290" s="64"/>
      <c r="E290" s="64"/>
      <c r="F290" s="53"/>
    </row>
    <row r="291" spans="1:6" ht="12.75">
      <c r="A291" s="62" t="s">
        <v>95</v>
      </c>
      <c r="B291" s="48"/>
      <c r="C291" s="131"/>
      <c r="D291" s="48"/>
      <c r="E291" s="48"/>
      <c r="F291" s="94"/>
    </row>
    <row r="292" spans="1:6" ht="12.75">
      <c r="A292" s="54" t="s">
        <v>59</v>
      </c>
      <c r="B292" s="48">
        <f>F239+E239+D239+C239+B239+F185+E185+D185+C185+B185+F134+E134+D134+C134+B134+F81+E81+D81+C81+B81+F28+E28+D28+C28+B28</f>
        <v>169324</v>
      </c>
      <c r="C292" s="131"/>
      <c r="D292" s="48">
        <f>SUM(B292:C292)</f>
        <v>169324</v>
      </c>
      <c r="E292" s="48">
        <f>'1_c_sz_ melléklet'!F85</f>
        <v>0</v>
      </c>
      <c r="F292" s="39">
        <f>SUM(D292:E292)</f>
        <v>169324</v>
      </c>
    </row>
    <row r="293" spans="1:6" ht="12.75">
      <c r="A293" s="126" t="s">
        <v>60</v>
      </c>
      <c r="B293" s="48">
        <f>F240+E240+D240+C240+B240+F186+E186+D186+C186+B186+F135+E135+D135+C135+B135+F82+E82+D82+C82+B82+F29+E29+D29+C29+B29</f>
        <v>70276</v>
      </c>
      <c r="C293" s="51"/>
      <c r="D293" s="48">
        <f>SUM(B293:C293)</f>
        <v>70276</v>
      </c>
      <c r="E293" s="48">
        <f>'1_c_sz_ melléklet'!F86</f>
        <v>0</v>
      </c>
      <c r="F293" s="39">
        <f>SUM(D293:E293)</f>
        <v>70276</v>
      </c>
    </row>
    <row r="294" spans="1:6" s="91" customFormat="1" ht="12.75">
      <c r="A294" s="43" t="s">
        <v>96</v>
      </c>
      <c r="B294" s="16">
        <f>B292+B293</f>
        <v>239600</v>
      </c>
      <c r="C294" s="16">
        <f>C292+C293</f>
        <v>0</v>
      </c>
      <c r="D294" s="16">
        <f>D292+D293</f>
        <v>239600</v>
      </c>
      <c r="E294" s="16">
        <f>E292+E293</f>
        <v>0</v>
      </c>
      <c r="F294" s="16">
        <f>F292+F293</f>
        <v>239600</v>
      </c>
    </row>
    <row r="295" spans="1:6" ht="18.75" customHeight="1">
      <c r="A295" s="44" t="s">
        <v>64</v>
      </c>
      <c r="B295" s="48"/>
      <c r="C295" s="131"/>
      <c r="D295" s="69"/>
      <c r="E295" s="49"/>
      <c r="F295" s="48"/>
    </row>
    <row r="296" spans="1:6" ht="12.75">
      <c r="A296" s="57" t="s">
        <v>97</v>
      </c>
      <c r="B296" s="39">
        <f>F243+E243+D243+C243+B243+F189+E189+D189+C189+B189+F138+E138+D138+C138+B138+F85+E85+D85+C85+B85+F32+E32+D32+C32+B32</f>
        <v>1000</v>
      </c>
      <c r="C296" s="55"/>
      <c r="D296" s="39">
        <f>SUM(B296:C296)</f>
        <v>1000</v>
      </c>
      <c r="E296" s="40">
        <f>'1_c_sz_ melléklet'!F90</f>
        <v>0</v>
      </c>
      <c r="F296" s="39">
        <f>SUM(D296:E296)</f>
        <v>1000</v>
      </c>
    </row>
    <row r="297" spans="1:6" ht="12.75">
      <c r="A297" s="8" t="s">
        <v>136</v>
      </c>
      <c r="B297" s="64">
        <f>F244+E244+D244+C244+B244+F190+E190+D190+C190+B190+F139+E139+D139+C139+B139+F86+E86+D86+C86+B86+F33+E33+D33+C33+B33</f>
        <v>5000</v>
      </c>
      <c r="C297" s="131"/>
      <c r="D297" s="48">
        <f>SUM(B297:C297)</f>
        <v>5000</v>
      </c>
      <c r="E297" s="72">
        <f>'1_c_sz_ melléklet'!F91</f>
        <v>0</v>
      </c>
      <c r="F297" s="39">
        <f>SUM(D297:E297)</f>
        <v>5000</v>
      </c>
    </row>
    <row r="298" spans="1:6" s="91" customFormat="1" ht="12.75">
      <c r="A298" s="43" t="s">
        <v>99</v>
      </c>
      <c r="B298" s="16">
        <f>B296+B297</f>
        <v>6000</v>
      </c>
      <c r="C298" s="16">
        <f>C296+C297</f>
        <v>0</v>
      </c>
      <c r="D298" s="190">
        <f>D296+D297</f>
        <v>6000</v>
      </c>
      <c r="E298" s="16">
        <f>E296+E297</f>
        <v>0</v>
      </c>
      <c r="F298" s="16">
        <f>SUM(F296:F297)</f>
        <v>6000</v>
      </c>
    </row>
    <row r="299" spans="1:6" ht="18" customHeight="1">
      <c r="A299" s="47" t="s">
        <v>68</v>
      </c>
      <c r="B299" s="109"/>
      <c r="C299" s="69"/>
      <c r="D299" s="166"/>
      <c r="E299" s="109"/>
      <c r="F299" s="48"/>
    </row>
    <row r="300" spans="1:6" ht="12.75">
      <c r="A300" s="38" t="s">
        <v>137</v>
      </c>
      <c r="B300" s="131"/>
      <c r="C300" s="48">
        <v>15000</v>
      </c>
      <c r="D300" s="49">
        <f>SUM(B300:C300)</f>
        <v>15000</v>
      </c>
      <c r="E300" s="131">
        <f>'1_c_sz_ melléklet'!F95</f>
        <v>0</v>
      </c>
      <c r="F300" s="39">
        <f>SUM(D300:E300)</f>
        <v>15000</v>
      </c>
    </row>
    <row r="301" spans="1:6" ht="12.75">
      <c r="A301" s="38" t="s">
        <v>138</v>
      </c>
      <c r="B301" s="149"/>
      <c r="C301" s="58">
        <f>'5_sz_ melléklet'!B26</f>
        <v>257114</v>
      </c>
      <c r="D301" s="49">
        <f>SUM(B301:C301)</f>
        <v>257114</v>
      </c>
      <c r="E301" s="131">
        <f>'1_c_sz_ melléklet'!F96</f>
        <v>0</v>
      </c>
      <c r="F301" s="39">
        <f>SUM(D301:E301)</f>
        <v>257114</v>
      </c>
    </row>
    <row r="302" spans="1:6" s="91" customFormat="1" ht="12.75">
      <c r="A302" s="90" t="s">
        <v>71</v>
      </c>
      <c r="B302" s="60">
        <f>B300+B301</f>
        <v>0</v>
      </c>
      <c r="C302" s="60">
        <f>C300+C301</f>
        <v>272114</v>
      </c>
      <c r="D302" s="16">
        <f>D300+D301</f>
        <v>272114</v>
      </c>
      <c r="E302" s="16">
        <f>E300+E301</f>
        <v>0</v>
      </c>
      <c r="F302" s="16">
        <f>F300+F301</f>
        <v>272114</v>
      </c>
    </row>
    <row r="303" spans="1:6" ht="12.75">
      <c r="A303" s="96"/>
      <c r="B303" s="64"/>
      <c r="C303" s="64"/>
      <c r="D303" s="64"/>
      <c r="E303" s="51"/>
      <c r="F303" s="64"/>
    </row>
    <row r="304" spans="1:6" s="91" customFormat="1" ht="27.75" customHeight="1">
      <c r="A304" s="225" t="s">
        <v>72</v>
      </c>
      <c r="B304" s="74">
        <f>B302+B298+B294+B289+B284+B276</f>
        <v>1817626</v>
      </c>
      <c r="C304" s="74">
        <f>C302+C298+C294+C289+C284+C276</f>
        <v>272114</v>
      </c>
      <c r="D304" s="74">
        <f>D302+D298+D294+D289+D284+D276</f>
        <v>2089740</v>
      </c>
      <c r="E304" s="74">
        <f>E302+E298+E294+E289+E284+E276</f>
        <v>1762158</v>
      </c>
      <c r="F304" s="74">
        <f>F302+F298+F294+F289+F284+F276</f>
        <v>3851898</v>
      </c>
    </row>
    <row r="305" spans="1:6" ht="12.75">
      <c r="A305" s="217"/>
      <c r="B305" s="196"/>
      <c r="C305" s="196"/>
      <c r="D305" s="69"/>
      <c r="E305" s="109"/>
      <c r="F305" s="69"/>
    </row>
    <row r="306" spans="1:6" ht="12.75">
      <c r="A306" s="204" t="s">
        <v>101</v>
      </c>
      <c r="B306" s="76"/>
      <c r="C306" s="221"/>
      <c r="D306" s="48"/>
      <c r="E306" s="48"/>
      <c r="F306" s="94"/>
    </row>
    <row r="307" spans="1:6" ht="12.75">
      <c r="A307" s="70" t="s">
        <v>74</v>
      </c>
      <c r="B307" s="130">
        <f>F255+E255+D255+C255+B255+F201+E201+D201+C201+B201+F149+E149+D149+C149+B149+F97+E97+D97+C97+B97+F44+E44+D44+C44+B44</f>
        <v>0</v>
      </c>
      <c r="C307" s="129"/>
      <c r="D307" s="39">
        <f>SUM(B307:C307)</f>
        <v>0</v>
      </c>
      <c r="E307" s="39"/>
      <c r="F307" s="56">
        <f>SUM(D307:E307)</f>
        <v>0</v>
      </c>
    </row>
    <row r="308" spans="1:6" ht="12.75">
      <c r="A308" s="113" t="s">
        <v>102</v>
      </c>
      <c r="B308" s="130">
        <f>F256+E256+D256+C256+B256+F202+E202+D202+C202+B202+F150+E150+D150+C150+B150+F98+E98+D98+C98+B98+F45+E45+D45+C45+B45</f>
        <v>13728</v>
      </c>
      <c r="C308" s="189"/>
      <c r="D308" s="39">
        <f>SUM(B308:C308)</f>
        <v>13728</v>
      </c>
      <c r="E308" s="39"/>
      <c r="F308" s="56">
        <f>SUM(D308:E308)</f>
        <v>13728</v>
      </c>
    </row>
    <row r="309" spans="1:6" s="91" customFormat="1" ht="12.75">
      <c r="A309" s="90" t="s">
        <v>113</v>
      </c>
      <c r="B309" s="16">
        <f>B307+B308</f>
        <v>13728</v>
      </c>
      <c r="C309" s="16">
        <f>C307+C308</f>
        <v>0</v>
      </c>
      <c r="D309" s="16">
        <f>D307+D308</f>
        <v>13728</v>
      </c>
      <c r="E309" s="16">
        <f>E307+E308</f>
        <v>0</v>
      </c>
      <c r="F309" s="16">
        <f>SUM(F307:F308)</f>
        <v>13728</v>
      </c>
    </row>
    <row r="310" spans="1:6" ht="12.75">
      <c r="A310" s="194"/>
      <c r="B310" s="64"/>
      <c r="C310" s="39"/>
      <c r="D310" s="67"/>
      <c r="E310" s="104"/>
      <c r="F310" s="64"/>
    </row>
    <row r="311" spans="1:6" s="91" customFormat="1" ht="12.75">
      <c r="A311" s="132" t="s">
        <v>140</v>
      </c>
      <c r="B311" s="74">
        <f>B304+B309</f>
        <v>1831354</v>
      </c>
      <c r="C311" s="74">
        <f>C304+C309</f>
        <v>272114</v>
      </c>
      <c r="D311" s="74">
        <f>D304+D309</f>
        <v>2103468</v>
      </c>
      <c r="E311" s="74">
        <f>E304+E309</f>
        <v>1762158</v>
      </c>
      <c r="F311" s="74">
        <f>F304+F309</f>
        <v>3865626</v>
      </c>
    </row>
  </sheetData>
  <sheetProtection/>
  <mergeCells count="23">
    <mergeCell ref="A212:F212"/>
    <mergeCell ref="A261:F261"/>
    <mergeCell ref="A263:E263"/>
    <mergeCell ref="A264:F264"/>
    <mergeCell ref="A265:F265"/>
    <mergeCell ref="A156:E156"/>
    <mergeCell ref="A157:F157"/>
    <mergeCell ref="A158:F158"/>
    <mergeCell ref="A208:F208"/>
    <mergeCell ref="A210:E210"/>
    <mergeCell ref="A211:F211"/>
    <mergeCell ref="A54:F54"/>
    <mergeCell ref="A103:F103"/>
    <mergeCell ref="A105:E105"/>
    <mergeCell ref="A106:F106"/>
    <mergeCell ref="A107:F107"/>
    <mergeCell ref="A155:F155"/>
    <mergeCell ref="A1:E1"/>
    <mergeCell ref="A2:F2"/>
    <mergeCell ref="A3:F3"/>
    <mergeCell ref="A51:F51"/>
    <mergeCell ref="A52:E52"/>
    <mergeCell ref="A53:F5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0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911" t="s">
        <v>175</v>
      </c>
      <c r="B1" s="911"/>
      <c r="C1" s="911"/>
      <c r="D1" s="911"/>
    </row>
    <row r="2" spans="1:4" ht="12.75">
      <c r="A2" s="31"/>
      <c r="B2" s="31"/>
      <c r="C2" s="31"/>
      <c r="D2" s="31"/>
    </row>
    <row r="3" spans="1:4" ht="15.75">
      <c r="A3" s="904" t="s">
        <v>176</v>
      </c>
      <c r="B3" s="904"/>
      <c r="C3" s="904"/>
      <c r="D3" s="904"/>
    </row>
    <row r="4" ht="9" customHeight="1">
      <c r="D4" s="27"/>
    </row>
    <row r="5" spans="1:4" ht="12.75">
      <c r="A5" s="912" t="s">
        <v>34</v>
      </c>
      <c r="B5" s="912"/>
      <c r="C5" s="912"/>
      <c r="D5" s="912"/>
    </row>
    <row r="6" spans="1:4" ht="30" customHeight="1">
      <c r="A6" s="66" t="s">
        <v>177</v>
      </c>
      <c r="B6" s="33" t="s">
        <v>178</v>
      </c>
      <c r="C6" s="227" t="s">
        <v>179</v>
      </c>
      <c r="D6" s="191" t="s">
        <v>180</v>
      </c>
    </row>
    <row r="7" spans="1:64" s="229" customFormat="1" ht="12.75">
      <c r="A7" s="15" t="s">
        <v>181</v>
      </c>
      <c r="B7" s="17">
        <f>SUM(B8:B13)</f>
        <v>0</v>
      </c>
      <c r="C7" s="17">
        <f>SUM(C8:C13)</f>
        <v>33203</v>
      </c>
      <c r="D7" s="17">
        <f>B7+C7</f>
        <v>33203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</row>
    <row r="8" spans="1:64" ht="12.75">
      <c r="A8" s="19" t="s">
        <v>182</v>
      </c>
      <c r="B8" s="230"/>
      <c r="C8" s="231"/>
      <c r="D8" s="2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12.75">
      <c r="A9" s="8" t="s">
        <v>183</v>
      </c>
      <c r="B9" s="232"/>
      <c r="C9" s="233">
        <v>32632</v>
      </c>
      <c r="D9" s="9">
        <f>SUM(B9+C9)</f>
        <v>32632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2.75">
      <c r="A10" s="8" t="s">
        <v>184</v>
      </c>
      <c r="B10" s="232"/>
      <c r="C10" s="233">
        <v>571</v>
      </c>
      <c r="D10" s="9">
        <f>C10</f>
        <v>571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2.75">
      <c r="A11" s="8" t="s">
        <v>185</v>
      </c>
      <c r="B11" s="232"/>
      <c r="C11" s="233"/>
      <c r="D11" s="21">
        <f aca="true" t="shared" si="0" ref="D11:D16">SUM(B11+C11)</f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2.75">
      <c r="A12" s="234"/>
      <c r="B12" s="235"/>
      <c r="C12" s="236"/>
      <c r="D12" s="21">
        <f t="shared" si="0"/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2.75">
      <c r="A13" s="234"/>
      <c r="B13" s="235"/>
      <c r="C13" s="236"/>
      <c r="D13" s="2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229" customFormat="1" ht="12.75">
      <c r="A14" s="15" t="s">
        <v>186</v>
      </c>
      <c r="B14" s="17">
        <v>0</v>
      </c>
      <c r="C14" s="238">
        <v>0</v>
      </c>
      <c r="D14" s="17">
        <f t="shared" si="0"/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</row>
    <row r="15" spans="1:64" ht="12.75">
      <c r="A15" s="19" t="s">
        <v>88</v>
      </c>
      <c r="B15" s="230"/>
      <c r="C15" s="231"/>
      <c r="D15" s="239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4" ht="12.75">
      <c r="A16" s="8"/>
      <c r="B16" s="232"/>
      <c r="C16" s="233"/>
      <c r="D16" s="21">
        <f t="shared" si="0"/>
        <v>0</v>
      </c>
    </row>
    <row r="17" spans="1:4" s="91" customFormat="1" ht="12.75">
      <c r="A17" s="90" t="s">
        <v>187</v>
      </c>
      <c r="B17" s="17">
        <f>B7+B14</f>
        <v>0</v>
      </c>
      <c r="C17" s="238">
        <f>C7+C14</f>
        <v>33203</v>
      </c>
      <c r="D17" s="17">
        <f>D7+D14</f>
        <v>33203</v>
      </c>
    </row>
    <row r="19" spans="1:4" ht="12.75">
      <c r="A19" s="911" t="s">
        <v>188</v>
      </c>
      <c r="B19" s="911"/>
      <c r="C19" s="911"/>
      <c r="D19" s="911"/>
    </row>
    <row r="20" spans="1:4" ht="12.75">
      <c r="A20" s="31"/>
      <c r="B20" s="31"/>
      <c r="C20" s="31"/>
      <c r="D20" s="31"/>
    </row>
    <row r="21" spans="1:4" ht="15.75">
      <c r="A21" s="904" t="s">
        <v>189</v>
      </c>
      <c r="B21" s="904"/>
      <c r="C21" s="904"/>
      <c r="D21" s="904"/>
    </row>
    <row r="23" spans="1:4" ht="12.75">
      <c r="A23" s="912" t="s">
        <v>34</v>
      </c>
      <c r="B23" s="912"/>
      <c r="C23" s="912"/>
      <c r="D23" s="912"/>
    </row>
    <row r="24" spans="1:4" ht="30" customHeight="1">
      <c r="A24" s="90" t="s">
        <v>177</v>
      </c>
      <c r="B24" s="43" t="s">
        <v>178</v>
      </c>
      <c r="C24" s="240" t="s">
        <v>179</v>
      </c>
      <c r="D24" s="241" t="s">
        <v>180</v>
      </c>
    </row>
    <row r="25" spans="1:4" s="91" customFormat="1" ht="12.75">
      <c r="A25" s="15" t="s">
        <v>181</v>
      </c>
      <c r="B25" s="16">
        <v>0</v>
      </c>
      <c r="C25" s="242">
        <f>SUM(C26:C41)</f>
        <v>169324</v>
      </c>
      <c r="D25" s="16">
        <f>B25+C25</f>
        <v>169324</v>
      </c>
    </row>
    <row r="26" spans="1:4" ht="25.5">
      <c r="A26" s="243" t="s">
        <v>190</v>
      </c>
      <c r="B26" s="48">
        <v>0</v>
      </c>
      <c r="C26" s="49">
        <v>10000</v>
      </c>
      <c r="D26" s="20">
        <f aca="true" t="shared" si="1" ref="D26:D48">B26+C26</f>
        <v>10000</v>
      </c>
    </row>
    <row r="27" spans="1:4" ht="12.75">
      <c r="A27" s="243" t="s">
        <v>191</v>
      </c>
      <c r="B27" s="48"/>
      <c r="C27" s="49">
        <v>9000</v>
      </c>
      <c r="D27" s="20">
        <f t="shared" si="1"/>
        <v>9000</v>
      </c>
    </row>
    <row r="28" spans="1:4" ht="12.75">
      <c r="A28" s="19" t="s">
        <v>192</v>
      </c>
      <c r="B28" s="48">
        <v>0</v>
      </c>
      <c r="C28" s="49">
        <v>7000</v>
      </c>
      <c r="D28" s="20">
        <f t="shared" si="1"/>
        <v>7000</v>
      </c>
    </row>
    <row r="29" spans="1:4" ht="12.75">
      <c r="A29" s="19" t="s">
        <v>193</v>
      </c>
      <c r="B29" s="48"/>
      <c r="C29" s="49">
        <v>41000</v>
      </c>
      <c r="D29" s="20">
        <f t="shared" si="1"/>
        <v>41000</v>
      </c>
    </row>
    <row r="30" spans="1:4" ht="12.75">
      <c r="A30" s="19" t="s">
        <v>194</v>
      </c>
      <c r="B30" s="48">
        <v>0</v>
      </c>
      <c r="C30" s="49">
        <v>24000</v>
      </c>
      <c r="D30" s="20">
        <f t="shared" si="1"/>
        <v>24000</v>
      </c>
    </row>
    <row r="31" spans="1:4" ht="12.75">
      <c r="A31" s="19" t="s">
        <v>195</v>
      </c>
      <c r="B31" s="48">
        <v>0</v>
      </c>
      <c r="C31" s="49">
        <v>3700</v>
      </c>
      <c r="D31" s="20">
        <f t="shared" si="1"/>
        <v>3700</v>
      </c>
    </row>
    <row r="32" spans="1:4" ht="12.75">
      <c r="A32" s="19" t="s">
        <v>196</v>
      </c>
      <c r="B32" s="48">
        <v>0</v>
      </c>
      <c r="C32" s="49">
        <v>7215</v>
      </c>
      <c r="D32" s="20">
        <f t="shared" si="1"/>
        <v>7215</v>
      </c>
    </row>
    <row r="33" spans="1:4" ht="12.75">
      <c r="A33" s="19" t="s">
        <v>197</v>
      </c>
      <c r="B33" s="48">
        <v>0</v>
      </c>
      <c r="C33" s="49">
        <v>2335</v>
      </c>
      <c r="D33" s="20">
        <f t="shared" si="1"/>
        <v>2335</v>
      </c>
    </row>
    <row r="34" spans="1:4" ht="12.75">
      <c r="A34" s="8" t="s">
        <v>198</v>
      </c>
      <c r="B34" s="39">
        <v>0</v>
      </c>
      <c r="C34" s="40">
        <v>0</v>
      </c>
      <c r="D34" s="244">
        <f t="shared" si="1"/>
        <v>0</v>
      </c>
    </row>
    <row r="35" spans="1:4" ht="12.75">
      <c r="A35" s="8" t="s">
        <v>199</v>
      </c>
      <c r="B35" s="39">
        <v>0</v>
      </c>
      <c r="C35" s="40">
        <v>24000</v>
      </c>
      <c r="D35" s="244">
        <f t="shared" si="1"/>
        <v>24000</v>
      </c>
    </row>
    <row r="36" spans="1:4" ht="12.75">
      <c r="A36" s="8" t="s">
        <v>200</v>
      </c>
      <c r="B36" s="39">
        <v>0</v>
      </c>
      <c r="C36" s="40">
        <v>19525</v>
      </c>
      <c r="D36" s="244">
        <f t="shared" si="1"/>
        <v>19525</v>
      </c>
    </row>
    <row r="37" spans="1:4" ht="12.75">
      <c r="A37" s="8" t="s">
        <v>201</v>
      </c>
      <c r="B37" s="39">
        <v>0</v>
      </c>
      <c r="C37" s="40">
        <v>15000</v>
      </c>
      <c r="D37" s="244">
        <f t="shared" si="1"/>
        <v>15000</v>
      </c>
    </row>
    <row r="38" spans="1:4" ht="12.75">
      <c r="A38" s="8" t="s">
        <v>202</v>
      </c>
      <c r="B38" s="39">
        <v>0</v>
      </c>
      <c r="C38" s="40">
        <v>416</v>
      </c>
      <c r="D38" s="244">
        <f t="shared" si="1"/>
        <v>416</v>
      </c>
    </row>
    <row r="39" spans="1:4" ht="12.75">
      <c r="A39" s="8" t="s">
        <v>203</v>
      </c>
      <c r="B39" s="39">
        <v>0</v>
      </c>
      <c r="C39" s="56">
        <v>1156</v>
      </c>
      <c r="D39" s="244">
        <f t="shared" si="1"/>
        <v>1156</v>
      </c>
    </row>
    <row r="40" spans="1:4" ht="12.75">
      <c r="A40" s="8" t="s">
        <v>204</v>
      </c>
      <c r="B40" s="39"/>
      <c r="C40" s="40">
        <v>3977</v>
      </c>
      <c r="D40" s="244">
        <f t="shared" si="1"/>
        <v>3977</v>
      </c>
    </row>
    <row r="41" spans="1:4" ht="12.75">
      <c r="A41" s="65" t="s">
        <v>205</v>
      </c>
      <c r="B41" s="64"/>
      <c r="C41" s="72">
        <v>1000</v>
      </c>
      <c r="D41" s="20">
        <f t="shared" si="1"/>
        <v>1000</v>
      </c>
    </row>
    <row r="42" spans="1:4" ht="12.75">
      <c r="A42" s="15" t="s">
        <v>206</v>
      </c>
      <c r="B42" s="16">
        <v>0</v>
      </c>
      <c r="C42" s="242">
        <f>SUM(C43:C48)</f>
        <v>70276</v>
      </c>
      <c r="D42" s="16">
        <f t="shared" si="1"/>
        <v>70276</v>
      </c>
    </row>
    <row r="43" spans="1:4" ht="12.75">
      <c r="A43" s="19" t="s">
        <v>207</v>
      </c>
      <c r="B43" s="48">
        <v>0</v>
      </c>
      <c r="C43" s="49">
        <v>30876</v>
      </c>
      <c r="D43" s="20">
        <f t="shared" si="1"/>
        <v>30876</v>
      </c>
    </row>
    <row r="44" spans="1:4" ht="12.75">
      <c r="A44" s="19" t="s">
        <v>208</v>
      </c>
      <c r="B44" s="48"/>
      <c r="C44" s="49">
        <v>18000</v>
      </c>
      <c r="D44" s="20">
        <f t="shared" si="1"/>
        <v>18000</v>
      </c>
    </row>
    <row r="45" spans="1:4" ht="12.75">
      <c r="A45" s="8" t="s">
        <v>209</v>
      </c>
      <c r="B45" s="39">
        <v>0</v>
      </c>
      <c r="C45" s="40">
        <v>1000</v>
      </c>
      <c r="D45" s="244">
        <f t="shared" si="1"/>
        <v>1000</v>
      </c>
    </row>
    <row r="46" spans="1:4" ht="12.75">
      <c r="A46" s="234" t="s">
        <v>210</v>
      </c>
      <c r="B46" s="58">
        <v>0</v>
      </c>
      <c r="C46" s="42">
        <v>5000</v>
      </c>
      <c r="D46" s="244">
        <f t="shared" si="1"/>
        <v>5000</v>
      </c>
    </row>
    <row r="47" spans="1:4" ht="12.75">
      <c r="A47" s="12" t="s">
        <v>211</v>
      </c>
      <c r="B47" s="58"/>
      <c r="C47" s="42">
        <v>15000</v>
      </c>
      <c r="D47" s="244">
        <f t="shared" si="1"/>
        <v>15000</v>
      </c>
    </row>
    <row r="48" spans="1:4" ht="12.75">
      <c r="A48" s="245" t="s">
        <v>212</v>
      </c>
      <c r="B48" s="58"/>
      <c r="C48" s="42">
        <v>400</v>
      </c>
      <c r="D48" s="244">
        <f t="shared" si="1"/>
        <v>400</v>
      </c>
    </row>
    <row r="49" spans="1:4" ht="12.75">
      <c r="A49" s="90" t="s">
        <v>187</v>
      </c>
      <c r="B49" s="16">
        <f>B25+B42</f>
        <v>0</v>
      </c>
      <c r="C49" s="16">
        <f>C25+C42</f>
        <v>239600</v>
      </c>
      <c r="D49" s="16">
        <f>D25+D42</f>
        <v>239600</v>
      </c>
    </row>
    <row r="50" spans="1:4" s="91" customFormat="1" ht="12.75">
      <c r="A50"/>
      <c r="B50"/>
      <c r="C50"/>
      <c r="D50"/>
    </row>
  </sheetData>
  <sheetProtection/>
  <mergeCells count="6">
    <mergeCell ref="A1:D1"/>
    <mergeCell ref="A3:D3"/>
    <mergeCell ref="A5:D5"/>
    <mergeCell ref="A19:D19"/>
    <mergeCell ref="A21:D21"/>
    <mergeCell ref="A23:D2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246" t="s">
        <v>213</v>
      </c>
    </row>
    <row r="3" ht="15.75">
      <c r="A3" s="29"/>
    </row>
    <row r="4" spans="1:2" ht="15.75">
      <c r="A4" s="904" t="s">
        <v>214</v>
      </c>
      <c r="B4" s="904"/>
    </row>
    <row r="5" ht="15.75">
      <c r="A5" s="29"/>
    </row>
    <row r="6" ht="12.75">
      <c r="B6" s="31" t="s">
        <v>215</v>
      </c>
    </row>
    <row r="7" spans="1:2" ht="15.75">
      <c r="A7" s="118" t="s">
        <v>216</v>
      </c>
      <c r="B7" s="247" t="s">
        <v>217</v>
      </c>
    </row>
    <row r="8" spans="1:2" ht="12.75">
      <c r="A8" s="248"/>
      <c r="B8" s="249" t="s">
        <v>40</v>
      </c>
    </row>
    <row r="9" spans="1:2" ht="12.75">
      <c r="A9" s="250" t="s">
        <v>218</v>
      </c>
      <c r="B9" s="201"/>
    </row>
    <row r="10" spans="1:2" ht="12.75">
      <c r="A10" s="88" t="s">
        <v>219</v>
      </c>
      <c r="B10" s="39">
        <v>1000</v>
      </c>
    </row>
    <row r="11" spans="1:2" ht="12.75">
      <c r="A11" s="194"/>
      <c r="B11" s="39"/>
    </row>
    <row r="12" spans="1:2" s="91" customFormat="1" ht="12.75">
      <c r="A12" s="250" t="s">
        <v>220</v>
      </c>
      <c r="B12" s="6">
        <f>SUM(B10:B11)</f>
        <v>1000</v>
      </c>
    </row>
    <row r="13" spans="1:2" ht="12.75">
      <c r="A13" s="194"/>
      <c r="B13" s="65"/>
    </row>
    <row r="14" spans="1:2" ht="12.75">
      <c r="A14" s="250" t="s">
        <v>221</v>
      </c>
      <c r="B14" s="6"/>
    </row>
    <row r="15" spans="1:2" ht="12.75">
      <c r="A15" s="88" t="s">
        <v>222</v>
      </c>
      <c r="B15" s="39">
        <v>5000</v>
      </c>
    </row>
    <row r="16" spans="1:2" ht="12.75">
      <c r="A16" s="88"/>
      <c r="B16" s="39"/>
    </row>
    <row r="17" spans="1:2" ht="12.75">
      <c r="A17" s="88"/>
      <c r="B17" s="39"/>
    </row>
    <row r="18" spans="1:2" ht="12.75">
      <c r="A18" s="250" t="s">
        <v>223</v>
      </c>
      <c r="B18" s="6">
        <f>SUM(B15:B16)</f>
        <v>5000</v>
      </c>
    </row>
    <row r="19" spans="1:2" ht="12.75">
      <c r="A19" s="88"/>
      <c r="B19" s="39"/>
    </row>
    <row r="20" spans="1:2" ht="12.75">
      <c r="A20" s="88"/>
      <c r="B20" s="39"/>
    </row>
    <row r="21" spans="1:2" ht="12.75">
      <c r="A21" s="251"/>
      <c r="B21" s="78"/>
    </row>
    <row r="22" spans="1:2" ht="12.75">
      <c r="A22" s="43" t="s">
        <v>224</v>
      </c>
      <c r="B22" s="16">
        <f>B12+B18</f>
        <v>6000</v>
      </c>
    </row>
    <row r="25" ht="12.75">
      <c r="B25" t="s">
        <v>225</v>
      </c>
    </row>
    <row r="27" spans="1:2" ht="12.75">
      <c r="A27" s="909" t="s">
        <v>226</v>
      </c>
      <c r="B27" s="909"/>
    </row>
    <row r="30" ht="12.75">
      <c r="B30" t="s">
        <v>215</v>
      </c>
    </row>
    <row r="31" spans="1:2" ht="30.75" customHeight="1">
      <c r="A31" s="252" t="s">
        <v>216</v>
      </c>
      <c r="B31" s="253" t="s">
        <v>180</v>
      </c>
    </row>
    <row r="32" spans="1:2" ht="12.75">
      <c r="A32" s="254"/>
      <c r="B32" s="162"/>
    </row>
    <row r="33" spans="1:2" ht="12.75">
      <c r="A33" s="254"/>
      <c r="B33" s="162"/>
    </row>
    <row r="34" spans="1:2" ht="12.75">
      <c r="A34" s="254"/>
      <c r="B34" s="162"/>
    </row>
    <row r="35" spans="1:2" ht="12.75">
      <c r="A35" s="255"/>
      <c r="B35" s="152"/>
    </row>
    <row r="36" spans="1:2" ht="12.75">
      <c r="A36" s="256" t="s">
        <v>227</v>
      </c>
      <c r="B36" s="257">
        <v>0</v>
      </c>
    </row>
    <row r="37" spans="1:2" ht="12.75">
      <c r="A37" s="258"/>
      <c r="B37" s="145"/>
    </row>
    <row r="38" spans="1:2" ht="12.75">
      <c r="A38" s="254" t="s">
        <v>179</v>
      </c>
      <c r="B38" s="162"/>
    </row>
    <row r="39" spans="1:2" ht="12.75">
      <c r="A39" s="254" t="s">
        <v>228</v>
      </c>
      <c r="B39" s="148">
        <v>1500</v>
      </c>
    </row>
    <row r="40" spans="1:2" ht="12.75">
      <c r="A40" s="255" t="s">
        <v>229</v>
      </c>
      <c r="B40" s="259"/>
    </row>
    <row r="41" spans="1:2" ht="12.75">
      <c r="A41" s="256" t="s">
        <v>230</v>
      </c>
      <c r="B41" s="260">
        <f>SUM(B39:B40)</f>
        <v>1500</v>
      </c>
    </row>
    <row r="42" spans="1:2" ht="12.75">
      <c r="A42" s="258"/>
      <c r="B42" s="145"/>
    </row>
    <row r="43" spans="1:2" ht="12.75">
      <c r="A43" s="255"/>
      <c r="B43" s="152"/>
    </row>
    <row r="44" spans="1:2" ht="12.75">
      <c r="A44" s="256" t="s">
        <v>231</v>
      </c>
      <c r="B44" s="260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42">
      <selection activeCell="E22" sqref="E22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905" t="s">
        <v>232</v>
      </c>
      <c r="B1" s="905"/>
      <c r="C1" s="905"/>
      <c r="D1" s="905"/>
    </row>
    <row r="2" spans="1:4" ht="15.75">
      <c r="A2" s="904" t="s">
        <v>233</v>
      </c>
      <c r="B2" s="904"/>
      <c r="C2" s="904"/>
      <c r="D2" s="904"/>
    </row>
    <row r="3" ht="12.75">
      <c r="D3" s="31" t="s">
        <v>34</v>
      </c>
    </row>
    <row r="4" spans="1:4" ht="15.75">
      <c r="A4" s="261" t="s">
        <v>234</v>
      </c>
      <c r="B4" s="33" t="s">
        <v>36</v>
      </c>
      <c r="C4" s="33" t="s">
        <v>235</v>
      </c>
      <c r="D4" s="262" t="s">
        <v>217</v>
      </c>
    </row>
    <row r="5" spans="1:4" ht="12.75">
      <c r="A5" s="263"/>
      <c r="B5" s="35" t="s">
        <v>40</v>
      </c>
      <c r="C5" s="35" t="s">
        <v>40</v>
      </c>
      <c r="D5" s="264" t="s">
        <v>40</v>
      </c>
    </row>
    <row r="6" spans="1:4" ht="15.75">
      <c r="A6" s="107" t="s">
        <v>236</v>
      </c>
      <c r="B6" s="265">
        <f>B7+B8</f>
        <v>26066</v>
      </c>
      <c r="C6" s="266">
        <f>C7+C8</f>
        <v>1430886</v>
      </c>
      <c r="D6" s="266">
        <f>D7+D8</f>
        <v>1456952</v>
      </c>
    </row>
    <row r="7" spans="1:4" ht="15.75">
      <c r="A7" s="267" t="s">
        <v>237</v>
      </c>
      <c r="B7" s="268">
        <f>'2_a_d_sz_ melléklet'!B11</f>
        <v>26066</v>
      </c>
      <c r="C7" s="268">
        <f>'2_a_d_sz_ melléklet'!C11</f>
        <v>215194</v>
      </c>
      <c r="D7" s="269">
        <f>SUM(B7:C7)</f>
        <v>241260</v>
      </c>
    </row>
    <row r="8" spans="1:4" s="81" customFormat="1" ht="15.75">
      <c r="A8" s="270" t="s">
        <v>238</v>
      </c>
      <c r="B8" s="271">
        <f>B9+B10+B11+B12</f>
        <v>0</v>
      </c>
      <c r="C8" s="272">
        <f>C9+C10+C11+C12</f>
        <v>1215692</v>
      </c>
      <c r="D8" s="272">
        <f>D9+D10+D11+D12</f>
        <v>1215692</v>
      </c>
    </row>
    <row r="9" spans="1:4" ht="15.75">
      <c r="A9" s="273" t="s">
        <v>239</v>
      </c>
      <c r="B9" s="274">
        <v>0</v>
      </c>
      <c r="C9" s="275">
        <f>'2_a_d_sz_ melléklet'!B34</f>
        <v>659000</v>
      </c>
      <c r="D9" s="276">
        <f>SUM(C9)</f>
        <v>659000</v>
      </c>
    </row>
    <row r="10" spans="1:4" ht="15.75">
      <c r="A10" s="277" t="s">
        <v>240</v>
      </c>
      <c r="B10" s="274">
        <v>0</v>
      </c>
      <c r="C10" s="278">
        <f>'2_a_d_sz_ melléklet'!B50</f>
        <v>527128</v>
      </c>
      <c r="D10" s="279">
        <f>SUM(C10)</f>
        <v>527128</v>
      </c>
    </row>
    <row r="11" spans="1:4" ht="15.75">
      <c r="A11" s="277" t="s">
        <v>241</v>
      </c>
      <c r="B11" s="274">
        <v>0</v>
      </c>
      <c r="C11" s="278">
        <f>'2_a_d_sz_ melléklet'!B35</f>
        <v>5000</v>
      </c>
      <c r="D11" s="279">
        <f>SUM(C11)</f>
        <v>5000</v>
      </c>
    </row>
    <row r="12" spans="1:4" ht="15.75">
      <c r="A12" s="280" t="s">
        <v>242</v>
      </c>
      <c r="B12" s="281">
        <v>0</v>
      </c>
      <c r="C12" s="282">
        <f>'2_a_d_sz_ melléklet'!B36</f>
        <v>24564</v>
      </c>
      <c r="D12" s="283">
        <f>SUM(C12)</f>
        <v>24564</v>
      </c>
    </row>
    <row r="13" spans="1:4" ht="15.75">
      <c r="A13" s="107" t="s">
        <v>243</v>
      </c>
      <c r="B13" s="284">
        <f>B14+B20+B25</f>
        <v>298559</v>
      </c>
      <c r="C13" s="285">
        <f>C14+C20+C25</f>
        <v>2002517.137</v>
      </c>
      <c r="D13" s="286">
        <f>SUM(B13:C13)</f>
        <v>2301076.137</v>
      </c>
    </row>
    <row r="14" spans="1:4" s="81" customFormat="1" ht="15.75">
      <c r="A14" s="267" t="s">
        <v>244</v>
      </c>
      <c r="B14" s="268">
        <f>B15+B16+B17+B18+B19</f>
        <v>0</v>
      </c>
      <c r="C14" s="268">
        <f>C15+C16+C17+C18+C19</f>
        <v>1724251.137</v>
      </c>
      <c r="D14" s="268">
        <f aca="true" t="shared" si="0" ref="D14:D19">SUM(C14)</f>
        <v>1724251.137</v>
      </c>
    </row>
    <row r="15" spans="1:4" ht="15.75">
      <c r="A15" s="287" t="s">
        <v>245</v>
      </c>
      <c r="B15" s="274">
        <v>0</v>
      </c>
      <c r="C15" s="274">
        <f>'2_e_1_sz_ melléklet'!B117</f>
        <v>1154325.137</v>
      </c>
      <c r="D15" s="274">
        <f t="shared" si="0"/>
        <v>1154325.137</v>
      </c>
    </row>
    <row r="16" spans="1:4" ht="15.75">
      <c r="A16" s="288" t="s">
        <v>246</v>
      </c>
      <c r="B16" s="274">
        <v>0</v>
      </c>
      <c r="C16" s="281">
        <f>'2_f_h_sz_ melléklet'!D19</f>
        <v>1142</v>
      </c>
      <c r="D16" s="274">
        <f t="shared" si="0"/>
        <v>1142</v>
      </c>
    </row>
    <row r="17" spans="1:4" ht="15.75">
      <c r="A17" s="289" t="s">
        <v>247</v>
      </c>
      <c r="B17" s="290">
        <v>0</v>
      </c>
      <c r="C17" s="290">
        <f>'2_f_h_sz_ melléklet'!D20</f>
        <v>278524</v>
      </c>
      <c r="D17" s="274">
        <f t="shared" si="0"/>
        <v>278524</v>
      </c>
    </row>
    <row r="18" spans="1:4" ht="15.75">
      <c r="A18" s="291" t="s">
        <v>248</v>
      </c>
      <c r="B18" s="274">
        <v>0</v>
      </c>
      <c r="C18" s="274">
        <f>'2_e_1_sz_ melléklet'!B132+'2_e_1_sz_ melléklet'!B142</f>
        <v>290260</v>
      </c>
      <c r="D18" s="274">
        <f t="shared" si="0"/>
        <v>290260</v>
      </c>
    </row>
    <row r="19" spans="1:4" ht="15.75">
      <c r="A19" s="292" t="s">
        <v>249</v>
      </c>
      <c r="B19" s="293">
        <v>0</v>
      </c>
      <c r="C19" s="293">
        <f>'2_f_h_sz_ melléklet'!D36</f>
        <v>0</v>
      </c>
      <c r="D19" s="274">
        <f t="shared" si="0"/>
        <v>0</v>
      </c>
    </row>
    <row r="20" spans="1:4" s="81" customFormat="1" ht="15.75">
      <c r="A20" s="267" t="s">
        <v>250</v>
      </c>
      <c r="B20" s="268">
        <f>B21+B23</f>
        <v>298559</v>
      </c>
      <c r="C20" s="268">
        <f>C21+C23</f>
        <v>278266</v>
      </c>
      <c r="D20" s="268">
        <f>D21+D23</f>
        <v>576825</v>
      </c>
    </row>
    <row r="21" spans="1:4" ht="15.75">
      <c r="A21" s="294" t="s">
        <v>251</v>
      </c>
      <c r="B21" s="274">
        <f>'2_f_h_sz_ melléklet'!B64</f>
        <v>298559</v>
      </c>
      <c r="C21" s="274">
        <f>'2_f_h_sz_ melléklet'!C70</f>
        <v>91848</v>
      </c>
      <c r="D21" s="274">
        <f>SUM(B21:C21)</f>
        <v>390407</v>
      </c>
    </row>
    <row r="22" spans="1:4" ht="15.75">
      <c r="A22" s="95" t="s">
        <v>252</v>
      </c>
      <c r="B22" s="281">
        <f>'2_k_ sz_ melléklet'!D18</f>
        <v>298559</v>
      </c>
      <c r="C22" s="281">
        <f>'2_k_ sz_ melléklet'!B64</f>
        <v>1501</v>
      </c>
      <c r="D22" s="274">
        <f>SUM(B22:C22)</f>
        <v>300060</v>
      </c>
    </row>
    <row r="23" spans="1:4" ht="15.75">
      <c r="A23" s="95" t="s">
        <v>253</v>
      </c>
      <c r="B23" s="290">
        <f>'2_f_h_sz_ melléklet'!B81</f>
        <v>0</v>
      </c>
      <c r="C23" s="290">
        <f>'2_f_h_sz_ melléklet'!C81</f>
        <v>186418</v>
      </c>
      <c r="D23" s="290">
        <f>SUM(B23:C23)</f>
        <v>186418</v>
      </c>
    </row>
    <row r="24" spans="1:4" ht="15.75">
      <c r="A24" s="295" t="s">
        <v>252</v>
      </c>
      <c r="B24" s="296"/>
      <c r="C24" s="296"/>
      <c r="D24" s="296"/>
    </row>
    <row r="25" spans="1:4" s="81" customFormat="1" ht="15.75">
      <c r="A25" s="297" t="s">
        <v>254</v>
      </c>
      <c r="B25" s="268">
        <v>0</v>
      </c>
      <c r="C25" s="268">
        <v>0</v>
      </c>
      <c r="D25" s="269">
        <v>0</v>
      </c>
    </row>
    <row r="26" spans="1:4" s="91" customFormat="1" ht="15.75">
      <c r="A26" s="107" t="s">
        <v>255</v>
      </c>
      <c r="B26" s="265">
        <f>B27+B28+B30+B32</f>
        <v>0</v>
      </c>
      <c r="C26" s="265">
        <f>C27+C29+C30+C32</f>
        <v>450000</v>
      </c>
      <c r="D26" s="265">
        <f>D27+D29+D30+D32</f>
        <v>450000</v>
      </c>
    </row>
    <row r="27" spans="1:4" ht="15.75">
      <c r="A27" s="113" t="s">
        <v>256</v>
      </c>
      <c r="B27" s="293">
        <f>'2_i_j_sz_ mell_'!C20</f>
        <v>0</v>
      </c>
      <c r="C27" s="293">
        <f>'2_i_j_sz_ mell_'!D20</f>
        <v>0</v>
      </c>
      <c r="D27" s="293">
        <f>'2_i_j_sz_ mell_'!E20</f>
        <v>0</v>
      </c>
    </row>
    <row r="28" spans="1:4" ht="15.75">
      <c r="A28" s="298" t="s">
        <v>257</v>
      </c>
      <c r="B28" s="283"/>
      <c r="C28" s="283"/>
      <c r="D28" s="283"/>
    </row>
    <row r="29" spans="1:4" ht="15.75">
      <c r="A29" s="299" t="s">
        <v>258</v>
      </c>
      <c r="B29" s="276">
        <v>0</v>
      </c>
      <c r="C29" s="276">
        <f>'2_i_j_sz_ mell_'!E33</f>
        <v>167000</v>
      </c>
      <c r="D29" s="276">
        <f>SUM(C29)</f>
        <v>167000</v>
      </c>
    </row>
    <row r="30" spans="1:4" ht="15.75">
      <c r="A30" s="89" t="s">
        <v>259</v>
      </c>
      <c r="B30" s="293">
        <v>0</v>
      </c>
      <c r="C30" s="290">
        <f>'2_i_j_sz_ mell_'!E45</f>
        <v>276000</v>
      </c>
      <c r="D30" s="290">
        <f>SUM(C30)</f>
        <v>276000</v>
      </c>
    </row>
    <row r="31" spans="1:4" ht="15.75">
      <c r="A31" s="300" t="s">
        <v>260</v>
      </c>
      <c r="B31" s="283"/>
      <c r="C31" s="283"/>
      <c r="D31" s="283"/>
    </row>
    <row r="32" spans="1:4" ht="15.75">
      <c r="A32" s="301" t="s">
        <v>261</v>
      </c>
      <c r="B32" s="302">
        <f>'2_i_j_sz_ mell_'!C66</f>
        <v>0</v>
      </c>
      <c r="C32" s="302">
        <f>'2_i_j_sz_ mell_'!D58</f>
        <v>7000</v>
      </c>
      <c r="D32" s="302">
        <f>SUM(B32:C32)</f>
        <v>7000</v>
      </c>
    </row>
    <row r="33" spans="1:4" s="91" customFormat="1" ht="28.5" customHeight="1">
      <c r="A33" s="225" t="s">
        <v>262</v>
      </c>
      <c r="B33" s="265">
        <f>B34+B35+B36</f>
        <v>0</v>
      </c>
      <c r="C33" s="265">
        <f>C34+C35+C36</f>
        <v>4500</v>
      </c>
      <c r="D33" s="265">
        <f>D34+D35+D36</f>
        <v>4500</v>
      </c>
    </row>
    <row r="34" spans="1:4" ht="15.75">
      <c r="A34" s="303" t="s">
        <v>263</v>
      </c>
      <c r="B34" s="304">
        <v>0</v>
      </c>
      <c r="C34" s="305">
        <f>'2_i_j_sz_ mell_'!E78</f>
        <v>0</v>
      </c>
      <c r="D34" s="304">
        <f>SUM(B34:C34)</f>
        <v>0</v>
      </c>
    </row>
    <row r="35" spans="1:4" ht="15.75">
      <c r="A35" s="89" t="s">
        <v>264</v>
      </c>
      <c r="B35" s="290">
        <v>0</v>
      </c>
      <c r="C35" s="278">
        <f>'2_i_j_sz_ mell_'!E79</f>
        <v>4500</v>
      </c>
      <c r="D35" s="290">
        <f>SUM(B35:C35)</f>
        <v>4500</v>
      </c>
    </row>
    <row r="36" spans="1:4" ht="15.75">
      <c r="A36" s="89" t="s">
        <v>265</v>
      </c>
      <c r="B36" s="274">
        <v>0</v>
      </c>
      <c r="C36" s="306">
        <v>0</v>
      </c>
      <c r="D36" s="296">
        <f>SUM(B36:C36)</f>
        <v>0</v>
      </c>
    </row>
    <row r="37" spans="1:4" s="91" customFormat="1" ht="15.75">
      <c r="A37" s="107" t="s">
        <v>266</v>
      </c>
      <c r="B37" s="265">
        <f aca="true" t="shared" si="1" ref="B37:D38">B38+B39</f>
        <v>0</v>
      </c>
      <c r="C37" s="266">
        <f t="shared" si="1"/>
        <v>0</v>
      </c>
      <c r="D37" s="265">
        <f t="shared" si="1"/>
        <v>0</v>
      </c>
    </row>
    <row r="38" spans="1:4" ht="15.75">
      <c r="A38" s="307" t="s">
        <v>267</v>
      </c>
      <c r="B38" s="304">
        <f t="shared" si="1"/>
        <v>0</v>
      </c>
      <c r="C38" s="308">
        <f t="shared" si="1"/>
        <v>0</v>
      </c>
      <c r="D38" s="308">
        <f t="shared" si="1"/>
        <v>0</v>
      </c>
    </row>
    <row r="39" spans="1:4" ht="15.75">
      <c r="A39" s="89" t="s">
        <v>268</v>
      </c>
      <c r="B39" s="290">
        <v>0</v>
      </c>
      <c r="C39" s="290">
        <v>0</v>
      </c>
      <c r="D39" s="290">
        <v>0</v>
      </c>
    </row>
    <row r="40" spans="1:4" ht="15.75" customHeight="1">
      <c r="A40" s="179"/>
      <c r="B40" s="296">
        <v>0</v>
      </c>
      <c r="C40" s="296">
        <v>0</v>
      </c>
      <c r="D40" s="309">
        <v>0</v>
      </c>
    </row>
    <row r="41" spans="1:4" s="91" customFormat="1" ht="29.25" customHeight="1">
      <c r="A41" s="310" t="s">
        <v>269</v>
      </c>
      <c r="B41" s="311">
        <f>B37+B33+B26+B13+B6</f>
        <v>324625</v>
      </c>
      <c r="C41" s="311">
        <f>C37+C33+C26+C13+C6</f>
        <v>3887903.137</v>
      </c>
      <c r="D41" s="311">
        <f>D37+D33+D26+D13+D6</f>
        <v>4212528.137</v>
      </c>
    </row>
    <row r="42" spans="1:4" s="91" customFormat="1" ht="15.75">
      <c r="A42" s="184" t="s">
        <v>270</v>
      </c>
      <c r="B42" s="312">
        <f>B43+B44</f>
        <v>0</v>
      </c>
      <c r="C42" s="313">
        <f>C43+C44</f>
        <v>259207.8629999999</v>
      </c>
      <c r="D42" s="313">
        <f>D43+D44</f>
        <v>259207.8629999999</v>
      </c>
    </row>
    <row r="43" spans="1:4" ht="15.75">
      <c r="A43" s="314" t="s">
        <v>271</v>
      </c>
      <c r="B43" s="304">
        <v>0</v>
      </c>
      <c r="C43" s="315">
        <f>'7_sz_ melléklet'!B25</f>
        <v>228808.8629999999</v>
      </c>
      <c r="D43" s="316">
        <f>SUM(B43:C43)</f>
        <v>228808.8629999999</v>
      </c>
    </row>
    <row r="44" spans="1:4" ht="15.75">
      <c r="A44" s="88" t="s">
        <v>272</v>
      </c>
      <c r="B44" s="274">
        <f>'2_k_ sz_ melléklet'!D41</f>
        <v>0</v>
      </c>
      <c r="C44" s="290">
        <f>'7_sz_ melléklet'!B49</f>
        <v>30399</v>
      </c>
      <c r="D44" s="317">
        <f>SUM(B44:C44)</f>
        <v>30399</v>
      </c>
    </row>
    <row r="45" spans="1:4" s="91" customFormat="1" ht="15.75">
      <c r="A45" s="90" t="s">
        <v>273</v>
      </c>
      <c r="B45" s="311">
        <f>B42+B41</f>
        <v>324625</v>
      </c>
      <c r="C45" s="311">
        <f>C42+C41</f>
        <v>4147111</v>
      </c>
      <c r="D45" s="318">
        <f>D42+D41</f>
        <v>4471736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A50" sqref="A50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913" t="s">
        <v>274</v>
      </c>
      <c r="B1" s="913"/>
      <c r="C1" s="913"/>
      <c r="D1" s="913"/>
    </row>
    <row r="2" spans="3:4" ht="9.75" customHeight="1">
      <c r="C2" s="30"/>
      <c r="D2" s="319" t="s">
        <v>275</v>
      </c>
    </row>
    <row r="3" spans="1:4" ht="15.75">
      <c r="A3" s="904" t="s">
        <v>276</v>
      </c>
      <c r="B3" s="904"/>
      <c r="C3" s="904"/>
      <c r="D3" s="904"/>
    </row>
    <row r="4" ht="12.75">
      <c r="D4" s="31" t="s">
        <v>34</v>
      </c>
    </row>
    <row r="5" spans="1:4" ht="26.25">
      <c r="A5" s="261" t="s">
        <v>234</v>
      </c>
      <c r="B5" s="320" t="s">
        <v>85</v>
      </c>
      <c r="C5" s="321" t="s">
        <v>277</v>
      </c>
      <c r="D5" s="321" t="s">
        <v>180</v>
      </c>
    </row>
    <row r="6" spans="1:4" ht="12.75">
      <c r="A6" s="322" t="s">
        <v>278</v>
      </c>
      <c r="B6" s="76">
        <f>'2_k_ sz_ melléklet'!D10</f>
        <v>0</v>
      </c>
      <c r="C6" s="196">
        <f>'2_k_ sz_ melléklet'!D56</f>
        <v>5400</v>
      </c>
      <c r="D6" s="196">
        <f>SUM(B6:C6)</f>
        <v>5400</v>
      </c>
    </row>
    <row r="7" spans="1:4" ht="12.75">
      <c r="A7" s="71" t="s">
        <v>279</v>
      </c>
      <c r="B7" s="76">
        <f>'2_k_ sz_ melléklet'!D11</f>
        <v>25596</v>
      </c>
      <c r="C7" s="130">
        <f>'2_k_ sz_ melléklet'!D57</f>
        <v>175103</v>
      </c>
      <c r="D7" s="130">
        <f>SUM(B7:C7)</f>
        <v>200699</v>
      </c>
    </row>
    <row r="8" spans="1:4" ht="12.75">
      <c r="A8" s="291" t="s">
        <v>280</v>
      </c>
      <c r="B8" s="76">
        <f>'2_k_ sz_ melléklet'!D12</f>
        <v>0</v>
      </c>
      <c r="C8" s="130">
        <f>'2_k_ sz_ melléklet'!D58</f>
        <v>31331</v>
      </c>
      <c r="D8" s="130">
        <f>SUM(B8:C8)</f>
        <v>31331</v>
      </c>
    </row>
    <row r="9" spans="1:4" ht="12.75">
      <c r="A9" s="323" t="s">
        <v>281</v>
      </c>
      <c r="B9" s="76">
        <f>'2_k_ sz_ melléklet'!D13</f>
        <v>410</v>
      </c>
      <c r="C9" s="130">
        <f>'2_k_ sz_ melléklet'!D59</f>
        <v>2560</v>
      </c>
      <c r="D9" s="130">
        <f>SUM(B9:C9)</f>
        <v>2970</v>
      </c>
    </row>
    <row r="10" spans="1:4" ht="12.75">
      <c r="A10" s="291" t="s">
        <v>282</v>
      </c>
      <c r="B10" s="76">
        <f>'2_k_ sz_ melléklet'!D14</f>
        <v>60</v>
      </c>
      <c r="C10" s="324">
        <f>'2_k_ sz_ melléklet'!D60</f>
        <v>800</v>
      </c>
      <c r="D10" s="325">
        <f>C10+B10</f>
        <v>860</v>
      </c>
    </row>
    <row r="11" spans="1:4" ht="12.75">
      <c r="A11" s="90" t="s">
        <v>283</v>
      </c>
      <c r="B11" s="74">
        <f>SUM(B6:B10)</f>
        <v>26066</v>
      </c>
      <c r="C11" s="242">
        <f>SUM(C6:C10)</f>
        <v>215194</v>
      </c>
      <c r="D11" s="16">
        <f>SUM(D6:D10)</f>
        <v>241260</v>
      </c>
    </row>
    <row r="12" spans="1:4" ht="5.25" customHeight="1">
      <c r="A12" s="326"/>
      <c r="B12" s="324"/>
      <c r="C12" s="228"/>
      <c r="D12" s="228"/>
    </row>
    <row r="13" spans="1:4" ht="15">
      <c r="A13" s="913" t="s">
        <v>284</v>
      </c>
      <c r="B13" s="913"/>
      <c r="C13" s="913"/>
      <c r="D13" s="913"/>
    </row>
    <row r="14" spans="1:4" ht="6.75" customHeight="1">
      <c r="A14" s="326"/>
      <c r="B14" s="37"/>
      <c r="C14" s="83"/>
      <c r="D14" s="83"/>
    </row>
    <row r="15" spans="1:4" ht="15.75">
      <c r="A15" s="904" t="s">
        <v>285</v>
      </c>
      <c r="B15" s="904"/>
      <c r="C15" s="904"/>
      <c r="D15" s="904"/>
    </row>
    <row r="16" spans="1:4" ht="12.75">
      <c r="A16" s="326"/>
      <c r="B16" s="37"/>
      <c r="D16" s="31" t="s">
        <v>34</v>
      </c>
    </row>
    <row r="17" spans="1:4" ht="26.25">
      <c r="A17" s="327" t="s">
        <v>234</v>
      </c>
      <c r="B17" s="191" t="s">
        <v>85</v>
      </c>
      <c r="C17" s="227" t="s">
        <v>277</v>
      </c>
      <c r="D17" s="191" t="s">
        <v>180</v>
      </c>
    </row>
    <row r="18" spans="1:4" s="81" customFormat="1" ht="12.75">
      <c r="A18" s="113" t="s">
        <v>286</v>
      </c>
      <c r="B18" s="80">
        <v>60</v>
      </c>
      <c r="C18" s="328"/>
      <c r="D18" s="80">
        <f>SUM(B18:C18)</f>
        <v>60</v>
      </c>
    </row>
    <row r="19" spans="1:4" s="81" customFormat="1" ht="12.75">
      <c r="A19" s="71" t="s">
        <v>287</v>
      </c>
      <c r="B19" s="244">
        <v>0</v>
      </c>
      <c r="C19" s="329">
        <v>800</v>
      </c>
      <c r="D19" s="244">
        <f>SUM(B19:C19)</f>
        <v>800</v>
      </c>
    </row>
    <row r="20" spans="1:4" ht="12.75">
      <c r="A20" s="113"/>
      <c r="B20" s="330"/>
      <c r="C20" s="331">
        <v>0</v>
      </c>
      <c r="D20" s="330">
        <f>SUM(B20:C20)</f>
        <v>0</v>
      </c>
    </row>
    <row r="21" spans="1:4" ht="25.5">
      <c r="A21" s="310" t="s">
        <v>285</v>
      </c>
      <c r="B21" s="133">
        <f>SUM(B18:B20)</f>
        <v>60</v>
      </c>
      <c r="C21" s="133">
        <f>SUM(C18:C20)</f>
        <v>800</v>
      </c>
      <c r="D21" s="133">
        <f>SUM(D18:D20)</f>
        <v>860</v>
      </c>
    </row>
    <row r="22" spans="1:4" ht="6.75" customHeight="1">
      <c r="A22" s="326"/>
      <c r="B22" s="37"/>
      <c r="C22" s="37"/>
      <c r="D22" s="37"/>
    </row>
    <row r="23" spans="1:4" ht="15">
      <c r="A23" s="332"/>
      <c r="B23" s="332" t="s">
        <v>288</v>
      </c>
      <c r="D23" s="26"/>
    </row>
    <row r="24" spans="1:4" ht="15.75">
      <c r="A24" s="904" t="s">
        <v>289</v>
      </c>
      <c r="B24" s="904"/>
      <c r="C24" s="333"/>
      <c r="D24" s="333"/>
    </row>
    <row r="25" spans="1:4" ht="14.25">
      <c r="A25" s="326"/>
      <c r="B25" s="226" t="s">
        <v>81</v>
      </c>
      <c r="C25" s="333"/>
      <c r="D25" s="333"/>
    </row>
    <row r="26" spans="1:4" ht="15.75">
      <c r="A26" s="334" t="s">
        <v>234</v>
      </c>
      <c r="B26" s="33" t="s">
        <v>217</v>
      </c>
      <c r="C26" s="326"/>
      <c r="D26" s="326"/>
    </row>
    <row r="27" spans="1:4" ht="12.75">
      <c r="A27" s="251"/>
      <c r="B27" s="35" t="s">
        <v>290</v>
      </c>
      <c r="C27" s="326"/>
      <c r="D27" s="326"/>
    </row>
    <row r="28" spans="1:4" ht="12.75">
      <c r="A28" s="70" t="s">
        <v>291</v>
      </c>
      <c r="B28" s="69">
        <v>95000</v>
      </c>
      <c r="C28" s="37"/>
      <c r="D28" s="37"/>
    </row>
    <row r="29" spans="1:4" ht="12.75">
      <c r="A29" s="70" t="s">
        <v>292</v>
      </c>
      <c r="B29" s="48">
        <v>0</v>
      </c>
      <c r="C29" s="37"/>
      <c r="D29" s="37"/>
    </row>
    <row r="30" spans="1:4" ht="12.75">
      <c r="A30" s="70" t="s">
        <v>293</v>
      </c>
      <c r="B30" s="48">
        <v>0</v>
      </c>
      <c r="C30" s="37"/>
      <c r="D30" s="37"/>
    </row>
    <row r="31" spans="1:4" ht="12.75">
      <c r="A31" s="88" t="s">
        <v>294</v>
      </c>
      <c r="B31" s="39">
        <v>18000</v>
      </c>
      <c r="C31" s="37"/>
      <c r="D31" s="37"/>
    </row>
    <row r="32" spans="1:4" ht="26.25" customHeight="1">
      <c r="A32" s="335" t="s">
        <v>295</v>
      </c>
      <c r="B32" s="336">
        <v>545000</v>
      </c>
      <c r="C32" s="337"/>
      <c r="D32" s="337"/>
    </row>
    <row r="33" spans="1:4" ht="25.5" customHeight="1">
      <c r="A33" s="335" t="s">
        <v>296</v>
      </c>
      <c r="B33" s="338">
        <v>1000</v>
      </c>
      <c r="C33" s="337"/>
      <c r="D33" s="337"/>
    </row>
    <row r="34" spans="1:4" ht="12.75">
      <c r="A34" s="66" t="s">
        <v>297</v>
      </c>
      <c r="B34" s="201">
        <f>SUM(B28:B33)</f>
        <v>659000</v>
      </c>
      <c r="C34" s="337"/>
      <c r="D34" s="337"/>
    </row>
    <row r="35" spans="1:4" ht="12.75">
      <c r="A35" s="339" t="s">
        <v>298</v>
      </c>
      <c r="B35" s="16">
        <v>5000</v>
      </c>
      <c r="C35" s="37"/>
      <c r="D35" s="37"/>
    </row>
    <row r="36" spans="1:4" ht="12.75">
      <c r="A36" s="340" t="s">
        <v>299</v>
      </c>
      <c r="B36" s="341">
        <v>24564</v>
      </c>
      <c r="C36" s="37"/>
      <c r="D36" s="37"/>
    </row>
    <row r="37" spans="1:4" ht="12.75">
      <c r="A37" s="339" t="s">
        <v>300</v>
      </c>
      <c r="B37" s="342">
        <v>1000</v>
      </c>
      <c r="C37" s="37"/>
      <c r="D37" s="37"/>
    </row>
    <row r="38" spans="1:4" ht="15">
      <c r="A38" s="326"/>
      <c r="B38" s="343" t="s">
        <v>301</v>
      </c>
      <c r="C38" s="37"/>
      <c r="D38" s="37"/>
    </row>
    <row r="39" spans="1:2" ht="15.75">
      <c r="A39" s="904" t="s">
        <v>302</v>
      </c>
      <c r="B39" s="904"/>
    </row>
    <row r="40" spans="1:4" ht="14.25">
      <c r="A40" s="326"/>
      <c r="B40" s="37"/>
      <c r="C40" s="333"/>
      <c r="D40" s="333"/>
    </row>
    <row r="41" spans="1:4" ht="14.25">
      <c r="A41" s="326"/>
      <c r="B41" s="226" t="s">
        <v>81</v>
      </c>
      <c r="C41" s="333"/>
      <c r="D41" s="333"/>
    </row>
    <row r="42" spans="1:4" ht="26.25">
      <c r="A42" s="334" t="s">
        <v>234</v>
      </c>
      <c r="B42" s="191" t="s">
        <v>180</v>
      </c>
      <c r="C42" s="333"/>
      <c r="D42" s="333"/>
    </row>
    <row r="43" spans="1:4" ht="12.75">
      <c r="A43" s="307" t="s">
        <v>303</v>
      </c>
      <c r="B43" s="69">
        <v>190789</v>
      </c>
      <c r="C43" s="326"/>
      <c r="D43" s="326"/>
    </row>
    <row r="44" spans="1:4" ht="12.75">
      <c r="A44" s="71" t="s">
        <v>304</v>
      </c>
      <c r="B44" s="48">
        <v>241339</v>
      </c>
      <c r="C44" s="37"/>
      <c r="D44" s="37"/>
    </row>
    <row r="45" spans="1:4" ht="12.75">
      <c r="A45" s="70" t="s">
        <v>305</v>
      </c>
      <c r="B45" s="48"/>
      <c r="C45" s="37"/>
      <c r="D45" s="37"/>
    </row>
    <row r="46" spans="1:4" ht="12.75">
      <c r="A46" s="70" t="s">
        <v>306</v>
      </c>
      <c r="B46" s="48">
        <v>95000</v>
      </c>
      <c r="C46" s="37"/>
      <c r="D46" s="37"/>
    </row>
    <row r="47" spans="1:4" ht="12.75">
      <c r="A47" s="70" t="s">
        <v>307</v>
      </c>
      <c r="B47" s="48">
        <v>0</v>
      </c>
      <c r="C47" s="37"/>
      <c r="D47" s="37"/>
    </row>
    <row r="48" spans="1:4" ht="12.75">
      <c r="A48" s="88" t="s">
        <v>308</v>
      </c>
      <c r="B48" s="39">
        <v>0</v>
      </c>
      <c r="C48" s="37"/>
      <c r="D48" s="37"/>
    </row>
    <row r="49" spans="1:4" ht="12.75">
      <c r="A49" s="344" t="s">
        <v>309</v>
      </c>
      <c r="B49" s="325">
        <v>0</v>
      </c>
      <c r="C49" s="37"/>
      <c r="D49" s="37"/>
    </row>
    <row r="50" spans="1:4" ht="12.75">
      <c r="A50" s="90" t="s">
        <v>310</v>
      </c>
      <c r="B50" s="16">
        <f>SUM(B43:B49)</f>
        <v>527128</v>
      </c>
      <c r="C50" s="337"/>
      <c r="D50" s="337"/>
    </row>
    <row r="51" spans="3:4" ht="12.75">
      <c r="C51" s="37"/>
      <c r="D51" s="37"/>
    </row>
  </sheetData>
  <sheetProtection/>
  <mergeCells count="6">
    <mergeCell ref="A1:D1"/>
    <mergeCell ref="A3:D3"/>
    <mergeCell ref="A13:D13"/>
    <mergeCell ref="A15:D15"/>
    <mergeCell ref="A24:B24"/>
    <mergeCell ref="A39:B39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dcterms:created xsi:type="dcterms:W3CDTF">2011-02-07T08:07:13Z</dcterms:created>
  <dcterms:modified xsi:type="dcterms:W3CDTF">2011-02-07T08:07:14Z</dcterms:modified>
  <cp:category/>
  <cp:version/>
  <cp:contentType/>
  <cp:contentStatus/>
</cp:coreProperties>
</file>