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5180" windowHeight="7230" firstSheet="16" activeTab="19"/>
  </bookViews>
  <sheets>
    <sheet name="1_sz_ melléklet" sheetId="1" r:id="rId1"/>
    <sheet name="1_a_sz_ melléklet" sheetId="2" r:id="rId2"/>
    <sheet name="1_b_sz_melléklet" sheetId="3" r:id="rId3"/>
    <sheet name="1_c_sz_ melléklet" sheetId="4" r:id="rId4"/>
    <sheet name="1_d_sz_melléklet" sheetId="5" r:id="rId5"/>
    <sheet name="1_e_f_sz_melléklet" sheetId="6" r:id="rId6"/>
    <sheet name="1_g_h_sz_melléklet" sheetId="7" r:id="rId7"/>
    <sheet name="2_sz_ melléklet" sheetId="8" r:id="rId8"/>
    <sheet name="2_a_d_sz_ melléklet" sheetId="9" r:id="rId9"/>
    <sheet name="2_e_1_sz_ melléklet" sheetId="10" r:id="rId10"/>
    <sheet name="2_f_h_sz_ melléklet" sheetId="11" r:id="rId11"/>
    <sheet name="2_i_j_sz_ mell_" sheetId="12" r:id="rId12"/>
    <sheet name="2_k_ sz_ melléklet" sheetId="13" r:id="rId13"/>
    <sheet name="2_l_sz_ melléklet" sheetId="14" r:id="rId14"/>
    <sheet name="2_m_n_sz_ melléklet" sheetId="15" r:id="rId15"/>
    <sheet name="3_sz_ melléklet" sheetId="16" r:id="rId16"/>
    <sheet name="4_sz_ melléklet" sheetId="17" r:id="rId17"/>
    <sheet name="5_sz_ melléklet" sheetId="18" r:id="rId18"/>
    <sheet name="6_sz_ melléklet" sheetId="19" r:id="rId19"/>
    <sheet name="7_sz_ melléklet" sheetId="20" r:id="rId20"/>
    <sheet name="8_sz_ melléklet" sheetId="21" r:id="rId21"/>
    <sheet name="9_sz_ melléklet" sheetId="22" r:id="rId22"/>
    <sheet name="10_ sz_ melléklet" sheetId="23" r:id="rId23"/>
    <sheet name="11_sz_ melléklet" sheetId="24" r:id="rId24"/>
    <sheet name="12_sz_ melléklet" sheetId="25" r:id="rId25"/>
    <sheet name="13_sz_ melléklet" sheetId="26" r:id="rId26"/>
    <sheet name="14_15_sz_ melléklet" sheetId="27" r:id="rId27"/>
    <sheet name="16_17_sz_ melléklet" sheetId="28" r:id="rId28"/>
    <sheet name="18_19_ sz_ melléklet" sheetId="29" r:id="rId29"/>
    <sheet name="20_ sz_ melléklet" sheetId="30" r:id="rId30"/>
    <sheet name="1_ sz_ tájékoztató" sheetId="31" r:id="rId31"/>
    <sheet name="2_ sz_ tájékoztató" sheetId="32" r:id="rId32"/>
    <sheet name="3_ sz_ tájékoztató" sheetId="33" r:id="rId33"/>
  </sheets>
  <externalReferences>
    <externalReference r:id="rId36"/>
  </externalReferences>
  <definedNames/>
  <calcPr fullCalcOnLoad="1"/>
</workbook>
</file>

<file path=xl/sharedStrings.xml><?xml version="1.0" encoding="utf-8"?>
<sst xmlns="http://schemas.openxmlformats.org/spreadsheetml/2006/main" count="2210" uniqueCount="1296">
  <si>
    <t>1. sz. melléklet</t>
  </si>
  <si>
    <t>Költségvetés mérlege</t>
  </si>
  <si>
    <t>2009. év</t>
  </si>
  <si>
    <t>BEVÉTEL</t>
  </si>
  <si>
    <t>KIADÁS</t>
  </si>
  <si>
    <t>Megnevezés</t>
  </si>
  <si>
    <t>Előirányzat</t>
  </si>
  <si>
    <t>I. Működési bevételek</t>
  </si>
  <si>
    <t>I. Működési kiadások</t>
  </si>
  <si>
    <t xml:space="preserve">   Ebből: Műk.c.pénzeszk. átv. államházt. kívülről</t>
  </si>
  <si>
    <t>II. Támogatások, támogatás értékű bevételek, visszatérülések</t>
  </si>
  <si>
    <t>II. Felhalmozási kiadások</t>
  </si>
  <si>
    <t>III. Felhalmozási és tőke jellegű bevételek</t>
  </si>
  <si>
    <t>III. Támogatás értékű kiadás államháztartáson belülre</t>
  </si>
  <si>
    <t xml:space="preserve">   Ebből: Felh.c.pénzeszk. átv. államházt. kívülről</t>
  </si>
  <si>
    <t>IV. Támogatási kölcsönök visszatérülése, értékpapírok értékesítésének, kibocsátásának bevétele</t>
  </si>
  <si>
    <t>IV. Pénzeszközátadás államháztartáson kívülre</t>
  </si>
  <si>
    <t>V. Pénzforgalom nélküli bevételek</t>
  </si>
  <si>
    <t>V. Nyújtott kölcsönök</t>
  </si>
  <si>
    <t>VI. Tartalékok</t>
  </si>
  <si>
    <t xml:space="preserve">      Általános tartalék</t>
  </si>
  <si>
    <t xml:space="preserve">      Céltartalék</t>
  </si>
  <si>
    <t>Költségvetési bevételek összesen</t>
  </si>
  <si>
    <t>Költségvetési kiadások összesen</t>
  </si>
  <si>
    <t>VI. Hitelfelvétel</t>
  </si>
  <si>
    <t>VII. Hiteltörlesztés</t>
  </si>
  <si>
    <t xml:space="preserve">      Ebből: -működési célú</t>
  </si>
  <si>
    <t xml:space="preserve">                 -felhalmozási célú</t>
  </si>
  <si>
    <t xml:space="preserve">                  -felhalmozási célú</t>
  </si>
  <si>
    <t>Bevételek mindösszesen</t>
  </si>
  <si>
    <t>Kiadások mindösszesen</t>
  </si>
  <si>
    <t xml:space="preserve">   1/a. sz. melléklet</t>
  </si>
  <si>
    <t>Az önkormányzat 2009. évi kiadási előirányzatai összesen</t>
  </si>
  <si>
    <t>Ezer Ft-ban</t>
  </si>
  <si>
    <t>KIADÁSOK</t>
  </si>
  <si>
    <t xml:space="preserve">Intézmények </t>
  </si>
  <si>
    <t xml:space="preserve">Polgármesteri </t>
  </si>
  <si>
    <t xml:space="preserve">ÖNKORMÁNYZAT </t>
  </si>
  <si>
    <t>JOGCÍMEI</t>
  </si>
  <si>
    <t>összesen</t>
  </si>
  <si>
    <t>hivatal összesen</t>
  </si>
  <si>
    <t>ÖSSZESEN</t>
  </si>
  <si>
    <t>MŰKÖDÉSI KIADÁSOK</t>
  </si>
  <si>
    <t>1. Személyi juttatás</t>
  </si>
  <si>
    <t>2. Munkaadót terh. járulékok</t>
  </si>
  <si>
    <t>3. Dologi kiadás</t>
  </si>
  <si>
    <t xml:space="preserve">    Ebből: hosszú lej. hitel kamata</t>
  </si>
  <si>
    <t>4. Ellátottak pénzbeli juttatásai</t>
  </si>
  <si>
    <t>5. Speciális célú támogatás</t>
  </si>
  <si>
    <r>
      <t xml:space="preserve">       -</t>
    </r>
    <r>
      <rPr>
        <sz val="10"/>
        <rFont val="Arial CE"/>
        <family val="2"/>
      </rPr>
      <t xml:space="preserve"> Társadalom-, szociálpolitikai kiadás</t>
    </r>
  </si>
  <si>
    <t>I. Működési kiad. összesen</t>
  </si>
  <si>
    <t>FELHALMOZÁSI KIADÁSOK</t>
  </si>
  <si>
    <t>1. Beruházás</t>
  </si>
  <si>
    <t>2. Felujítás</t>
  </si>
  <si>
    <t xml:space="preserve">3. Pénzügyi befektetés  </t>
  </si>
  <si>
    <t>4. Hosszú lejáratú hitelek kamata</t>
  </si>
  <si>
    <t xml:space="preserve">II. Felhalmozási kiadás összesen </t>
  </si>
  <si>
    <t>TÁMOGATÁS ÉRTÉKŰ KIADÁS</t>
  </si>
  <si>
    <t xml:space="preserve">1. Működési célú </t>
  </si>
  <si>
    <t xml:space="preserve">2. Felhalmozási célú </t>
  </si>
  <si>
    <t>III. Támogatás értékű kiadás összesen</t>
  </si>
  <si>
    <t>PÉNZESZKÖZ ÁTADÁS ÁH. KÍVÜLRE</t>
  </si>
  <si>
    <t>IV. Pénzeszköz átadás összesen</t>
  </si>
  <si>
    <t>NYÚJTOTT KÖLCSÖNÖK</t>
  </si>
  <si>
    <t>Működési célra</t>
  </si>
  <si>
    <t>Felhalmozási célra</t>
  </si>
  <si>
    <t>V. Nyújtott kölcsönök összesen</t>
  </si>
  <si>
    <t>TARTALÉKOK</t>
  </si>
  <si>
    <t>Általános tartalék</t>
  </si>
  <si>
    <t>Céltartalék</t>
  </si>
  <si>
    <t>VI. Tartalékok összesen</t>
  </si>
  <si>
    <t>KÖLTSÉGVETÉSI KIADÁS ÖSSZESEN</t>
  </si>
  <si>
    <t>HITEL TÖRLESZTÉS</t>
  </si>
  <si>
    <t>Működési célú hitel törlesztés</t>
  </si>
  <si>
    <t>Felahalmozási célú hitel törlesztés</t>
  </si>
  <si>
    <t>VII. Hiteltörlesztés összesen</t>
  </si>
  <si>
    <t>KIADÁS MINDÖSSZESEN</t>
  </si>
  <si>
    <t>1/b. sz. melléklet</t>
  </si>
  <si>
    <t xml:space="preserve">Önállóan működő és önállóan gazdálkodó intézmények  </t>
  </si>
  <si>
    <t xml:space="preserve">2009. évi költségvetési kiadási előirányzatai  </t>
  </si>
  <si>
    <t xml:space="preserve">Ezer Ft-ban </t>
  </si>
  <si>
    <t>KIADÁSOK  JOGCÍMEI</t>
  </si>
  <si>
    <t>Rendelőintézet</t>
  </si>
  <si>
    <t>Tűzoltóság</t>
  </si>
  <si>
    <t>Intézmények összesen</t>
  </si>
  <si>
    <t xml:space="preserve">    Ebből: hosszú lej. Hitel kam.</t>
  </si>
  <si>
    <t>5. Speciálos célú támogatás</t>
  </si>
  <si>
    <t xml:space="preserve">Ebből: </t>
  </si>
  <si>
    <t xml:space="preserve"> - Társadalom-, szociálp. kiad.</t>
  </si>
  <si>
    <t>I. Működési kiad. össz.</t>
  </si>
  <si>
    <t>2. Felújítás</t>
  </si>
  <si>
    <t xml:space="preserve">II. Felhalmozási kiad. össz. </t>
  </si>
  <si>
    <t>TÁMOGATÁS ÉRTÉK. KIADÁS</t>
  </si>
  <si>
    <t xml:space="preserve">III. Támog. ért. kiad. össz. </t>
  </si>
  <si>
    <t>PÉNZESZKÖZ ÁTADÁS</t>
  </si>
  <si>
    <t>IV. Pénzeszköz átadás össz.</t>
  </si>
  <si>
    <t>1. Működési célra</t>
  </si>
  <si>
    <t>2. Felhalmozási célra</t>
  </si>
  <si>
    <t>V. Nyújtott kölcsönök össz.</t>
  </si>
  <si>
    <t>KIADÁS ÖSSZESEN</t>
  </si>
  <si>
    <t>HITELTÖRLESZTÉS</t>
  </si>
  <si>
    <t>Felhalmozási célú hitel törl.</t>
  </si>
  <si>
    <t>KIADÁS MINDÖSSZESEN:</t>
  </si>
  <si>
    <t>1/c. sz. melléklet</t>
  </si>
  <si>
    <t xml:space="preserve">Önállóan működő (részben-önállóan gazdálkodó) intézmények  </t>
  </si>
  <si>
    <t xml:space="preserve">2009. évi költségvetési kiadásielőirányzatai  </t>
  </si>
  <si>
    <t>Város-gondnokság</t>
  </si>
  <si>
    <t>Városi Óvoda</t>
  </si>
  <si>
    <t>MÁAMIPSZ</t>
  </si>
  <si>
    <t>Könyvtár</t>
  </si>
  <si>
    <t>Városi Bölcsőde</t>
  </si>
  <si>
    <t>4. Hosszúlej. hitelek kamata</t>
  </si>
  <si>
    <t>VII. Hitel törlesztés</t>
  </si>
  <si>
    <t xml:space="preserve">1/c. sz. melléklet </t>
  </si>
  <si>
    <t>KIADÁSOK                     JOGCÍMEI</t>
  </si>
  <si>
    <t>Városi Sport-csarnok</t>
  </si>
  <si>
    <t>Szent L. Gimnázium</t>
  </si>
  <si>
    <t>Széchenyi I. Szakképz.</t>
  </si>
  <si>
    <t>Bayer R. Kollég. És Élelm.Közp</t>
  </si>
  <si>
    <t>PH-hoz tartozó részben-önállóan műk. Int. összesen</t>
  </si>
  <si>
    <t>Polgári Védelem</t>
  </si>
  <si>
    <t>Részben-önállóan gazdálkodó intézmények mind-összesen</t>
  </si>
  <si>
    <t xml:space="preserve">1/d. sz. melléklet </t>
  </si>
  <si>
    <t xml:space="preserve">                        A polgármesteri hivatal 2009. évi költségvetési kiadási</t>
  </si>
  <si>
    <t xml:space="preserve">   előirányzatai  feladatonként</t>
  </si>
  <si>
    <t>KIADÁSOK JOGCÍMEI</t>
  </si>
  <si>
    <t>Épület-fenntartás</t>
  </si>
  <si>
    <t>Helyi közutak felúj.</t>
  </si>
  <si>
    <t>Helyi közutak üzem.</t>
  </si>
  <si>
    <t>Ingatlan haszn.</t>
  </si>
  <si>
    <t xml:space="preserve">   Ebből:felh. hitel kamata</t>
  </si>
  <si>
    <t xml:space="preserve">  Ebből:-Társadalom-, szociálp. kiad.</t>
  </si>
  <si>
    <t>I. Működési kiadás összesen</t>
  </si>
  <si>
    <t xml:space="preserve">III. Támog. értékű kiad. össz. </t>
  </si>
  <si>
    <t xml:space="preserve">2. Felhalmozási célra </t>
  </si>
  <si>
    <t>1. Általános tartalék</t>
  </si>
  <si>
    <t>2. Céltartalék</t>
  </si>
  <si>
    <t>KÖLTSÉGVETÉSI</t>
  </si>
  <si>
    <t>KIADÁSOK ÖSSZESEN:</t>
  </si>
  <si>
    <t>Gyámhiv. Okmányi.</t>
  </si>
  <si>
    <t>Önkorm. Ig. tev.</t>
  </si>
  <si>
    <t>Kisebbségi önkorm.</t>
  </si>
  <si>
    <t>Önkorm. ellátó tev.</t>
  </si>
  <si>
    <t>Szakmai kiseg.tev.</t>
  </si>
  <si>
    <t xml:space="preserve">   Ebből: felh. Hitel kamata</t>
  </si>
  <si>
    <t>Ebből:-Társadalom-, szociálp. kiad.</t>
  </si>
  <si>
    <t xml:space="preserve">1/d.. sz. melléklet </t>
  </si>
  <si>
    <t>Városgazd Szolg.</t>
  </si>
  <si>
    <t>Települési Vízellátás</t>
  </si>
  <si>
    <t>Köz-világítás</t>
  </si>
  <si>
    <t>Oktatási célok</t>
  </si>
  <si>
    <t>Fogorvosi ellátás</t>
  </si>
  <si>
    <t xml:space="preserve">   Ebből:felh. Hitel kamata</t>
  </si>
  <si>
    <t xml:space="preserve"> - Ebből:Társadalom-, szociálp. kiad.</t>
  </si>
  <si>
    <t>Iskolaeü. Ellátás</t>
  </si>
  <si>
    <t>Rendsz. pénzb.szoc.</t>
  </si>
  <si>
    <t>Rendsz. gyermekv.</t>
  </si>
  <si>
    <t>Munkanélk Ellátások</t>
  </si>
  <si>
    <t>Eseti pénzb. szoc.</t>
  </si>
  <si>
    <t>Ebből:felh. Hitel kamata</t>
  </si>
  <si>
    <t>Eseti pénzb. gyerm.véd</t>
  </si>
  <si>
    <t>Szennyvíz-elvezetés</t>
  </si>
  <si>
    <t>Kulturális sport</t>
  </si>
  <si>
    <t>Múzeumi tev.</t>
  </si>
  <si>
    <t>Fürdő-strandszolg.</t>
  </si>
  <si>
    <t xml:space="preserve">    Ebből:felh.hitel kamata</t>
  </si>
  <si>
    <t>Feladatok összesen</t>
  </si>
  <si>
    <r>
      <t>Tartalék</t>
    </r>
    <r>
      <rPr>
        <b/>
        <sz val="10"/>
        <rFont val="Arial"/>
        <family val="2"/>
      </rPr>
      <t xml:space="preserve"> Hiteltörl.</t>
    </r>
  </si>
  <si>
    <t>Szakfelad. összesen</t>
  </si>
  <si>
    <t>PH-hoz tart. Részben önáll.</t>
  </si>
  <si>
    <t>PH. Mind-összesen</t>
  </si>
  <si>
    <t xml:space="preserve">   Ebből:felh.hitel kamata</t>
  </si>
  <si>
    <t>Ebből:- Társadalom-, szociálp. kiad.</t>
  </si>
  <si>
    <t>1/e melléklet</t>
  </si>
  <si>
    <t xml:space="preserve">III. Támogatás értékű kiadás </t>
  </si>
  <si>
    <t>Támogatott megnevezése</t>
  </si>
  <si>
    <t>Intézmények</t>
  </si>
  <si>
    <t>Polgármesteri Hivatal</t>
  </si>
  <si>
    <t>Önkormányzat összesen</t>
  </si>
  <si>
    <t>1. Működési célú összesen</t>
  </si>
  <si>
    <t>Ebből:</t>
  </si>
  <si>
    <t xml:space="preserve">2. Felhalmozási célú összesen </t>
  </si>
  <si>
    <t>Összesen</t>
  </si>
  <si>
    <t>1/f. melléklet</t>
  </si>
  <si>
    <t xml:space="preserve">IV. Pénzeszközátadás államháztartáson kívülre 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</si>
  <si>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</si>
  <si>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</si>
  <si>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</si>
  <si>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KÖZKINCS-TÁR nonprof. Kft.</t>
  </si>
  <si>
    <t xml:space="preserve">          - MÉDIA KHT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</si>
  <si>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</si>
  <si>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</si>
  <si>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</si>
  <si>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Cigány Kisebbségi Önk.-Társ.sz.</t>
  </si>
  <si>
    <t xml:space="preserve">          - MKC támogatása</t>
  </si>
  <si>
    <t xml:space="preserve">          - MSE támogatása</t>
  </si>
  <si>
    <t xml:space="preserve">          - Egyéb-támogtói nyilatkozat alapj.</t>
  </si>
  <si>
    <t xml:space="preserve">          - Örmény Kisebbségi Önk.-Társ. Sz.</t>
  </si>
  <si>
    <t xml:space="preserve">          - Víziközmű társ. Működésére</t>
  </si>
  <si>
    <t xml:space="preserve">          - TISZK műk-re MITISZK-nek</t>
  </si>
  <si>
    <t xml:space="preserve">          - LAKSZÖVnek önk. Ing. után</t>
  </si>
  <si>
    <t>2. Felhalmozási célú összesen</t>
  </si>
  <si>
    <t xml:space="preserve"> Ebből:- Szennyvízcs. alap.tám.nyugati</t>
  </si>
  <si>
    <t xml:space="preserve">          - Víziközmű társ. Hitelkamatra</t>
  </si>
  <si>
    <t xml:space="preserve">          - Önerős gázépítő közösség</t>
  </si>
  <si>
    <t xml:space="preserve">          - Lakásépítés támogatása</t>
  </si>
  <si>
    <t xml:space="preserve">          - MSE támogatása(sportp.hit.kam)</t>
  </si>
  <si>
    <t xml:space="preserve">          -LAKSZÖVnek önk. lakásra</t>
  </si>
  <si>
    <t xml:space="preserve">      1/g. sz. melléklet</t>
  </si>
  <si>
    <t xml:space="preserve">V. Kölcsön nyújtása   </t>
  </si>
  <si>
    <t xml:space="preserve">                Ezer Ft-ban </t>
  </si>
  <si>
    <t xml:space="preserve">KIADÁSOK JOGCÍMEI </t>
  </si>
  <si>
    <t>Önkormányzat</t>
  </si>
  <si>
    <t xml:space="preserve">1.1. Kölcsön nyújtása államháztartáson kívülre  </t>
  </si>
  <si>
    <t xml:space="preserve">        Kamatmentes kölcsön nyújtása</t>
  </si>
  <si>
    <t>1.1. Működési célú támogatási kölcsön nyújtása összesen</t>
  </si>
  <si>
    <t xml:space="preserve">1.2.Felhalmozási kölcsön nyújtása államháztartáson kívülre  </t>
  </si>
  <si>
    <t xml:space="preserve">      Lakáscélú kölcsön nyújtása háztartásoknak</t>
  </si>
  <si>
    <t>1.2.Felhalmozási kölcsön nyújtása államháztartáson kívülre  összesen</t>
  </si>
  <si>
    <t>V. Kölcsön nyújtás mindösszesen</t>
  </si>
  <si>
    <t>1/h. sz. melléklet</t>
  </si>
  <si>
    <t>II/3 Pénzügyi befektetés</t>
  </si>
  <si>
    <t>Intézmények összesen:</t>
  </si>
  <si>
    <t xml:space="preserve">       -VG Rt. részvény vásárlása</t>
  </si>
  <si>
    <t xml:space="preserve">       -OTP tőkegarantált pénzpiaci alapok</t>
  </si>
  <si>
    <t>Összesen:</t>
  </si>
  <si>
    <t>ÖNKORMÁNYZAT ÖSSZESEN</t>
  </si>
  <si>
    <t xml:space="preserve">                  2.sz. melléklet</t>
  </si>
  <si>
    <t xml:space="preserve">     Az önkormányzat 2009. évi bevételi előirányzatai összesen</t>
  </si>
  <si>
    <t xml:space="preserve">  BEVÉTELEK JOGCÍMEI</t>
  </si>
  <si>
    <t>Polg.m.hivat.</t>
  </si>
  <si>
    <t xml:space="preserve">I. Működési bevételek (1+2) </t>
  </si>
  <si>
    <t>1. Intézményi működési bevételek</t>
  </si>
  <si>
    <t>2. Önkorm.sajátos működési bev(2.1..+2.4)</t>
  </si>
  <si>
    <t xml:space="preserve">2.1. Helyi adók </t>
  </si>
  <si>
    <t xml:space="preserve">2.2. Átengedett központi adók </t>
  </si>
  <si>
    <t xml:space="preserve">2.3. Pótlékok, birságok </t>
  </si>
  <si>
    <t xml:space="preserve">2.4. Egyéb sajátos bevételek </t>
  </si>
  <si>
    <t>II.Támogatások, támog.ért.bev.  Visszatér.</t>
  </si>
  <si>
    <t xml:space="preserve">1.1. Normatív támogatások </t>
  </si>
  <si>
    <t xml:space="preserve">1.2. Központosított előirányzatok </t>
  </si>
  <si>
    <t xml:space="preserve">1.3. Egyes jövedelempótló támogatások </t>
  </si>
  <si>
    <t>1.4. Normatív kötött felhasználású támogatások</t>
  </si>
  <si>
    <t xml:space="preserve">1.5. Fejlesztési célú támogatások </t>
  </si>
  <si>
    <t xml:space="preserve">2. Támogatás értékű bevételek (2.1.+2.2) </t>
  </si>
  <si>
    <t>2.1. Működési célú támog. értékű átvétel</t>
  </si>
  <si>
    <t xml:space="preserve">      Ebből: Társad. Bizt. Alapból átvett</t>
  </si>
  <si>
    <t>2.2. Felhalmozási célú támog. értékű bevétel</t>
  </si>
  <si>
    <t xml:space="preserve">3. Kiegészítések, visszatérülések </t>
  </si>
  <si>
    <t>III. Felhalmozási és tőke jellegű bev.(1+..4)</t>
  </si>
  <si>
    <t>1. Tárgyi eszközök, immat. javak értékesítése</t>
  </si>
  <si>
    <t xml:space="preserve">2. Önkormányzatok sajátos felhalmozási </t>
  </si>
  <si>
    <t xml:space="preserve">    és tőke jellegű bevételei </t>
  </si>
  <si>
    <t xml:space="preserve">3. Pénzügyi befektetés bevételei </t>
  </si>
  <si>
    <t xml:space="preserve">4. Felhalmozási célú pénzeszköz átvétel </t>
  </si>
  <si>
    <t xml:space="preserve">    államháztartáson kívülről </t>
  </si>
  <si>
    <t xml:space="preserve">   IV. Támogatási kölcs. Visszatér. értékpapír ért. Kibocs. bevétele (1…+3)</t>
  </si>
  <si>
    <t>1. Működési célú kölcsön visszatérülése</t>
  </si>
  <si>
    <t>2. Felhalmozási célú kölcsön visszatérülése</t>
  </si>
  <si>
    <t xml:space="preserve">3. Értékpapírok értékesítése, kötvény kibocs. </t>
  </si>
  <si>
    <t xml:space="preserve">V. Pénzforgalom nélküli bevételek </t>
  </si>
  <si>
    <t xml:space="preserve">1. Előző évi pénzmaradvány igénybevétele </t>
  </si>
  <si>
    <t xml:space="preserve">       Ebből: működési célú</t>
  </si>
  <si>
    <t>KÖLTSÉGVETÉSI BEVÉTELEK       ÖSSZESEN(I…+VI.)</t>
  </si>
  <si>
    <t xml:space="preserve">VI. Hitelek (1+2) </t>
  </si>
  <si>
    <t xml:space="preserve">1. Működési célú hitel igénybevétele </t>
  </si>
  <si>
    <t xml:space="preserve">2. Fejlesztési célú hitel igénybevétele </t>
  </si>
  <si>
    <t>BEVÉTELEK MINDÖSSZESEN (I…+VI.)</t>
  </si>
  <si>
    <t xml:space="preserve">                  2/a. sz. melléklet</t>
  </si>
  <si>
    <t xml:space="preserve"> </t>
  </si>
  <si>
    <t xml:space="preserve">               I/1. Intézményi működési bevételek részletezése </t>
  </si>
  <si>
    <t>Polg.m.hivat. Összesen</t>
  </si>
  <si>
    <t>1.1. Hatósági jogkörhöz köthető működési bevételek</t>
  </si>
  <si>
    <t xml:space="preserve">1.2. Egyéb saját bevételek </t>
  </si>
  <si>
    <t>1.3. Általános forgalmi adó bevételek, visszatérülések</t>
  </si>
  <si>
    <t>1.4. Hozam és kamatbevételek</t>
  </si>
  <si>
    <t xml:space="preserve">1.5. Műk. célú pénzeszk. átvétel államházt.-on kívülről  </t>
  </si>
  <si>
    <t xml:space="preserve">I/1. Intézményi működési bevételek összesen </t>
  </si>
  <si>
    <t xml:space="preserve">2/b. sz. melléklet </t>
  </si>
  <si>
    <t xml:space="preserve">I/1.5. Működési célú pénzeszköz átvétel államháztartáson kívülről </t>
  </si>
  <si>
    <t>Polgári Védelem- versenyre</t>
  </si>
  <si>
    <t>2/c. sz. melléklet</t>
  </si>
  <si>
    <t xml:space="preserve">          I/2.1. Helyi adó bevételek részletezése </t>
  </si>
  <si>
    <t xml:space="preserve">összesen </t>
  </si>
  <si>
    <t>2.1.1. Építményadó</t>
  </si>
  <si>
    <t xml:space="preserve">2.1.2. Vállalkozók kommunális adója </t>
  </si>
  <si>
    <t>2.1.3. Magánszemélyek kommunális adója</t>
  </si>
  <si>
    <t>2.1.4. Idegenforgalmi adó tartózkodás után</t>
  </si>
  <si>
    <t>2.1.5. Iparűzési adó állandó jelleggel végzett iparűzési     tevékenység után</t>
  </si>
  <si>
    <t>2.1.6. Iparűzési adó ideiglenes jelleggel végzett iparűzési tevékenység után (napi átalány)</t>
  </si>
  <si>
    <t xml:space="preserve">I./2.1. Helyi adó bevételek összesen </t>
  </si>
  <si>
    <t>I./2.3.Pótlékok, bírságok</t>
  </si>
  <si>
    <t>I./2.4. Egyéb sajátos bevételek</t>
  </si>
  <si>
    <t xml:space="preserve">          ebből:talajterh. Díj</t>
  </si>
  <si>
    <t>2/d. sz. melléklet</t>
  </si>
  <si>
    <t xml:space="preserve"> I/2.2. Átengedett központi adók részletezése </t>
  </si>
  <si>
    <t xml:space="preserve">2.2.1. Személyi jöv.adó helyben maradó része </t>
  </si>
  <si>
    <t xml:space="preserve">2.2.2. Jövedelemkülönbségek mérséklése (+, -) </t>
  </si>
  <si>
    <t xml:space="preserve">2.2.3. Személyi jöv.adó norm. módon elosztott része </t>
  </si>
  <si>
    <t xml:space="preserve">2.2.4. Gépjárműadó </t>
  </si>
  <si>
    <t>2.2.5. Luxusadó</t>
  </si>
  <si>
    <t xml:space="preserve">2.2.6. Termőföld bérbeadásából származó jöv.adó </t>
  </si>
  <si>
    <t xml:space="preserve">2.2.7. Átengedett egyéb központi adók </t>
  </si>
  <si>
    <t xml:space="preserve">I/2.2. Átengedett központi adók összesen </t>
  </si>
  <si>
    <t xml:space="preserve">      2/f. sz. melléklet</t>
  </si>
  <si>
    <t xml:space="preserve">II/1.2. Központosított előirányzatok részletezése </t>
  </si>
  <si>
    <t xml:space="preserve">BEVÉTELEK JOGCÍMEI </t>
  </si>
  <si>
    <t>II/1.2. Központosított előirányzatok összesen</t>
  </si>
  <si>
    <t>II/1.3. Egyes jöv. pótló támogatások</t>
  </si>
  <si>
    <t xml:space="preserve">       2/g. sz. melléklet</t>
  </si>
  <si>
    <t xml:space="preserve">II/1.5. Fejlesztési célú támogatások részletezése </t>
  </si>
  <si>
    <t xml:space="preserve">               Ezer Ft-ban </t>
  </si>
  <si>
    <t xml:space="preserve">1.5.1. Címzett támogatás </t>
  </si>
  <si>
    <t>1.5.2. Céltámogatás: egészségügyi gép-műszer</t>
  </si>
  <si>
    <t>1.5.3. A helyi önk.-ok fejlesztési és vis maior feladatainak támogatása</t>
  </si>
  <si>
    <t xml:space="preserve">II/1.5. Fejlesztési célú támogatások összesen </t>
  </si>
  <si>
    <t xml:space="preserve">       2/h. sz. melléklet</t>
  </si>
  <si>
    <t>II/2. Támogatás értékű bevételek</t>
  </si>
  <si>
    <t>Intézm.</t>
  </si>
  <si>
    <t xml:space="preserve">Polgárm. hiv. </t>
  </si>
  <si>
    <t>2.1. Működési bevételek összesen</t>
  </si>
  <si>
    <t>Ebből: - Rendelő: - TB alaptól</t>
  </si>
  <si>
    <t xml:space="preserve">          - Tűzoltóság -Munkaügyi Központtól</t>
  </si>
  <si>
    <t xml:space="preserve">          - Könyvtár mozgókönyvt.fa. Többcélútól</t>
  </si>
  <si>
    <t>2.1. Működési bevételek összesen Polghiv.</t>
  </si>
  <si>
    <t>Ebből: - Többcélú Kist. Társulástól átvett</t>
  </si>
  <si>
    <t xml:space="preserve">          - Egerlövőtől átvett</t>
  </si>
  <si>
    <t xml:space="preserve">          - PV-hez vidéki önkormányzatoktól</t>
  </si>
  <si>
    <t xml:space="preserve">          - Iskola eü.-re TB-től</t>
  </si>
  <si>
    <t xml:space="preserve">          - Kp-i kv-i szervtől Otthonteremt. támog.   </t>
  </si>
  <si>
    <t xml:space="preserve">          - Kp-i kv-i szervtől Mozgáskorlát. támog.</t>
  </si>
  <si>
    <t xml:space="preserve">          - Vidéki önkorm.-tól tagisk. Műk-re</t>
  </si>
  <si>
    <t xml:space="preserve">          - Prémium évesek ktg. Megtér.</t>
  </si>
  <si>
    <t>2.2. Felhalmozási bevételek összesen</t>
  </si>
  <si>
    <t xml:space="preserve">                                  Szennyvízcsat. Hál. </t>
  </si>
  <si>
    <t xml:space="preserve">                                  Bárdos L.tagisk. Akadálym.</t>
  </si>
  <si>
    <t xml:space="preserve">                                  Gyula u. rendelő Akadálym.</t>
  </si>
  <si>
    <t xml:space="preserve">                                  Bayer R. koll. Akadálym.</t>
  </si>
  <si>
    <t xml:space="preserve">                                  Városi Rendelői. Akadálym.</t>
  </si>
  <si>
    <t xml:space="preserve">                                  I. sz. tagóv. Akadálym.</t>
  </si>
  <si>
    <t xml:space="preserve">                                  Anna köz 13. tájház.</t>
  </si>
  <si>
    <t>2/i./1. sz. melléklet</t>
  </si>
  <si>
    <t>III/1. Tárgyi eszközök, immateriális javak értékesítésének részletezése</t>
  </si>
  <si>
    <t>ÉRTÉKESÍTENDŐ TÁRGYI ESZKÖZÖK, IMMATERIÁLIS JAVAK MEGNEVEZÉSE</t>
  </si>
  <si>
    <t>Költségvetési szerv megnev.</t>
  </si>
  <si>
    <t>B e v é t e l</t>
  </si>
  <si>
    <t>Intézmény</t>
  </si>
  <si>
    <t>Polgárm.hiv.</t>
  </si>
  <si>
    <t>Önkorm.össz.</t>
  </si>
  <si>
    <t>Járműértékesítés</t>
  </si>
  <si>
    <t xml:space="preserve">Intézmény összesen: </t>
  </si>
  <si>
    <t>Ingatlan értékesités</t>
  </si>
  <si>
    <t xml:space="preserve">Polgármesteri Hivatal össz: </t>
  </si>
  <si>
    <t>III/1. Tárgyi eszk.immat.jav. ért.össz.</t>
  </si>
  <si>
    <t>2/i./2. sz. melléklet</t>
  </si>
  <si>
    <t xml:space="preserve">III/2. Önkormányzatok sajátos felhalmozási és tőke jellegű bevételeinek </t>
  </si>
  <si>
    <t>részletezése</t>
  </si>
  <si>
    <t>BEVÉTELEK JOGCÍMEI</t>
  </si>
  <si>
    <t>Önkorm. vagyon bérbeadás (Zsóry víz,-csat.+egyéb saj. Bev.+szeméttel.)</t>
  </si>
  <si>
    <t>Önkormányzati lakás értékesités</t>
  </si>
  <si>
    <t>III/2. Önkormányzatok sajátos felhalmozási és tőke jellegű bevétel összesen</t>
  </si>
  <si>
    <t>2/i./3. sz. melléklet</t>
  </si>
  <si>
    <t xml:space="preserve">III/3. Pénzügyi befektetés bevételének részletezése </t>
  </si>
  <si>
    <t>Tőkegarantált pénzpiaci alapok  értékesitése</t>
  </si>
  <si>
    <t>Kötvény hozama</t>
  </si>
  <si>
    <t>III/2. Pénzügyi befektetés bevétele összesen</t>
  </si>
  <si>
    <t>2/i./4. sz. melléklet</t>
  </si>
  <si>
    <t>III/4. Felhalmozási célú pénzeszköz átvétel államháztartáson kívülről</t>
  </si>
  <si>
    <t>ezer Ft-ban</t>
  </si>
  <si>
    <t>Intézmény összesen</t>
  </si>
  <si>
    <t>Polgárm.hiv. összesen</t>
  </si>
  <si>
    <t>Szent László Gimnázium - SZKHJ</t>
  </si>
  <si>
    <t>Széchenyi István Szakképző Isk. - SZKHJ</t>
  </si>
  <si>
    <t>Mköv. és Körny. Egészségéért Alapítvány-Rendelői.</t>
  </si>
  <si>
    <t>Polgármesteri Hivatal összesen:</t>
  </si>
  <si>
    <t>III./4. Felhalmozási célú pénzeszköz átvétel államháztartáson kívülről</t>
  </si>
  <si>
    <t>2/j. sz. melléklet</t>
  </si>
  <si>
    <t xml:space="preserve">IV. Támogatási kölcsönök visszatérülése </t>
  </si>
  <si>
    <t>Működési célú kölcsön visszatérülés</t>
  </si>
  <si>
    <t>Felhalmozási célú kölcsön visszatérülés</t>
  </si>
  <si>
    <t>IV. Támogatási kölcsönök visszatérülése</t>
  </si>
  <si>
    <t>2/k. melléklet</t>
  </si>
  <si>
    <t xml:space="preserve">Önállóan működő és önállóan gazdálkodó költségvetési intézmények </t>
  </si>
  <si>
    <t>2009. évi  költségvetési bevételei</t>
  </si>
  <si>
    <t>Intézmények  összesen</t>
  </si>
  <si>
    <t>1.1. Hatósági jogkörh. köt.műk. bevételek</t>
  </si>
  <si>
    <t>1.3. Általános forg. adó bevételek, visszatér.</t>
  </si>
  <si>
    <t xml:space="preserve">1.5. Műk.célú pénze. átv. államh-on kívülről  </t>
  </si>
  <si>
    <t xml:space="preserve">I/1. Intézm.műk. bevételek összesen </t>
  </si>
  <si>
    <t>1. Tárgyi eszk., immat.javak értékesítése</t>
  </si>
  <si>
    <t>4. Felhalm.c. pénzeszk.átv. államházt.kívülről</t>
  </si>
  <si>
    <t>III. Felhalmozási és tőke jell.bev.össz.</t>
  </si>
  <si>
    <t>2. Értékpapírok értékesítése</t>
  </si>
  <si>
    <t>IV. Támogat. kölcsön visszatér., ért.pap.ért. kibocs. bev.</t>
  </si>
  <si>
    <t>1. Előző évi pénzmaradvány igénybevétele</t>
  </si>
  <si>
    <t xml:space="preserve">      Ebből: működési célú</t>
  </si>
  <si>
    <t xml:space="preserve">                felhalmozási célú</t>
  </si>
  <si>
    <t>V. Pénzforgalom nélküli bevételek össz.</t>
  </si>
  <si>
    <t>Intézményi bevételek összesen</t>
  </si>
  <si>
    <t>Önkormányzati támogatás</t>
  </si>
  <si>
    <t>Intézményi bevételek mindösszesen</t>
  </si>
  <si>
    <t>Polgármesteri Hivatal feladatai össz.</t>
  </si>
  <si>
    <t>PH-hoz tartozó részben-önállóan gazd. Int. Összesen</t>
  </si>
  <si>
    <t xml:space="preserve">Polgármesteri Hivatal mind-összesen </t>
  </si>
  <si>
    <t>3. Értékpapírok értékesítése</t>
  </si>
  <si>
    <t>2/l. melléklet</t>
  </si>
  <si>
    <t xml:space="preserve">Önállóan működő (részben önállóan gazdálkodó) költségvetési intézmények </t>
  </si>
  <si>
    <t>2009. évi költségvetési bevételei</t>
  </si>
  <si>
    <t>Városi Könyvtár</t>
  </si>
  <si>
    <t>Széchenyi I. Szakképző</t>
  </si>
  <si>
    <t>Bayer R. Kollég. És Élelmk.</t>
  </si>
  <si>
    <t>PH-hoz tartozó önállóan műk. Int. Összesen</t>
  </si>
  <si>
    <t>PV.</t>
  </si>
  <si>
    <t>Önállóan működő intézmények összesen</t>
  </si>
  <si>
    <t xml:space="preserve">      2/m. sz. melléklet</t>
  </si>
  <si>
    <t xml:space="preserve">IV/1. Működési célú támogatási kölcsön visszatérülése   </t>
  </si>
  <si>
    <t xml:space="preserve">1.1. Kölcsön visszatérülése államháztartáson belülről  </t>
  </si>
  <si>
    <t xml:space="preserve">1.2. Kölcsön visszatérülése államháztartáson kívülről </t>
  </si>
  <si>
    <t>Kamatmentes kölcsön -háztartásoktól</t>
  </si>
  <si>
    <t>IV/1. Működési célú támog. kölcsön visszatér. összesen</t>
  </si>
  <si>
    <t xml:space="preserve">      2/n. sz. melléklet</t>
  </si>
  <si>
    <t xml:space="preserve">IV/2. Felhalmozási célú támogatási kölcsön visszatérülése </t>
  </si>
  <si>
    <t xml:space="preserve">2.1. Kölcsön visszatérülése államháztartáson belülről </t>
  </si>
  <si>
    <t xml:space="preserve">2.1. Kölcsön visszatérülése államháztartáson kívülről </t>
  </si>
  <si>
    <t>Dolg.lak.ép.,vás.-ra folyósitott kőlcsön</t>
  </si>
  <si>
    <t>Lakáshitel - háztartásoktól</t>
  </si>
  <si>
    <t>Első lakás - háztartásoktól</t>
  </si>
  <si>
    <t>Lakáscélu - háztartásoktól</t>
  </si>
  <si>
    <t>IV/2. Felhalmozási célú támog.kölcsön visszatér. összesen</t>
  </si>
  <si>
    <r>
      <t xml:space="preserve"> </t>
    </r>
    <r>
      <rPr>
        <b/>
        <u val="single"/>
        <sz val="10"/>
        <rFont val="Arial CE"/>
        <family val="2"/>
      </rPr>
      <t>3. sz. melléklet</t>
    </r>
  </si>
  <si>
    <t>Felújítási kiadási előirányzatok</t>
  </si>
  <si>
    <t>célonkénti részletezése</t>
  </si>
  <si>
    <t>Felújítási cél</t>
  </si>
  <si>
    <t>2009. évi előirányzat</t>
  </si>
  <si>
    <t>Szent László Gimnázium - taniroda felújítás</t>
  </si>
  <si>
    <t>Ös s z e s e n:</t>
  </si>
  <si>
    <t>2008. évben indult Csokonai-Radnóti út</t>
  </si>
  <si>
    <t>Bajcsy Zs. Út</t>
  </si>
  <si>
    <t>Díszburkolat bővítés</t>
  </si>
  <si>
    <t xml:space="preserve">          Útfelújítás összesen</t>
  </si>
  <si>
    <t>Víz-,csatorna felujitás</t>
  </si>
  <si>
    <t xml:space="preserve">          Települési vízellátás összesen</t>
  </si>
  <si>
    <t>Polgármestei Hivatal összesen</t>
  </si>
  <si>
    <t>Önkormányzat összesen:</t>
  </si>
  <si>
    <t>4.sz. melléklet</t>
  </si>
  <si>
    <t>Beruházási kiadási előirányzatok</t>
  </si>
  <si>
    <t>feladatonkénti részletezése</t>
  </si>
  <si>
    <t>Beruházási feladat</t>
  </si>
  <si>
    <t>Városi Rendelőintézet</t>
  </si>
  <si>
    <t>Ö s s z e s e n :</t>
  </si>
  <si>
    <t>Szent László Gimnázium és Szakközépiskola</t>
  </si>
  <si>
    <t xml:space="preserve">  - ügyvitel, számítástechn.berendezések</t>
  </si>
  <si>
    <t xml:space="preserve">  - gép, berend.felszerelés</t>
  </si>
  <si>
    <t>Széchenyi István Szakképző Iskola</t>
  </si>
  <si>
    <t xml:space="preserve">Polgármesteri Hivatal  </t>
  </si>
  <si>
    <t xml:space="preserve">          -    fénymásoló beszerzés /óvoda/</t>
  </si>
  <si>
    <t xml:space="preserve">          -   Bárdos L. tagiskola akadálymentesítés</t>
  </si>
  <si>
    <t xml:space="preserve">          -   Gyula úti orvosi rend. Akadálymentesítés</t>
  </si>
  <si>
    <t xml:space="preserve">          -   Bayer R. Kollég. Akadálymentesítés</t>
  </si>
  <si>
    <t xml:space="preserve">          -   Városi Rendelőint. Akadálymentesítés</t>
  </si>
  <si>
    <t xml:space="preserve">          -   I. sz. tagóvoda Akadálymentesítés</t>
  </si>
  <si>
    <t xml:space="preserve">          -   Belosztály  krónikus egység fejl.</t>
  </si>
  <si>
    <t xml:space="preserve">              Városgazd. Szolg. mindösszesen</t>
  </si>
  <si>
    <t xml:space="preserve">              Közvilágítási feladatok összesen</t>
  </si>
  <si>
    <t xml:space="preserve">             Szennyvízcsatorna fejlesztési feladatok összesen</t>
  </si>
  <si>
    <t>ÖNKORMÁNYZAT ÖSSZESEN:</t>
  </si>
  <si>
    <r>
      <t xml:space="preserve">     </t>
    </r>
    <r>
      <rPr>
        <b/>
        <u val="single"/>
        <sz val="10"/>
        <rFont val="Arial CE"/>
        <family val="2"/>
      </rPr>
      <t>5. sz. melléklet</t>
    </r>
  </si>
  <si>
    <t>Céltartalék összegének célonkénti részletezése</t>
  </si>
  <si>
    <t>M e g n e v e z é s</t>
  </si>
  <si>
    <t xml:space="preserve"> 2009. évi előirányzat</t>
  </si>
  <si>
    <t>M Ű K Ö D É S</t>
  </si>
  <si>
    <t>Inézmények nyári tisztasági festése</t>
  </si>
  <si>
    <t>érdekeltségnövelő támogatás önrész</t>
  </si>
  <si>
    <t>energia és egyéb közüzemi díj árváltozásra</t>
  </si>
  <si>
    <t>szakértői díjak, engedélyek</t>
  </si>
  <si>
    <t>szociális juttatások önerejének növekedésére</t>
  </si>
  <si>
    <t xml:space="preserve">Működési céltartalék összesen: </t>
  </si>
  <si>
    <t xml:space="preserve">Felhalmozás </t>
  </si>
  <si>
    <t>hitelkamatok változására</t>
  </si>
  <si>
    <t>pályázati önerő - Tüo. Gépjármű beszerzés (kötelezettség)</t>
  </si>
  <si>
    <t>pályázati önerő - egyéb</t>
  </si>
  <si>
    <t>kötvény kamatkiadásának fedezetére tartalék</t>
  </si>
  <si>
    <t xml:space="preserve">Felhalmozási céltartalék összesen: </t>
  </si>
  <si>
    <t xml:space="preserve">Céltartalék mindösszesen: </t>
  </si>
  <si>
    <r>
      <t xml:space="preserve">    </t>
    </r>
    <r>
      <rPr>
        <b/>
        <u val="single"/>
        <sz val="10"/>
        <rFont val="Arial CE"/>
        <family val="2"/>
      </rPr>
      <t>6. sz. melléklet</t>
    </r>
  </si>
  <si>
    <t>Költségvetési szervek létszámkerete</t>
  </si>
  <si>
    <t>Költségvetési szerv</t>
  </si>
  <si>
    <t>Jóváh.létszám /fő/</t>
  </si>
  <si>
    <t>Önkormányzati Tűzoltóság</t>
  </si>
  <si>
    <t>Bayer Róbert Középiskolai Kollégium</t>
  </si>
  <si>
    <t>Közcélú foglalkoztatottak</t>
  </si>
  <si>
    <t>Városi Önkorm. Rendelőintézet</t>
  </si>
  <si>
    <t>Polgári Védelmi Társulás</t>
  </si>
  <si>
    <t>Városgondnokság</t>
  </si>
  <si>
    <t>Bölcsőde</t>
  </si>
  <si>
    <t>Létszámkeret összesen</t>
  </si>
  <si>
    <t>7. sz. melléklet</t>
  </si>
  <si>
    <t>I. Működési célú bevételek és kiadások mérlege</t>
  </si>
  <si>
    <t>K i a d á s</t>
  </si>
  <si>
    <t>2009.évi előir.</t>
  </si>
  <si>
    <t>2009. évi előir.</t>
  </si>
  <si>
    <t>Működési bevételek</t>
  </si>
  <si>
    <t>Személyi juttatások</t>
  </si>
  <si>
    <t>Felhalm.ÁFA visszatér.</t>
  </si>
  <si>
    <t>Munkaadót terhelő járulékok</t>
  </si>
  <si>
    <t xml:space="preserve">Magánszem.komm.adója 100 % </t>
  </si>
  <si>
    <t>Dologi kiadások</t>
  </si>
  <si>
    <t>Magánszem.ép.adó 20 %</t>
  </si>
  <si>
    <t>ebből: - rövid lejáratú hit.kamata</t>
  </si>
  <si>
    <t>Támog. támog.ért.bevételek</t>
  </si>
  <si>
    <r>
      <t xml:space="preserve">          -</t>
    </r>
    <r>
      <rPr>
        <sz val="9"/>
        <rFont val="Arial CE"/>
        <family val="2"/>
      </rPr>
      <t>hosszú lejáratú hit.kamata</t>
    </r>
  </si>
  <si>
    <t>ebből:lakáshoz jut.tám.SZJA 100 %-a</t>
  </si>
  <si>
    <t xml:space="preserve">         - ért. tárgyie.áfabefiz</t>
  </si>
  <si>
    <t xml:space="preserve">       felhalm. támog.</t>
  </si>
  <si>
    <t>Speciális célú támogatás</t>
  </si>
  <si>
    <t>Nyújtott kölcsönök visszatérülése</t>
  </si>
  <si>
    <t>ebből: - társad.és szocpol.juttat.</t>
  </si>
  <si>
    <t>Pénzmaradv.igénybevétele</t>
  </si>
  <si>
    <t>Ellátottak pénzbeni jutt.</t>
  </si>
  <si>
    <t>Luxusadó 20%-a</t>
  </si>
  <si>
    <t>Támogtás értékű kiadás</t>
  </si>
  <si>
    <t>Nyújtott kölcsönök</t>
  </si>
  <si>
    <t>Pénzeszközátadás</t>
  </si>
  <si>
    <t>Tartalékok</t>
  </si>
  <si>
    <t xml:space="preserve">  - általános tartalék</t>
  </si>
  <si>
    <t xml:space="preserve">  - céltartalék</t>
  </si>
  <si>
    <t>Költségvetési bev.össz.</t>
  </si>
  <si>
    <t>Költségvetési kiadás össz.</t>
  </si>
  <si>
    <t>Hitelfelvétel /forráshiány/</t>
  </si>
  <si>
    <t>Hiteltörlesztés</t>
  </si>
  <si>
    <t>ebből: - rulírozó hitel</t>
  </si>
  <si>
    <t xml:space="preserve">          - forráshiány</t>
  </si>
  <si>
    <t>Műk.célú bevétel összesen:</t>
  </si>
  <si>
    <t>Műk.célú kiadás összesen:</t>
  </si>
  <si>
    <t>II. Felhalmozási célú bevételek és kiadások mérlege</t>
  </si>
  <si>
    <t>Felhalm. és tőke jell.bev.</t>
  </si>
  <si>
    <t>Beruházás</t>
  </si>
  <si>
    <t>Önkorm. Felhalm támog.</t>
  </si>
  <si>
    <t>Felújítás</t>
  </si>
  <si>
    <t>Támogatás értékű bevételek</t>
  </si>
  <si>
    <t>Pénzügyi befektetések</t>
  </si>
  <si>
    <t>Átvett pénzeszk.egyéb szerv.-től</t>
  </si>
  <si>
    <t>Pénzeszköz átadás áh.kív.</t>
  </si>
  <si>
    <t>Pénzmaradvány igénybevétel</t>
  </si>
  <si>
    <t>Nyújtott kölcsön visszatér.</t>
  </si>
  <si>
    <t>Hosszú lejáratú hitelek kamata</t>
  </si>
  <si>
    <t>Átengedett közp.-i adók</t>
  </si>
  <si>
    <t>ebből: lakáshoz jutás és lakásfenntart.tám.SZJA 50 %-a</t>
  </si>
  <si>
    <t>a./ általános tartalék</t>
  </si>
  <si>
    <t>Magánszem.komm.adója 100 %</t>
  </si>
  <si>
    <t>b./ céltartalék</t>
  </si>
  <si>
    <t>Magánsz.építm.és telekadó 20 %</t>
  </si>
  <si>
    <t>Értékesített tárgyie.áfabefiz.</t>
  </si>
  <si>
    <t>Támogatás értékű kiadás</t>
  </si>
  <si>
    <t>Felhalm.kiad.ÁFA visszatér.</t>
  </si>
  <si>
    <t>Költségvetési bevét.össz.</t>
  </si>
  <si>
    <t>Költségvetési kiad.össz.</t>
  </si>
  <si>
    <t>Hitelfelvétel</t>
  </si>
  <si>
    <t>Felhalm.bevét.össz.</t>
  </si>
  <si>
    <t>Felhalm.célú kiad.össz.</t>
  </si>
  <si>
    <t>Költségvetési bevét.mindössz.</t>
  </si>
  <si>
    <t>Költségvetési kiad.mindössz.</t>
  </si>
  <si>
    <t>Hiteltörlesztés összesen</t>
  </si>
  <si>
    <t>Önkormányzati bev.mindö.</t>
  </si>
  <si>
    <t>Önkorm.kiadás mindössz.</t>
  </si>
  <si>
    <t xml:space="preserve">                 8.sz. melléklet</t>
  </si>
  <si>
    <t>A költségvetési évet követő 2 év várható előirányzatai</t>
  </si>
  <si>
    <r>
      <t xml:space="preserve">                                </t>
    </r>
    <r>
      <rPr>
        <b/>
        <sz val="12"/>
        <rFont val="Times New Roman"/>
        <family val="1"/>
      </rPr>
      <t xml:space="preserve">Megnevezés            </t>
    </r>
  </si>
  <si>
    <t>2010. év</t>
  </si>
  <si>
    <t>2011. év</t>
  </si>
  <si>
    <t xml:space="preserve">I. Működési célú bevételek és kiadások </t>
  </si>
  <si>
    <t>Intézményi működési bevételek</t>
  </si>
  <si>
    <t>Önkormányzat sajátos működési bevétele</t>
  </si>
  <si>
    <t>Önkorm. költségv.-i támogat., átenged. szem jöv.adó</t>
  </si>
  <si>
    <t xml:space="preserve">Működési célú pénzeszk. átvétel államházt. kívülről </t>
  </si>
  <si>
    <t xml:space="preserve">Támogatásértékű működési bevétel </t>
  </si>
  <si>
    <t xml:space="preserve">Továbbadási célú (lebonyolítási) működ. bevétel </t>
  </si>
  <si>
    <t xml:space="preserve">Működési célú kölcsön visszatérülése, igénybevétele </t>
  </si>
  <si>
    <t>Rövid lejáratú hitel</t>
  </si>
  <si>
    <t xml:space="preserve">Rövid lejár. értékpapírok értékesítése, kibocsátása </t>
  </si>
  <si>
    <t>Működési célú előző évi pénzmaradvány igénybevétele</t>
  </si>
  <si>
    <t xml:space="preserve">Működési célú bevételek összesen: </t>
  </si>
  <si>
    <t xml:space="preserve">Dologi kiadások és egyéb folyó kiadások </t>
  </si>
  <si>
    <t>Működési célú pénzeszköz átadás államházt. kívülre</t>
  </si>
  <si>
    <t>Támogatásértékű működési kiadás</t>
  </si>
  <si>
    <t>Továbbadási célú (lebonyolítási) működ. kiadás</t>
  </si>
  <si>
    <t>Ellátottak pénzbeni juttatása</t>
  </si>
  <si>
    <t xml:space="preserve">Működési célú kölcsönök nyújtása és törlesztése </t>
  </si>
  <si>
    <t xml:space="preserve">Rövid lejáratú hitelek visszafizetése </t>
  </si>
  <si>
    <t>Rövid lejáratú hitelek kamata</t>
  </si>
  <si>
    <t xml:space="preserve">Rövid lejáratú értékpapírok beváltása, vásárlása </t>
  </si>
  <si>
    <t xml:space="preserve">Működési célú kiadások összesen: </t>
  </si>
  <si>
    <t>II. Felhalmozási  célú bevét. és kiad.</t>
  </si>
  <si>
    <t>Önkormányzat felhalmozási és tőke jellegű bevételei</t>
  </si>
  <si>
    <t>Önkormányzatok sajátos felhalm. és tőke jell. bevét.</t>
  </si>
  <si>
    <t xml:space="preserve">Fejlesztési célú támogatások </t>
  </si>
  <si>
    <t>Felhalm.-i célú pénzeszköz átvétel államháztart. kívülről</t>
  </si>
  <si>
    <t xml:space="preserve">Támogatásértékű felhalmozási bevétel </t>
  </si>
  <si>
    <t>Továbbadási (lebonyolítási) célú felhalmozási bevétel</t>
  </si>
  <si>
    <t>Felhalmozási áfa visszatérülés</t>
  </si>
  <si>
    <t>Értékesített tárgyi eszk., immateriális javak áfa-ja</t>
  </si>
  <si>
    <t>Felhalm. célú kölcsönök visszatérülése, igénybevétele</t>
  </si>
  <si>
    <t>Hosszúlejáratú hitel felvétel</t>
  </si>
  <si>
    <t xml:space="preserve">Hosszú lejáratú értékpapírok kibocsátása </t>
  </si>
  <si>
    <t xml:space="preserve">Felhalm.-i célú pénzmaradvány igénybevétele </t>
  </si>
  <si>
    <t>Felhalmozási célú bevételek összesen:</t>
  </si>
  <si>
    <t>Felhalmozási kiadások (áfa-val  együtt)</t>
  </si>
  <si>
    <t>Felújítási kiadások (áfa-val együtt)</t>
  </si>
  <si>
    <t>Értékesített tárgyi eszk. áfa-ja miatti befizetés</t>
  </si>
  <si>
    <t>Felhalm.-i célú pénzeszköz átadás államházt.kívülre</t>
  </si>
  <si>
    <t>Támogatásértékű felhalmozási kiadás</t>
  </si>
  <si>
    <t>Továbbadási (lebonyolítási) célú felhalmozási kiadás</t>
  </si>
  <si>
    <t xml:space="preserve">Felhalmozási célú kölcsönök nyújtása és törlesztése </t>
  </si>
  <si>
    <t>Hosszú lejáratú hitel visszafizetése</t>
  </si>
  <si>
    <t>Hosszú lejáratú hitel kamata</t>
  </si>
  <si>
    <t xml:space="preserve">Hosszú lejáratú értékpapírok vásárlása </t>
  </si>
  <si>
    <t xml:space="preserve">Tartalékok </t>
  </si>
  <si>
    <t>Felhalmozási célú kiadások összesen:</t>
  </si>
  <si>
    <t>Önkormányzat bevételei összesen:</t>
  </si>
  <si>
    <t>Önkormányzat kiadásai összesen:</t>
  </si>
  <si>
    <t xml:space="preserve">           9. sz. melléklet</t>
  </si>
  <si>
    <t>Adatszolgáltatás az önkormányzat felügyelete alá tartozó</t>
  </si>
  <si>
    <t xml:space="preserve">  költségvetési szerv által elismert tartozásállományról </t>
  </si>
  <si>
    <t>2009. ......................... hó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</si>
  <si>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</si>
  <si>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</si>
  <si>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</si>
  <si>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</si>
  <si>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</si>
  <si>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</si>
  <si>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</si>
  <si>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</si>
  <si>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</si>
  <si>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</si>
  <si>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</si>
  <si>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</si>
  <si>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</si>
  <si>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</si>
  <si>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</si>
  <si>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</si>
  <si>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</si>
  <si>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</si>
  <si>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</si>
  <si>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 xml:space="preserve">(x) Az önkormányzat költségvetési rendletének 23 §-ában </t>
  </si>
  <si>
    <t>meghatározott határnapon túli tartozásállomány.</t>
  </si>
  <si>
    <t xml:space="preserve">........................ 2009. ............ hó .... nap </t>
  </si>
  <si>
    <t>..........................................</t>
  </si>
  <si>
    <t xml:space="preserve">költségvetési szerv vezetője </t>
  </si>
  <si>
    <t>10/A. sz. melléklet</t>
  </si>
  <si>
    <t>A Cigány Kisebbségi Önkormányzat</t>
  </si>
  <si>
    <t>2009. évi költségvetése</t>
  </si>
  <si>
    <t>Bevételek alakulása</t>
  </si>
  <si>
    <t xml:space="preserve">  - Központi támogatás</t>
  </si>
  <si>
    <t xml:space="preserve">  - Önkormányzati támogatás</t>
  </si>
  <si>
    <t>Ö s s z e s   b e v é t e l</t>
  </si>
  <si>
    <t>Kiadások alakulása</t>
  </si>
  <si>
    <r>
      <t xml:space="preserve">Kôzponti </t>
    </r>
    <r>
      <rPr>
        <b/>
        <sz val="10"/>
        <rFont val="Arial CE"/>
        <family val="2"/>
      </rPr>
      <t xml:space="preserve"> tám. </t>
    </r>
  </si>
  <si>
    <t xml:space="preserve">Önkorm. tám. </t>
  </si>
  <si>
    <t>Kisebbségi alkalm. foglalk.</t>
  </si>
  <si>
    <t>Karbantartás</t>
  </si>
  <si>
    <t>Postaktg</t>
  </si>
  <si>
    <t>Festékpatron</t>
  </si>
  <si>
    <t>Eszközbeszerzés - irodaszer</t>
  </si>
  <si>
    <t>2009. évi kiküldetés, saját szgk*haszn.</t>
  </si>
  <si>
    <t>Roma Ki Mit Tud, Roma Nap</t>
  </si>
  <si>
    <t>Rászoruló iskolás tanulók tanulm.kiránd-</t>
  </si>
  <si>
    <t>2009-ben hátrányos helyzetű iskolások füzetcsomag vásárlása, pótlása</t>
  </si>
  <si>
    <t>Koszorúzás</t>
  </si>
  <si>
    <t>Telefonktg.</t>
  </si>
  <si>
    <t>pályázati díjak</t>
  </si>
  <si>
    <t>Ö s s z e s   k i a d á s</t>
  </si>
  <si>
    <t>Személyi jellegű kiadás</t>
  </si>
  <si>
    <t xml:space="preserve">Munkaadókat terhelő járulák </t>
  </si>
  <si>
    <t>Dologi jellegű kiadás</t>
  </si>
  <si>
    <t>Működési kiadás össz.</t>
  </si>
  <si>
    <t>10/B. sz. melléklet</t>
  </si>
  <si>
    <t>Az Örmény Kisebbségi Önkormányzat</t>
  </si>
  <si>
    <t xml:space="preserve">  - Átvett pénz</t>
  </si>
  <si>
    <t>Társadalmi szervek tám.</t>
  </si>
  <si>
    <t>Dologi kiadás</t>
  </si>
  <si>
    <t xml:space="preserve">11. sz. melléklet </t>
  </si>
  <si>
    <t xml:space="preserve">   ELŐIRÁNYZAT-FELHASZNÁLÁSI ÜTEMTERV</t>
  </si>
  <si>
    <t xml:space="preserve">       2009. év </t>
  </si>
  <si>
    <t xml:space="preserve">Hónap </t>
  </si>
  <si>
    <t xml:space="preserve">Bevétel </t>
  </si>
  <si>
    <t>Kiadás</t>
  </si>
  <si>
    <t xml:space="preserve">Hitel felvétel </t>
  </si>
  <si>
    <t>Hitel törlesztés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</si>
  <si>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</si>
  <si>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</si>
  <si>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</si>
  <si>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</si>
  <si>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</si>
  <si>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</si>
  <si>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</si>
  <si>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</si>
  <si>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</si>
  <si>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</si>
  <si>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</si>
  <si>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</si>
  <si>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12. sz. melléklet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</si>
  <si>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</si>
  <si>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</si>
  <si>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</si>
  <si>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</si>
  <si>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</si>
  <si>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</si>
  <si>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</si>
  <si>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</si>
  <si>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</si>
  <si>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Mező F. fűtéskorsz.</t>
  </si>
  <si>
    <t xml:space="preserve"> Piac építés fejl.h., . </t>
  </si>
  <si>
    <t>16 lakásos bérlakás-építés</t>
  </si>
  <si>
    <t>Gépjármű hitel - Polg. Hiv</t>
  </si>
  <si>
    <t xml:space="preserve"> Kötvény visszafiz. **</t>
  </si>
  <si>
    <t>2009. évben induló beruh.</t>
  </si>
  <si>
    <t>Zsóry fürdő      2005.</t>
  </si>
  <si>
    <t>Fennálló hitel, kötvénytart.  2009. I. 1-jén</t>
  </si>
  <si>
    <t>2009. évi hitelfelvét.</t>
  </si>
  <si>
    <t>Hitel vissza-fizetési köt.</t>
  </si>
  <si>
    <t>Mindössz.</t>
  </si>
  <si>
    <t>13.sz. melléklet</t>
  </si>
  <si>
    <t>K I M U T A T Á S</t>
  </si>
  <si>
    <t>Mezőkövesd város önkormányzata által 2009. évben nyújtandó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</si>
  <si>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</si>
  <si>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</si>
  <si>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</si>
  <si>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</si>
  <si>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</si>
  <si>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</si>
  <si>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Dolgozók lakásép., felújítási kölcsöne</t>
  </si>
  <si>
    <t xml:space="preserve">  14. sz. melléklet</t>
  </si>
  <si>
    <t>a 2009. évre tervezett közvetett támogatásokról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</si>
  <si>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</si>
  <si>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</si>
  <si>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</si>
  <si>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</si>
  <si>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 xml:space="preserve">54/2004. (XII.16.) ÖK. sz. rend. 7. § (2) bek. 25 %-os kedv. </t>
  </si>
  <si>
    <t xml:space="preserve">Adókedvezmény, mentesség gépjárműadónál: </t>
  </si>
  <si>
    <t>1991. évi LXXXII. tv. Mozgáskorl. mentesség +költségvetési szervek egyházak, stb.</t>
  </si>
  <si>
    <t xml:space="preserve">Összesen </t>
  </si>
  <si>
    <t>A közvetett támogatások tervezése az előző évi tapasztalati adatok alapján illetve a jogszabályi válto-</t>
  </si>
  <si>
    <t>zások alapulvételével történt. A helyi iparűzési adórendelet 7.§.(2) bekezdése alapján azt a vállalkozót</t>
  </si>
  <si>
    <t xml:space="preserve">akinek a vállalozási szintű adóalapja nem haladja meg az 1 millió Ft-ot 25%-os mértékű adókedvezmény </t>
  </si>
  <si>
    <t>illeti meg.</t>
  </si>
  <si>
    <t>A környezetvédelmi osztályba sorolás szerinti kedvezmény illetve a mozgáskorlátozottság miatti men-</t>
  </si>
  <si>
    <t>tességek tapasztalati adatok illetve a tövény változása alapján kerültek számszerűsítésre.</t>
  </si>
  <si>
    <t xml:space="preserve">  15. sz. melléklet</t>
  </si>
  <si>
    <t>a pénzeszközök  2009. évre tervezett változásáról</t>
  </si>
  <si>
    <t xml:space="preserve">M e g n e v e z é s </t>
  </si>
  <si>
    <t>Kv-i elsz.</t>
  </si>
  <si>
    <t>Nyitó pénzkészlet 2009. január 1-jén</t>
  </si>
  <si>
    <t xml:space="preserve">Összes bevétel tervezett összege </t>
  </si>
  <si>
    <t xml:space="preserve">Összes kiadás tervezett összege </t>
  </si>
  <si>
    <t>Záró pénzkészlet tervezett összege 2009. dec. 31-én</t>
  </si>
  <si>
    <t>16. sz. melléklet</t>
  </si>
  <si>
    <t xml:space="preserve">        KIMUTATÁS</t>
  </si>
  <si>
    <t xml:space="preserve">                 az önkormányzat által felvett hitelek állományáról </t>
  </si>
  <si>
    <t xml:space="preserve">             2009. év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</si>
  <si>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</si>
  <si>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</si>
  <si>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</si>
  <si>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</si>
  <si>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</si>
  <si>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</si>
  <si>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</si>
  <si>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</si>
  <si>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</si>
  <si>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</si>
  <si>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</si>
  <si>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</si>
  <si>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</si>
  <si>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Működési, folyószámla hitel</t>
  </si>
  <si>
    <t>Zsóry fejl. hitel 2005.</t>
  </si>
  <si>
    <t>16 lak.bérlakásép. fejl. hitel.</t>
  </si>
  <si>
    <t>Piac-Fejlesztési célhitel</t>
  </si>
  <si>
    <t>xxxxxxxx</t>
  </si>
  <si>
    <t>17. sz. melléklet</t>
  </si>
  <si>
    <t xml:space="preserve">         KIMUTATÁS</t>
  </si>
  <si>
    <t xml:space="preserve">          az önkormányzat által nyújtott hitelek (kölcsönök) állományáról </t>
  </si>
  <si>
    <t xml:space="preserve">              2009. év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</si>
  <si>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</si>
  <si>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</si>
  <si>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</si>
  <si>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</si>
  <si>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</si>
  <si>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</si>
  <si>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</si>
  <si>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</si>
  <si>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</si>
  <si>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</si>
  <si>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</si>
  <si>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18. sz.melléklet</t>
  </si>
  <si>
    <t xml:space="preserve">a közvetett támogatásokról </t>
  </si>
  <si>
    <t xml:space="preserve">Közvetett támogatás megnevezése </t>
  </si>
  <si>
    <t xml:space="preserve">                            Összeg </t>
  </si>
  <si>
    <t>Tervezett</t>
  </si>
  <si>
    <t>Tényleges</t>
  </si>
  <si>
    <t xml:space="preserve">Adókedvezmények </t>
  </si>
  <si>
    <t>19. sz.melléklet</t>
  </si>
  <si>
    <t>a pénzeszközök változásáról</t>
  </si>
  <si>
    <t xml:space="preserve">                       Ezer Ft-ban</t>
  </si>
  <si>
    <t xml:space="preserve">Tényleges </t>
  </si>
  <si>
    <t xml:space="preserve">Nyitó pénzkészlet 2009.január 1-jén </t>
  </si>
  <si>
    <t>Összes bevétel összege</t>
  </si>
  <si>
    <t>Összes kiadás összege</t>
  </si>
  <si>
    <t xml:space="preserve">Záró pénzkészlet 2009. dec. 31-én </t>
  </si>
  <si>
    <t>20.sz. melléklet</t>
  </si>
  <si>
    <t>Több éves kihatással járó döntések számszerűsítése</t>
  </si>
  <si>
    <t>Mköv. Szennyv. A. támogatására Ny-i vár.r.</t>
  </si>
  <si>
    <t>Ö S S Z E S E N :</t>
  </si>
  <si>
    <t>A képviselő-testület egyetértett a Mezőkövesd  Szennyvízelvezetéséért Alapítvány célkitűzéseivel, és kötelezettséget vállalt, hogy az Alapítvány részére támogatást nyújt a vállalt célok megvalósítására.</t>
  </si>
  <si>
    <t>1. Sz. tájékoztató</t>
  </si>
  <si>
    <t>Az önkormányzatot 2007-2008-2009. években felhasználási kötöttség nélkül</t>
  </si>
  <si>
    <t>megillető normatív támogatás</t>
  </si>
  <si>
    <t>eFt</t>
  </si>
  <si>
    <t>Jogcím megnevezése</t>
  </si>
  <si>
    <t>2007.tény</t>
  </si>
  <si>
    <t>2008.tény</t>
  </si>
  <si>
    <t>2009.terv</t>
  </si>
  <si>
    <t>Települési, igazgatási, kommunális feladatok</t>
  </si>
  <si>
    <r>
      <t xml:space="preserve">  (17603*1380) </t>
    </r>
    <r>
      <rPr>
        <sz val="10"/>
        <rFont val="Arial"/>
        <family val="2"/>
      </rPr>
      <t>(17520*1430)</t>
    </r>
    <r>
      <rPr>
        <b/>
        <sz val="10"/>
        <rFont val="Arial CE"/>
        <family val="2"/>
      </rPr>
      <t>17389*1057</t>
    </r>
  </si>
  <si>
    <t>Települési sportfeladatok támog. 17389*500</t>
  </si>
  <si>
    <r>
      <t xml:space="preserve">Körjegyz. műk alaphzj. </t>
    </r>
    <r>
      <rPr>
        <i/>
        <sz val="9"/>
        <rFont val="Arial CE"/>
        <family val="2"/>
      </rPr>
      <t>(12*370000) (12*370000)</t>
    </r>
    <r>
      <rPr>
        <b/>
        <sz val="9"/>
        <rFont val="Arial CE"/>
        <family val="2"/>
      </rPr>
      <t>12*300000</t>
    </r>
  </si>
  <si>
    <t>Üdülőhelyi feladatok</t>
  </si>
  <si>
    <r>
      <t xml:space="preserve">   </t>
    </r>
    <r>
      <rPr>
        <sz val="10"/>
        <rFont val="Arial CE"/>
        <family val="2"/>
      </rPr>
      <t>(12.000.000*2) (14.000.000*</t>
    </r>
    <r>
      <rPr>
        <i/>
        <sz val="10"/>
        <rFont val="Arial CE"/>
        <family val="2"/>
      </rPr>
      <t>2)</t>
    </r>
    <r>
      <rPr>
        <b/>
        <i/>
        <sz val="10"/>
        <rFont val="Arial CE"/>
        <family val="2"/>
      </rPr>
      <t>16.000.000*2</t>
    </r>
  </si>
  <si>
    <t>Bentlakásos és átmeneti elh. nyújtó intézményi ellátás</t>
  </si>
  <si>
    <r>
      <t xml:space="preserve">    </t>
    </r>
    <r>
      <rPr>
        <sz val="10"/>
        <rFont val="Arial CE"/>
        <family val="2"/>
      </rPr>
      <t>(55*700000)</t>
    </r>
  </si>
  <si>
    <t>Nappali szociális intézeti ellátás (30*150.000)</t>
  </si>
  <si>
    <r>
      <t xml:space="preserve">Bölcsődei ellátás   </t>
    </r>
    <r>
      <rPr>
        <sz val="10"/>
        <rFont val="Arial CE"/>
        <family val="2"/>
      </rPr>
      <t xml:space="preserve">(48*547.000) (56*547000) </t>
    </r>
    <r>
      <rPr>
        <b/>
        <sz val="10"/>
        <rFont val="Arial CE"/>
        <family val="2"/>
      </rPr>
      <t>56*540150</t>
    </r>
  </si>
  <si>
    <r>
      <t xml:space="preserve">Ingyenes bölcsődei étk. </t>
    </r>
    <r>
      <rPr>
        <sz val="10"/>
        <rFont val="Arial CE"/>
        <family val="2"/>
      </rPr>
      <t>(6*50000)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(10*50000)</t>
    </r>
    <r>
      <rPr>
        <b/>
        <sz val="10"/>
        <rFont val="Arial CE"/>
        <family val="2"/>
      </rPr>
      <t xml:space="preserve"> 19*65000</t>
    </r>
  </si>
  <si>
    <r>
      <t xml:space="preserve">Óvodai nev.alaphzj </t>
    </r>
    <r>
      <rPr>
        <sz val="8"/>
        <rFont val="Arial CE"/>
        <family val="2"/>
      </rPr>
      <t>(453*199.000)(</t>
    </r>
    <r>
      <rPr>
        <i/>
        <sz val="8"/>
        <rFont val="Arial CE"/>
        <family val="2"/>
      </rPr>
      <t>497*199.000*8/12)</t>
    </r>
  </si>
  <si>
    <t>Óvodai hzj. Kieg. Hzj (140*10.000 Ft)</t>
  </si>
  <si>
    <r>
      <t>Óvodai nev. alaphzj.(2007.szept.1-től  8,3*2550000*4/12 1.nev.év.) 1</t>
    </r>
    <r>
      <rPr>
        <b/>
        <sz val="10"/>
        <rFont val="Arial CE"/>
        <family val="2"/>
      </rPr>
      <t>-</t>
    </r>
    <r>
      <rPr>
        <sz val="10"/>
        <rFont val="Arial CE"/>
        <family val="2"/>
      </rPr>
      <t>nevelési év 111*2550000*8/12</t>
    </r>
  </si>
  <si>
    <t>Óvodai nev. alaphzj.(2007.szept.1-től  8,3*2550000*4/12 1.nev.év.) 2-3-nevelési év 358*2550000*8/13</t>
  </si>
  <si>
    <r>
      <t xml:space="preserve">Óvodai nev. alaphzj.(2007.szept.1-től  8,3*2550000*4/12 1.nev.év.) 1-2 nevelési év </t>
    </r>
    <r>
      <rPr>
        <sz val="8"/>
        <rFont val="Arial CE"/>
        <family val="2"/>
      </rPr>
      <t>(105*2550000*4/12)</t>
    </r>
  </si>
  <si>
    <t>Óvodai nev. alaphzj.(2007.szept.1-től  8,3*2550000*4/12 1.nev.év.)3-nevelési év 350*2550000*4/12</t>
  </si>
  <si>
    <t xml:space="preserve">Óvodai nev. alaphzj.1-3-nevelési év </t>
  </si>
  <si>
    <t>Alaphzj.2007.szept.1-től 32,4*2550000*4/12 2-3.nev.év.</t>
  </si>
  <si>
    <t>Óvodai gyógyped.ellát.</t>
  </si>
  <si>
    <t>beszéd, enyhe ért.fogy.pszichés fejl.zavar integrált nev. 3*417600*8/12</t>
  </si>
  <si>
    <t>beszéd, enyhe ért.fogy.integrált nev. 1*192000*4/12</t>
  </si>
  <si>
    <r>
      <t>Isk.okt.alaph.1-4évf.</t>
    </r>
    <r>
      <rPr>
        <b/>
        <i/>
        <sz val="8"/>
        <rFont val="Arial CE"/>
        <family val="2"/>
      </rPr>
      <t>(</t>
    </r>
    <r>
      <rPr>
        <sz val="8"/>
        <rFont val="Arial CE"/>
        <family val="2"/>
      </rPr>
      <t>491*204.000(</t>
    </r>
    <r>
      <rPr>
        <b/>
        <i/>
        <sz val="8"/>
        <rFont val="Arial CE"/>
        <family val="2"/>
      </rPr>
      <t>)</t>
    </r>
    <r>
      <rPr>
        <sz val="8"/>
        <rFont val="Arial CE"/>
        <family val="2"/>
      </rPr>
      <t>453*204.000*8/12)</t>
    </r>
  </si>
  <si>
    <t>Isk.okt.alaph.1évf.132*2550000*8/12</t>
  </si>
  <si>
    <t>Isk.okt.alaph.2-3évf.260*2550000*8/12</t>
  </si>
  <si>
    <t>Isk.okt.alaph.4évf.173*2550000*8/12</t>
  </si>
  <si>
    <t>Isk.okt.alaph.1-2.évf.269*2550000*4/12</t>
  </si>
  <si>
    <t>Isk.okt.alaph.3évf.118*2550000*4/12</t>
  </si>
  <si>
    <t>Isk.okt.alaph.4évf.139*2550000*4/12</t>
  </si>
  <si>
    <t>Isk.okt.alaph.1-2.évf. (2009)</t>
  </si>
  <si>
    <t>Isk.okt.alaph.3évf. (2009)</t>
  </si>
  <si>
    <t>Isk.okt.alaph.4évf. (2009)</t>
  </si>
  <si>
    <t>Alaphzj.2007.szept.1-től 6,1*2550000*4/12  1.évf.</t>
  </si>
  <si>
    <t>Alaphzj.2007.szept.1-től 14,4*2550000*4/12  2-3.évf.</t>
  </si>
  <si>
    <t>Alaphzj.2007.szept.1-től 10,1*2550000*4/12  4.évf.</t>
  </si>
  <si>
    <t>sajátos nev.ig. 1-4.név (testi, érzékszervi, autista, értelmi fogy.) 2*603,200*8/12</t>
  </si>
  <si>
    <t>beszéd, enyhe ért.fogy.pszichés fejl.zavar integrált nev.      1-4. Évf.8*417600*8/12</t>
  </si>
  <si>
    <t>beszéd, enyhe ért.fogy.pszichés fejl.zavar integrált nev.      1-4. Évf. külön szerv. Csopr. 13*371200*8/12</t>
  </si>
  <si>
    <t>sajátos nev.ig. 1-4.név (testi, érzékszervi, autista, értelmi fogy.) 1*384000*4/12</t>
  </si>
  <si>
    <t>beszéd, enyhe ért.fogy. integrált nev.      1-4. Évf. külön szerv. Csopr. 8*192000*4/12</t>
  </si>
  <si>
    <t>beszéd, enyhe ért.fogy. integrált nev. többivel     1-4. Évf. 5*192000*4/13</t>
  </si>
  <si>
    <t>2009. terv</t>
  </si>
  <si>
    <r>
      <t>Isk.okt.alaph.5-8.évf. (</t>
    </r>
    <r>
      <rPr>
        <sz val="10"/>
        <rFont val="Arial CE"/>
        <family val="2"/>
      </rPr>
      <t>578*212000*8/12)</t>
    </r>
  </si>
  <si>
    <t>Iskolai okt.5. Évfolyam (167*2550000*8/12)</t>
  </si>
  <si>
    <t>Iskolai okt.6. Évfolyam (172*2550000*8/12)</t>
  </si>
  <si>
    <t>Iskolai okt.7-8. Évfolyam (328*2550000*8/12)</t>
  </si>
  <si>
    <t>Iskolai okt.5-6. Évfolyam (316*2550000*4/12)</t>
  </si>
  <si>
    <t>Iskolai okt.7-8. Évfolyam (330*2550000*4/12)</t>
  </si>
  <si>
    <t>Iskolai okt.5-6. Évfolyam (2009)</t>
  </si>
  <si>
    <t>Iskolai okt.7. Évfolyam (2009)</t>
  </si>
  <si>
    <t>Iskolai okt.8. Évfolyam (2009)</t>
  </si>
  <si>
    <t>Alaphzj.2007.szept.1-től 9,4*2550000*4/12 5.évf.</t>
  </si>
  <si>
    <t>Alaphzj.2007.szept.1-től  13,7*2550000*4/12 6.évf.</t>
  </si>
  <si>
    <t>Alaphzj.2007.szept.1-től 25,9*2550000*4/12 7-8évf.</t>
  </si>
  <si>
    <t>sajátos nev.ig. 5-8.név (testi, érzékszervi, autista, értelmi fogy.) 4*603,200*8/12</t>
  </si>
  <si>
    <t>beszéd, enyhe ért.fogy.pszichés fejl.zavar integrált nev.      5-8. Évf.11*417600*8/12</t>
  </si>
  <si>
    <t>beszéd, enyhe ért.fogy.pszichés fejl.zavar integrált nev.      5-8. Évf. külön szerv. Csopr. 21*371200*8/12</t>
  </si>
  <si>
    <t>sajátos nev.ig. 5-8.név (testi, érzékszervi, autista, értelmi fogy.) 4*384000*4/12</t>
  </si>
  <si>
    <t>beszéd, enyhe ért.fogy. integrált nev. többivel     5-8. Évf. 5*192000*4/13</t>
  </si>
  <si>
    <t>beszéd, enyhe ért.fogy.integrált nev.      5-8. Évf. külön szerv. Csopr. 22*192000*4/12</t>
  </si>
  <si>
    <t>sajátos.nev.igényű tan.nev.okt.2*240000*4/12</t>
  </si>
  <si>
    <t>sajátos.nev.igényű tan.nev.okt.(2009)</t>
  </si>
  <si>
    <t>testi, érzékszervi középsúlyos értelmi fogyatékos, autista  halmozottan fogyatékos 5*384000*8/12</t>
  </si>
  <si>
    <t>testi, érzékszervi középsúlyos értelmi fogyatékos, autista  halmozottan fogyatékos 4*384000*4/12</t>
  </si>
  <si>
    <t>beszédfogy. Enyhe ért.fogy. Viselkedés fejlődésének organikus okokra visszavez. És nem visszavez. Tartós és súlyos rendell. Miatt sajátos nev.ig. tan. 40*192000*8/12</t>
  </si>
  <si>
    <t>beszédfogy. Enyhe ért.fogy. Viselkedés fejlődésének organikus okokra visszavez. tartós és súlyos rendell. Miatt sajátos nev.ig. tan. 35*192000*4/12</t>
  </si>
  <si>
    <t>Viselkedés fejlődésének organikus okokra vissza nem vez.tartós és súlyos rendell. Miatt sajátos nev.ig. tan.(2009)</t>
  </si>
  <si>
    <t>Viselkedés fejlődésének organikus okokra vissza nem vez.tartós és súlyos rendell. Miatt sajátos nev.ig. tan. 30*144000*4/12</t>
  </si>
  <si>
    <r>
      <t>Isk.okt.9-13 évf(</t>
    </r>
    <r>
      <rPr>
        <i/>
        <sz val="8"/>
        <rFont val="Arial CE"/>
        <family val="2"/>
      </rPr>
      <t>1255*262000*8/12)</t>
    </r>
  </si>
  <si>
    <t>Alaphzj.2007.szept.1-től 31,6*2550000*4/12 9.évf.</t>
  </si>
  <si>
    <t>Alaphzj.2007.szept.1-től 33,2*2550000*4/12 10.évf.</t>
  </si>
  <si>
    <t>Alaphzj.2007.szept.1-től 54,5*2550000*4/12 11-13.évf.</t>
  </si>
  <si>
    <t>Isk. okt. 9. Évf.341*2550000*8/12</t>
  </si>
  <si>
    <t>Isk. okt. 10. Évf.362*2550000*8/12</t>
  </si>
  <si>
    <t>Isk. okt.11-139. Évf.508*2550000*8/12</t>
  </si>
  <si>
    <t>Isk.okt.9-10. Évf. 730*2550000*4/12</t>
  </si>
  <si>
    <t>Isk.okt.9-10. Évf. (2009)</t>
  </si>
  <si>
    <t>Isk.okt.11-13. Évf. 549*2550000*4/12</t>
  </si>
  <si>
    <t>Isk.okt.11. Évf.(2009)</t>
  </si>
  <si>
    <t>Isk.okt.12-13. Évf. (2009)</t>
  </si>
  <si>
    <r>
      <t>Isk.szak</t>
    </r>
    <r>
      <rPr>
        <sz val="8"/>
        <rFont val="Arial CE"/>
        <family val="2"/>
      </rPr>
      <t>.(szakm.elm)(</t>
    </r>
    <r>
      <rPr>
        <i/>
        <sz val="8"/>
        <rFont val="Arial CE"/>
        <family val="2"/>
      </rPr>
      <t>305*210000*8/12)</t>
    </r>
  </si>
  <si>
    <t>Alaphzj.2007.szept.1-től 13,7*2550000*4/12 (felzárkózt. 9. Évf., szakisk. 1/11évf., szakközisk. 1/13évf.)</t>
  </si>
  <si>
    <t>Alaphzj.2007.szept.1-től 10,4*2550000*4/12 ( szakisk. 1/12évf., szakközisk. 1/14évf.)</t>
  </si>
  <si>
    <t>Isk. szak. Szakmai elm. Okt.9. Éfv.185*2550000*8/12</t>
  </si>
  <si>
    <t>Isk. szak. Szakmai elm. Okt.10-11-12. Éfv.136*2550000*8/12</t>
  </si>
  <si>
    <t>Isk.szak.szakm.elm.okt. 9.évf-10.évf. 315*2550000*4/12</t>
  </si>
  <si>
    <t>Isk.szak.szakm.elm.okt. 11.évf-12.évf. 35*2550000*4/12</t>
  </si>
  <si>
    <r>
      <t>Isk. gyak. Okt.9-10.évf (121*40000) (</t>
    </r>
    <r>
      <rPr>
        <i/>
        <sz val="10"/>
        <rFont val="Arial CE"/>
        <family val="2"/>
      </rPr>
      <t>215*40000*8/12)</t>
    </r>
  </si>
  <si>
    <r>
      <t>Isk. gyak. Okt.9-10.évf (121*40000) (</t>
    </r>
    <r>
      <rPr>
        <i/>
        <sz val="10"/>
        <rFont val="Arial CE"/>
        <family val="2"/>
      </rPr>
      <t>205*40000*4/12)</t>
    </r>
  </si>
  <si>
    <t>Isk.szak(szakm.gyak)(12*112000) (6*112000*4/12)</t>
  </si>
  <si>
    <t>Isk.szak(szakm.gyak)(2009)</t>
  </si>
  <si>
    <r>
      <t>Isk.szak. (szak.gyak.) (</t>
    </r>
    <r>
      <rPr>
        <sz val="10"/>
        <rFont val="Arial CE"/>
        <family val="2"/>
      </rPr>
      <t>71*156800) (77*156800*8/12)</t>
    </r>
  </si>
  <si>
    <r>
      <t>Isk.szak. (szak.gyak.)</t>
    </r>
    <r>
      <rPr>
        <i/>
        <sz val="10"/>
        <rFont val="Arial CE"/>
        <family val="2"/>
      </rPr>
      <t xml:space="preserve"> (</t>
    </r>
    <r>
      <rPr>
        <sz val="10"/>
        <rFont val="Arial CE"/>
        <family val="2"/>
      </rPr>
      <t>75*156800*4/12)</t>
    </r>
  </si>
  <si>
    <r>
      <t>Isk.szak(szakm gyak)(</t>
    </r>
    <r>
      <rPr>
        <sz val="10"/>
        <rFont val="Arial CE"/>
        <family val="2"/>
      </rPr>
      <t>156*22,400) (121*22400*8/12)</t>
    </r>
  </si>
  <si>
    <r>
      <t>Isk.szak(szakm gyak)(</t>
    </r>
    <r>
      <rPr>
        <sz val="10"/>
        <rFont val="Arial CE"/>
        <family val="2"/>
      </rPr>
      <t>120*22400*4/12)</t>
    </r>
  </si>
  <si>
    <r>
      <t>Iskol.szak. záró évf. képz. (</t>
    </r>
    <r>
      <rPr>
        <sz val="10"/>
        <rFont val="Arial CE"/>
        <family val="2"/>
      </rPr>
      <t>46*67200) (63*67200*8/12)</t>
    </r>
  </si>
  <si>
    <r>
      <t xml:space="preserve">Iskol.szak. záró évf. képz. </t>
    </r>
    <r>
      <rPr>
        <sz val="10"/>
        <rFont val="Arial CE"/>
        <family val="2"/>
      </rPr>
      <t xml:space="preserve"> (60*67200*4/12)</t>
    </r>
  </si>
  <si>
    <r>
      <t xml:space="preserve">Gyógypedagógiai nev. visszahely. </t>
    </r>
    <r>
      <rPr>
        <b/>
        <sz val="10"/>
        <rFont val="Arial CE"/>
        <family val="2"/>
      </rPr>
      <t>1*144000*8/12</t>
    </r>
    <r>
      <rPr>
        <sz val="10"/>
        <rFont val="Arial"/>
        <family val="2"/>
      </rPr>
      <t xml:space="preserve"> </t>
    </r>
  </si>
  <si>
    <t xml:space="preserve">Gyógyped.ell.1-4.oszt.alap </t>
  </si>
  <si>
    <t xml:space="preserve">gyógyped. Ell. 1-4.oszt. kieg </t>
  </si>
  <si>
    <t xml:space="preserve">Gyógyped. Ell. 5-8.oszt. Alap </t>
  </si>
  <si>
    <t xml:space="preserve">gyógyped. Ell. 5-8.oszt. kieg </t>
  </si>
  <si>
    <r>
      <t>Korai fejl gond.</t>
    </r>
    <r>
      <rPr>
        <i/>
        <sz val="10"/>
        <rFont val="Arial CE"/>
        <family val="2"/>
      </rPr>
      <t>( 5*240.000) (10*240000)</t>
    </r>
  </si>
  <si>
    <r>
      <t xml:space="preserve">Fejlesztő felkészítés </t>
    </r>
    <r>
      <rPr>
        <sz val="10"/>
        <rFont val="Arial CE"/>
        <family val="2"/>
      </rPr>
      <t>(</t>
    </r>
    <r>
      <rPr>
        <b/>
        <i/>
        <sz val="10"/>
        <rFont val="Arial CE"/>
        <family val="2"/>
      </rPr>
      <t xml:space="preserve"> </t>
    </r>
    <r>
      <rPr>
        <sz val="10"/>
        <rFont val="Arial CE"/>
        <family val="2"/>
      </rPr>
      <t>3*325000)(2*325000)</t>
    </r>
  </si>
  <si>
    <r>
      <t>Alapf.műv.zenem.ág.(295*105000)</t>
    </r>
    <r>
      <rPr>
        <b/>
        <sz val="9"/>
        <rFont val="Arial CE"/>
        <family val="2"/>
      </rPr>
      <t xml:space="preserve"> (</t>
    </r>
    <r>
      <rPr>
        <sz val="9"/>
        <rFont val="Arial CE"/>
        <family val="2"/>
      </rPr>
      <t>252*105000*8/12)</t>
    </r>
  </si>
  <si>
    <r>
      <t>Képzőm, táncm (144*50000*8/12/8*6)</t>
    </r>
    <r>
      <rPr>
        <i/>
        <sz val="8"/>
        <rFont val="Arial CE"/>
        <family val="2"/>
      </rPr>
      <t xml:space="preserve"> (152*40000*8/12)</t>
    </r>
  </si>
  <si>
    <t>Alapf.zeneműv. 275*2550000*4/12</t>
  </si>
  <si>
    <t>Képző, taáncműv.okt. 152*2500000*4/12</t>
  </si>
  <si>
    <t>Képző .min.int.zene 275*51000*4/12</t>
  </si>
  <si>
    <t>Képző .min.int.zene (2009)</t>
  </si>
  <si>
    <t>Képző.min.int.képző 152*20000*4/12</t>
  </si>
  <si>
    <t>Képző.min.int.képző (2009)</t>
  </si>
  <si>
    <r>
      <t>Bentl kollég ell(</t>
    </r>
    <r>
      <rPr>
        <sz val="10"/>
        <rFont val="Arial CE"/>
        <family val="2"/>
      </rPr>
      <t>103*318.000)99*318000) 78*318000*8/12</t>
    </r>
  </si>
  <si>
    <r>
      <t>Bentl kollég ell</t>
    </r>
    <r>
      <rPr>
        <sz val="10"/>
        <rFont val="Arial CE"/>
        <family val="2"/>
      </rPr>
      <t xml:space="preserve"> 78*2550000*4/12</t>
    </r>
  </si>
  <si>
    <r>
      <t>Kollég.lakhatási feltételek megt</t>
    </r>
    <r>
      <rPr>
        <sz val="8"/>
        <rFont val="Arial CE"/>
        <family val="2"/>
      </rPr>
      <t>.(78*186000*4/12)</t>
    </r>
    <r>
      <rPr>
        <b/>
        <sz val="9"/>
        <rFont val="Arial CE"/>
        <family val="2"/>
      </rPr>
      <t>72*186000*8/12</t>
    </r>
  </si>
  <si>
    <r>
      <t>Kollég.lakhatási feltételek megt</t>
    </r>
    <r>
      <rPr>
        <sz val="8"/>
        <rFont val="Arial CE"/>
        <family val="2"/>
      </rPr>
      <t xml:space="preserve">. </t>
    </r>
    <r>
      <rPr>
        <b/>
        <sz val="8"/>
        <rFont val="Arial CE"/>
        <family val="2"/>
      </rPr>
      <t>72*177000*4/12</t>
    </r>
  </si>
  <si>
    <r>
      <t>Ált.Isk. napk. Fogl.(</t>
    </r>
    <r>
      <rPr>
        <sz val="10"/>
        <rFont val="Arial CE"/>
        <family val="2"/>
      </rPr>
      <t>375*23000) 534*23000*8/12)</t>
    </r>
  </si>
  <si>
    <t>Ált.isk.napk. 1-4.évf. 391*2550000*4/12</t>
  </si>
  <si>
    <t>Ált.isk.napk. 5-8.évf. 140*2550000*4/12</t>
  </si>
  <si>
    <t>Ált.isk.napk. 1-4.évf. (2009)</t>
  </si>
  <si>
    <t>Ált.isk.napk. 5-8.évf. (2009)</t>
  </si>
  <si>
    <r>
      <t>Különl.helyz.lévő tan.(</t>
    </r>
    <r>
      <rPr>
        <i/>
        <sz val="10"/>
        <rFont val="Arial CE"/>
        <family val="2"/>
      </rPr>
      <t>50*20500*8/12)</t>
    </r>
  </si>
  <si>
    <r>
      <t>roma kisebbségi okt. magyar nyelven (</t>
    </r>
    <r>
      <rPr>
        <i/>
        <sz val="10"/>
        <rFont val="Arial CE"/>
        <family val="2"/>
      </rPr>
      <t>14*45000)</t>
    </r>
  </si>
  <si>
    <r>
      <t>Nyelvi felkészítő tanf.</t>
    </r>
    <r>
      <rPr>
        <sz val="10"/>
        <rFont val="Arial CE"/>
        <family val="2"/>
      </rPr>
      <t>61*71500 49*71500*8/12</t>
    </r>
  </si>
  <si>
    <r>
      <t>Nyelvi felkészítő tanf.(</t>
    </r>
    <r>
      <rPr>
        <sz val="10"/>
        <rFont val="Arial CE"/>
        <family val="2"/>
      </rPr>
      <t>35*71500*4/12)</t>
    </r>
  </si>
  <si>
    <t xml:space="preserve"> Kedvezményes étkeztetés  óvoda (173*550009</t>
  </si>
  <si>
    <t xml:space="preserve">                                         ált. iskola (235*55000)</t>
  </si>
  <si>
    <t xml:space="preserve">                                         középisk, szakközép (75*55000)</t>
  </si>
  <si>
    <t xml:space="preserve">                                         gimnázium</t>
  </si>
  <si>
    <t xml:space="preserve">                                         szakközépiskola</t>
  </si>
  <si>
    <t xml:space="preserve">                                         kollégium (44*55000)</t>
  </si>
  <si>
    <t xml:space="preserve"> kieg.hzj. Rsz-es gyvt. Kedv. Részesülő 5.éf. Áltisk.ingy.étk. (27*16000)</t>
  </si>
  <si>
    <t>50%-os tér.d. (óvóda, isk,.koll. Tartós beteg, )50*55000</t>
  </si>
  <si>
    <t>50%-os tér.d.(óvóda, isk,.koll. 3 és több gyerm.)255*55000</t>
  </si>
  <si>
    <t>50%-os tér.d.( 5.évf-tól isk. okt. szakk.rensz. Gyvt.)300*55000</t>
  </si>
  <si>
    <t xml:space="preserve"> 100%-os tér díj.kedv.óvod (103*55000)</t>
  </si>
  <si>
    <r>
      <t xml:space="preserve"> 100%-os tér díj.kedv.1-4 évf. rendsz. Gyvt. (150</t>
    </r>
    <r>
      <rPr>
        <i/>
        <sz val="10"/>
        <rFont val="Arial CE"/>
        <family val="2"/>
      </rPr>
      <t>*55000)</t>
    </r>
  </si>
  <si>
    <r>
      <t xml:space="preserve">Bejáró tan.1-4. Évf. ( </t>
    </r>
    <r>
      <rPr>
        <sz val="10"/>
        <rFont val="Arial CE"/>
        <family val="2"/>
      </rPr>
      <t>38*15.000</t>
    </r>
    <r>
      <rPr>
        <b/>
        <i/>
        <sz val="10"/>
        <rFont val="Arial CE"/>
        <family val="2"/>
      </rPr>
      <t xml:space="preserve">) </t>
    </r>
    <r>
      <rPr>
        <sz val="10"/>
        <rFont val="Arial CE"/>
        <family val="2"/>
      </rPr>
      <t>38*15000*8/12</t>
    </r>
  </si>
  <si>
    <r>
      <t xml:space="preserve">                5-8. Évf.( </t>
    </r>
    <r>
      <rPr>
        <sz val="10"/>
        <rFont val="Arial CE"/>
        <family val="2"/>
      </rPr>
      <t>86*15.000</t>
    </r>
    <r>
      <rPr>
        <b/>
        <i/>
        <sz val="10"/>
        <rFont val="Arial CE"/>
        <family val="2"/>
      </rPr>
      <t xml:space="preserve">) </t>
    </r>
    <r>
      <rPr>
        <sz val="10"/>
        <rFont val="Arial CE"/>
        <family val="2"/>
      </rPr>
      <t>55*15000*8/12</t>
    </r>
  </si>
  <si>
    <r>
      <t xml:space="preserve">                óvodás (</t>
    </r>
    <r>
      <rPr>
        <sz val="10"/>
        <rFont val="Arial CE"/>
        <family val="2"/>
      </rPr>
      <t>4*15.000)</t>
    </r>
    <r>
      <rPr>
        <b/>
        <i/>
        <sz val="10"/>
        <rFont val="Arial CE"/>
        <family val="2"/>
      </rPr>
      <t xml:space="preserve"> </t>
    </r>
    <r>
      <rPr>
        <sz val="10"/>
        <rFont val="Arial CE"/>
        <family val="2"/>
      </rPr>
      <t>7*15000*8/12</t>
    </r>
  </si>
  <si>
    <r>
      <t xml:space="preserve">                9-13. Évf.</t>
    </r>
    <r>
      <rPr>
        <sz val="10"/>
        <rFont val="Arial CE"/>
        <family val="2"/>
      </rPr>
      <t>609*15000</t>
    </r>
  </si>
  <si>
    <r>
      <t xml:space="preserve">                iskolai szak.(178*9800) (</t>
    </r>
    <r>
      <rPr>
        <sz val="10"/>
        <rFont val="Arial CE"/>
        <family val="2"/>
      </rPr>
      <t>149*15.000) 178*15000</t>
    </r>
  </si>
  <si>
    <r>
      <t xml:space="preserve">Bejáró tanuló (805*15000*8/12) </t>
    </r>
    <r>
      <rPr>
        <b/>
        <sz val="10"/>
        <rFont val="Arial CE"/>
        <family val="2"/>
      </rPr>
      <t>901*18000*8/12</t>
    </r>
  </si>
  <si>
    <r>
      <t xml:space="preserve">Bejáró tanuló (820*18000*4/12) </t>
    </r>
    <r>
      <rPr>
        <b/>
        <sz val="10"/>
        <rFont val="Arial CE"/>
        <family val="2"/>
      </rPr>
      <t>926*18000*4/12</t>
    </r>
  </si>
  <si>
    <r>
      <t xml:space="preserve">Intfent. társ. ált. isk.(50*45000) </t>
    </r>
    <r>
      <rPr>
        <sz val="10"/>
        <rFont val="Arial CE"/>
        <family val="2"/>
      </rPr>
      <t>63*45.000) 162*45000*8/12</t>
    </r>
  </si>
  <si>
    <r>
      <t>Intfent. társ. ált. isk. bejáró1-4 évf. 29*45000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68*45000*4/12</t>
    </r>
  </si>
  <si>
    <r>
      <t>Intfent. társ. ált. isk. bejáró5. Évf.</t>
    </r>
    <r>
      <rPr>
        <i/>
        <sz val="8"/>
        <rFont val="Arial CE"/>
        <family val="2"/>
      </rPr>
      <t xml:space="preserve"> </t>
    </r>
    <r>
      <rPr>
        <sz val="8"/>
        <rFont val="Arial CE"/>
        <family val="2"/>
      </rPr>
      <t>(23*45000*4/12)</t>
    </r>
    <r>
      <rPr>
        <b/>
        <sz val="8"/>
        <rFont val="Arial CE"/>
        <family val="2"/>
      </rPr>
      <t>21*45000*8/12</t>
    </r>
  </si>
  <si>
    <r>
      <t>Intfent. társ. ált. isk. bejáró6-8. Évf</t>
    </r>
    <r>
      <rPr>
        <b/>
        <i/>
        <sz val="10"/>
        <rFont val="Arial CE"/>
        <family val="2"/>
      </rPr>
      <t>.</t>
    </r>
    <r>
      <rPr>
        <sz val="8"/>
        <rFont val="Arial CE"/>
        <family val="2"/>
      </rPr>
      <t>(68*45000*4/12)69*45000*8/12</t>
    </r>
  </si>
  <si>
    <t>Intfent. társ. ált. isk. bejáró1-4 évf.(2009)</t>
  </si>
  <si>
    <t>Intfent. társ. ált. isk. bejáró5-6. Évf. (2009)</t>
  </si>
  <si>
    <t>Intfent. társ. ált. isk. bejáró7-8. Évf.(2009)</t>
  </si>
  <si>
    <r>
      <t>Helyi közm.közgy felad.(17603*1135)(17520*1135)</t>
    </r>
    <r>
      <rPr>
        <b/>
        <sz val="9"/>
        <rFont val="Arial CE"/>
        <family val="2"/>
      </rPr>
      <t>17389*1061</t>
    </r>
  </si>
  <si>
    <r>
      <t>Lakott területtel kapcs feladatok</t>
    </r>
    <r>
      <rPr>
        <sz val="10"/>
        <rFont val="Arial CE"/>
        <family val="2"/>
      </rPr>
      <t xml:space="preserve">( 44*3800) (44*3800) </t>
    </r>
    <r>
      <rPr>
        <b/>
        <sz val="10"/>
        <rFont val="Arial CE"/>
        <family val="2"/>
      </rPr>
      <t>44*3088</t>
    </r>
  </si>
  <si>
    <t>Körzeti igazgatási feladatok</t>
  </si>
  <si>
    <t xml:space="preserve"> -körzetközpont</t>
  </si>
  <si>
    <r>
      <t xml:space="preserve"> -okmányir.munkaáll.(36252x 504)(39886*513)</t>
    </r>
    <r>
      <rPr>
        <b/>
        <sz val="10"/>
        <rFont val="Arial CE"/>
        <family val="2"/>
      </rPr>
      <t xml:space="preserve"> 39886*324</t>
    </r>
  </si>
  <si>
    <r>
      <t xml:space="preserve"> - körzetközpontnak gyám. ügy.felad (45326*280) </t>
    </r>
    <r>
      <rPr>
        <b/>
        <sz val="10"/>
        <rFont val="Arial CE"/>
        <family val="2"/>
      </rPr>
      <t>45326*270</t>
    </r>
  </si>
  <si>
    <r>
      <t xml:space="preserve"> - körzetközpontnak ép. ügy.felad alap hzj.(45301*50)</t>
    </r>
    <r>
      <rPr>
        <b/>
        <sz val="10"/>
        <rFont val="Arial CE"/>
        <family val="2"/>
      </rPr>
      <t>45301*70</t>
    </r>
  </si>
  <si>
    <r>
      <t xml:space="preserve"> - körzetközpontnak ép. ügy.felad kieg.hzj(479 *7700)</t>
    </r>
    <r>
      <rPr>
        <b/>
        <sz val="10"/>
        <rFont val="Arial CE"/>
        <family val="2"/>
      </rPr>
      <t>479*7737</t>
    </r>
  </si>
  <si>
    <t>Pénzbeni és termész. szoc. és gyerm.jóléti ellátások*********</t>
  </si>
  <si>
    <t>A lakáshoz jutás és a lakásfent. Felad. Ellátásához***********</t>
  </si>
  <si>
    <t>Szoc.és gyermekj.alaphzj.</t>
  </si>
  <si>
    <t>Szoc. Étkeztetés(169*70800)180*81200)</t>
  </si>
  <si>
    <t>Szoc.étkezés 2007.dec.h-ban ellátott 140*82000</t>
  </si>
  <si>
    <r>
      <t>Szoc.étkezés 2008-ban új ellátott nyugdíjmin.150%-át El nem érő</t>
    </r>
    <r>
      <rPr>
        <b/>
        <sz val="9"/>
        <rFont val="Arial CE"/>
        <family val="2"/>
      </rPr>
      <t xml:space="preserve"> </t>
    </r>
    <r>
      <rPr>
        <sz val="9"/>
        <rFont val="Arial CE"/>
        <family val="2"/>
      </rPr>
      <t>(11*92500)</t>
    </r>
    <r>
      <rPr>
        <b/>
        <sz val="9"/>
        <rFont val="Arial CE"/>
        <family val="2"/>
      </rPr>
      <t xml:space="preserve"> 70*90050</t>
    </r>
  </si>
  <si>
    <r>
      <t>Szoc.étkezés 2008-ban új ellátott nyugdíjmin.150%-300% közötti jöv (11*82000)</t>
    </r>
    <r>
      <rPr>
        <b/>
        <sz val="9"/>
        <rFont val="Arial CE"/>
        <family val="2"/>
      </rPr>
      <t xml:space="preserve"> 89*79850</t>
    </r>
  </si>
  <si>
    <r>
      <t xml:space="preserve">Szoc.étkezés 2008-ban új ellátott nyugdíjmin.300%-át meghaladó (1*65000) </t>
    </r>
    <r>
      <rPr>
        <b/>
        <sz val="9"/>
        <rFont val="Arial CE"/>
        <family val="2"/>
      </rPr>
      <t>10*63250</t>
    </r>
  </si>
  <si>
    <t xml:space="preserve">Házi segítségnyújtás (18*104800)20*111500) </t>
  </si>
  <si>
    <t>Házi segítségnyújtás 2007.dec.h-ban ellátott (12*190000)</t>
  </si>
  <si>
    <t>Házi segítségnyújtás 2008-ban új ellátott nyugdíjmin.150%-át El nem érő (3*275000)</t>
  </si>
  <si>
    <t>Házi segítségnyújtás 2008-ban új ellátott nyugdíjmin.150%-át meghaladó jöv. (3*173700)</t>
  </si>
  <si>
    <t xml:space="preserve">Tanulók tank vás támog. </t>
  </si>
  <si>
    <r>
      <t>Kiegészítő tám. ingyenes tankönyvell</t>
    </r>
    <r>
      <rPr>
        <sz val="8"/>
        <rFont val="Arial CE"/>
        <family val="2"/>
      </rPr>
      <t xml:space="preserve"> (1289*10000)(1227*10000)</t>
    </r>
  </si>
  <si>
    <t xml:space="preserve">     1-4. évfolyam </t>
  </si>
  <si>
    <t xml:space="preserve">     5-8. Évfolyam </t>
  </si>
  <si>
    <t xml:space="preserve">    9-13 évfolyamon </t>
  </si>
  <si>
    <t xml:space="preserve">    nappali szakképz.tan. </t>
  </si>
  <si>
    <t>Tanulói tankönyv ingy.ell.- tartósan beteg tanuló (99*10000)</t>
  </si>
  <si>
    <t>Tanulói tankönyv ingy.ell.- sajátos nev.tanuló (36*10000)</t>
  </si>
  <si>
    <t>Tanulói tankönyv ingy.ell.- nagyk. Sajátj. Csp. Jog. (15*10000)</t>
  </si>
  <si>
    <t>Tanulói tankönyv ingy.ell.- rsz. Gyvt. Kedv.rész. (630*10000)</t>
  </si>
  <si>
    <t>Tanulói tankönyv ingy.ell.- egyedülálló szülő ált.n. (237*10000)</t>
  </si>
  <si>
    <t>Tanulói tankönyv ingy.ell.- 3 v többgy. Család tan. 8430*10000)</t>
  </si>
  <si>
    <r>
      <t xml:space="preserve">Tanulói tankönyv. </t>
    </r>
    <r>
      <rPr>
        <sz val="10"/>
        <rFont val="Arial CE"/>
        <family val="2"/>
      </rPr>
      <t>(2800*1000)</t>
    </r>
    <r>
      <rPr>
        <b/>
        <i/>
        <sz val="10"/>
        <rFont val="Arial CE"/>
        <family val="2"/>
      </rPr>
      <t>1704*1000</t>
    </r>
  </si>
  <si>
    <t xml:space="preserve">Minőségfejlesztési feladatok           </t>
  </si>
  <si>
    <r>
      <t>Ped. szakm.szolg.(3281x720)( 3210*720).2099</t>
    </r>
    <r>
      <rPr>
        <b/>
        <i/>
        <sz val="10"/>
        <rFont val="Arial CE"/>
        <family val="2"/>
      </rPr>
      <t>*720*8/12</t>
    </r>
  </si>
  <si>
    <r>
      <t>Hozzájár.tömegkfelad(</t>
    </r>
    <r>
      <rPr>
        <sz val="10"/>
        <rFont val="Arial CE"/>
        <family val="2"/>
      </rPr>
      <t>17603*515)(17520*515)</t>
    </r>
    <r>
      <rPr>
        <b/>
        <sz val="10"/>
        <rFont val="Arial CE"/>
        <family val="2"/>
      </rPr>
      <t>17389*515</t>
    </r>
  </si>
  <si>
    <t>Felhasználási kötöttség nélküli normatív hozzájárulás</t>
  </si>
  <si>
    <t>2007-2008-2009. évi normatív  KÖTÖTT  felhasználású támogatások</t>
  </si>
  <si>
    <t>Önk. által szervezett közcélú foglalk. Támogatása********</t>
  </si>
  <si>
    <r>
      <t>Ped.szaksz.</t>
    </r>
    <r>
      <rPr>
        <sz val="8"/>
        <rFont val="Arial CE"/>
        <family val="2"/>
      </rPr>
      <t>( 8*1.020.000</t>
    </r>
    <r>
      <rPr>
        <i/>
        <sz val="8"/>
        <rFont val="Arial CE"/>
        <family val="2"/>
      </rPr>
      <t>)</t>
    </r>
    <r>
      <rPr>
        <sz val="8"/>
        <rFont val="Arial CE"/>
        <family val="2"/>
      </rPr>
      <t>(7*1020000)</t>
    </r>
    <r>
      <rPr>
        <b/>
        <sz val="8"/>
        <rFont val="Arial CE"/>
        <family val="2"/>
      </rPr>
      <t>8*1100000*8/12+8*970000*4/12</t>
    </r>
  </si>
  <si>
    <r>
      <t>Ped.szakv.tovább</t>
    </r>
    <r>
      <rPr>
        <sz val="8"/>
        <rFont val="Arial CE"/>
        <family val="2"/>
      </rPr>
      <t xml:space="preserve">(308*11700) </t>
    </r>
    <r>
      <rPr>
        <sz val="7"/>
        <rFont val="Arial CE"/>
        <family val="2"/>
      </rPr>
      <t>(303*11700)</t>
    </r>
    <r>
      <rPr>
        <b/>
        <sz val="7"/>
        <rFont val="Arial CE"/>
        <family val="2"/>
      </rPr>
      <t xml:space="preserve"> 301*11700*8/12+296*11700*4/12</t>
    </r>
  </si>
  <si>
    <r>
      <t>Szoc.továbbk szakv.(</t>
    </r>
    <r>
      <rPr>
        <sz val="10"/>
        <rFont val="Arial CE"/>
        <family val="2"/>
      </rPr>
      <t>38*9400) (18*9400)</t>
    </r>
    <r>
      <rPr>
        <b/>
        <sz val="10"/>
        <rFont val="Arial CE"/>
        <family val="2"/>
      </rPr>
      <t>18*9400</t>
    </r>
  </si>
  <si>
    <t>Diáksport támogatása</t>
  </si>
  <si>
    <t>Helyi önkormányzati hivatásos tűzoltóságok támogatása</t>
  </si>
  <si>
    <t xml:space="preserve">Személyi juttatáshoz </t>
  </si>
  <si>
    <r>
      <t>a./ készenl.szolg.( 59*3917582</t>
    </r>
    <r>
      <rPr>
        <i/>
        <sz val="10"/>
        <rFont val="Arial CE"/>
        <family val="2"/>
      </rPr>
      <t xml:space="preserve">) </t>
    </r>
    <r>
      <rPr>
        <sz val="10"/>
        <rFont val="Arial CE"/>
        <family val="2"/>
      </rPr>
      <t xml:space="preserve">(62*3920172) </t>
    </r>
    <r>
      <rPr>
        <b/>
        <sz val="10"/>
        <rFont val="Arial CE"/>
        <family val="2"/>
      </rPr>
      <t>66*3813425</t>
    </r>
  </si>
  <si>
    <r>
      <t>a./ tűzoltólakt.üzem.(1083*4717)(1083*4717)</t>
    </r>
    <r>
      <rPr>
        <b/>
        <sz val="10"/>
        <rFont val="Arial CE"/>
        <family val="2"/>
      </rPr>
      <t>1083*4897</t>
    </r>
  </si>
  <si>
    <r>
      <t>b./ járm. üzem, karb(84855*115) (84548*115)</t>
    </r>
    <r>
      <rPr>
        <b/>
        <sz val="10"/>
        <rFont val="Arial CE"/>
        <family val="2"/>
      </rPr>
      <t xml:space="preserve"> 87133*138</t>
    </r>
  </si>
  <si>
    <t>c./ különleges szerek kötelező műszaki felülvizsgálata, javítása</t>
  </si>
  <si>
    <r>
      <t xml:space="preserve">     (3*500.000)(3*500000) </t>
    </r>
    <r>
      <rPr>
        <b/>
        <sz val="10"/>
        <rFont val="Arial CE"/>
        <family val="2"/>
      </rPr>
      <t>3*500000</t>
    </r>
  </si>
  <si>
    <t xml:space="preserve">e./ irodaszer, inform.eszk  </t>
  </si>
  <si>
    <t>Kötött normatív támog. Össz.</t>
  </si>
  <si>
    <t>Központi támogatás mindösszesen:</t>
  </si>
  <si>
    <t>SZJA lakhelyen maradó rész</t>
  </si>
  <si>
    <t>SZJA kiegészítés *************</t>
  </si>
  <si>
    <t>2. sz. tájékoztató</t>
  </si>
  <si>
    <t>Kimutatás az Európai Uniós forrással megvalósuló beruházásokról</t>
  </si>
  <si>
    <t>Öszeg (eFt)</t>
  </si>
  <si>
    <t>Bevételek</t>
  </si>
  <si>
    <t>Támogatások</t>
  </si>
  <si>
    <t xml:space="preserve">              -Mező Ferenc Tagidkola energ.korsz</t>
  </si>
  <si>
    <t xml:space="preserve">              -Szennyvíz-csat.hálózat felj.</t>
  </si>
  <si>
    <t xml:space="preserve">              -Bárdos Lajos Tagiskola akadálym.</t>
  </si>
  <si>
    <t xml:space="preserve">              -Gyula úti orvosi rend. akadálym.</t>
  </si>
  <si>
    <t xml:space="preserve">              -Bayer Koll. akadálymentesítés</t>
  </si>
  <si>
    <t xml:space="preserve">              -Városi Rendelő akadályment</t>
  </si>
  <si>
    <t xml:space="preserve">              -I.sz. Tagóvoda akadályment</t>
  </si>
  <si>
    <t>Fejlesztési hitel (önkorm. saját forrás)</t>
  </si>
  <si>
    <t>Önkormányzati sajátforrás</t>
  </si>
  <si>
    <t>Bevételek összesen:</t>
  </si>
  <si>
    <t>Kiadások:</t>
  </si>
  <si>
    <t xml:space="preserve">              -Mező Ferenc Tagiskola energ.korsz</t>
  </si>
  <si>
    <t>Kiadás összesen:</t>
  </si>
  <si>
    <t>3. sz. tájékoztató</t>
  </si>
  <si>
    <t>Út - híd keret</t>
  </si>
  <si>
    <t>eFt-ban</t>
  </si>
  <si>
    <t>Dologi jellegű kiadások</t>
  </si>
  <si>
    <t xml:space="preserve">  2008. évi áthúzódó út-járda karb.</t>
  </si>
  <si>
    <t xml:space="preserve">  2009. évi kátyúzás</t>
  </si>
  <si>
    <t xml:space="preserve">  Külterületi földutak karbantartása</t>
  </si>
  <si>
    <t xml:space="preserve">   Útfestés</t>
  </si>
  <si>
    <t xml:space="preserve">   Kresz-táblák cseréje, pótlása</t>
  </si>
  <si>
    <t xml:space="preserve">   Síkosságmentesítés, hóeltakarítás</t>
  </si>
  <si>
    <t xml:space="preserve">   Egyéb lakossági igények kezelése (Br.10 mó)</t>
  </si>
  <si>
    <t xml:space="preserve">   Vásárolt termékek és szolg. ÁFA-ja</t>
  </si>
  <si>
    <t xml:space="preserve">   Egyéb különféle dologi kiad.</t>
  </si>
  <si>
    <t>Dologi jellegű kiadások összesen:</t>
  </si>
  <si>
    <t>Felhalmozási kiadás összesen</t>
  </si>
  <si>
    <t>Kiadások mindösszesen:</t>
  </si>
  <si>
    <t>2/e/1. sz. melléklet</t>
  </si>
  <si>
    <t>II/1.1. Normatív állami hozzájárulás részletezése</t>
  </si>
  <si>
    <t>Települési, igazgatási, kommunális feladatok 17389*1057</t>
  </si>
  <si>
    <t>Üdülőhelyi feladatok 16.000.000*2</t>
  </si>
  <si>
    <r>
      <t>Bölcsődei ellátás  (47x462.900 Ft) (</t>
    </r>
    <r>
      <rPr>
        <sz val="10"/>
        <rFont val="Arial CE"/>
        <family val="2"/>
      </rPr>
      <t>48*460.000)56*540150</t>
    </r>
  </si>
  <si>
    <r>
      <t>Ingyenes bölcsődei étk. (15fő*31500 )</t>
    </r>
    <r>
      <rPr>
        <sz val="10"/>
        <rFont val="Arial CE"/>
        <family val="2"/>
      </rPr>
      <t>(15*50.000)19*65000</t>
    </r>
  </si>
  <si>
    <t>II/1.1. Normatív állami hozzájárulás</t>
  </si>
  <si>
    <t>2/e/2. sz. melléklet</t>
  </si>
  <si>
    <t>II/1.4. Normatív kötött állami hozzájárulás részletezése</t>
  </si>
  <si>
    <t>1.4. Normatív kötött felh.támog.</t>
  </si>
  <si>
    <t>Önk. által szervezett közcélú foglalkoztatás támogatása</t>
  </si>
  <si>
    <t>Pedagógiai szakmai szolgáltatás 8*970000</t>
  </si>
  <si>
    <t>Pedagógus szakvizsga és továbbképzés (303*11700</t>
  </si>
  <si>
    <t>Szociális továbbképzés szakvizsga   18 x 9.400 Ft</t>
  </si>
  <si>
    <t>Személyi juttatáshoz (59*3774700) 59*</t>
  </si>
  <si>
    <r>
      <t xml:space="preserve">a./ készenl.szolg.(59*3603785)( </t>
    </r>
    <r>
      <rPr>
        <sz val="10"/>
        <rFont val="Arial CE"/>
        <family val="2"/>
      </rPr>
      <t>59*3917582</t>
    </r>
    <r>
      <rPr>
        <b/>
        <i/>
        <sz val="10"/>
        <rFont val="Arial CE"/>
        <family val="2"/>
      </rPr>
      <t>) 66*3813425</t>
    </r>
  </si>
  <si>
    <r>
      <t>a./ tűzoltólakt.üzem.(</t>
    </r>
    <r>
      <rPr>
        <b/>
        <i/>
        <sz val="10"/>
        <rFont val="Arial CE"/>
        <family val="2"/>
      </rPr>
      <t>1083*4717)</t>
    </r>
    <r>
      <rPr>
        <sz val="10"/>
        <rFont val="Arial CE"/>
        <family val="2"/>
      </rPr>
      <t>1083*4717)</t>
    </r>
    <r>
      <rPr>
        <b/>
        <sz val="10"/>
        <rFont val="Arial CE"/>
        <family val="2"/>
      </rPr>
      <t>1083*4717</t>
    </r>
  </si>
  <si>
    <r>
      <t>b./ járm. üzem, karb(</t>
    </r>
    <r>
      <rPr>
        <sz val="10"/>
        <rFont val="Arial CE"/>
        <family val="2"/>
      </rPr>
      <t xml:space="preserve"> 86678*115</t>
    </r>
    <r>
      <rPr>
        <b/>
        <i/>
        <sz val="10"/>
        <rFont val="Arial CE"/>
        <family val="2"/>
      </rPr>
      <t>)8</t>
    </r>
    <r>
      <rPr>
        <sz val="10"/>
        <rFont val="Arial CE"/>
        <family val="2"/>
      </rPr>
      <t xml:space="preserve">4855*115) </t>
    </r>
    <r>
      <rPr>
        <b/>
        <sz val="10"/>
        <rFont val="Arial CE"/>
        <family val="2"/>
      </rPr>
      <t>87133*138</t>
    </r>
  </si>
  <si>
    <r>
      <t xml:space="preserve">     (2x500.000) (</t>
    </r>
    <r>
      <rPr>
        <sz val="10"/>
        <rFont val="Arial CE"/>
        <family val="2"/>
      </rPr>
      <t>2*500.000</t>
    </r>
    <r>
      <rPr>
        <b/>
        <i/>
        <sz val="10"/>
        <rFont val="Arial CE"/>
        <family val="2"/>
      </rPr>
      <t>)3*500000</t>
    </r>
  </si>
  <si>
    <t xml:space="preserve">e./ irodaszer, inform.eszk  (58*32380) (59x34893) </t>
  </si>
  <si>
    <t>1. 4. Kötött normatív támog. Össz.</t>
  </si>
  <si>
    <t xml:space="preserve">         Városgazd. Szolg. Összesen</t>
  </si>
  <si>
    <t xml:space="preserve">          Épületfenntartás összesen</t>
  </si>
  <si>
    <t xml:space="preserve">              Fürdő és Strandszolg. Összesen</t>
  </si>
  <si>
    <t xml:space="preserve">             Épületfenntartás összesen</t>
  </si>
  <si>
    <t xml:space="preserve">   - jármű: pótkocsi beszerzés </t>
  </si>
  <si>
    <t>ÖNÁLLÓAN GAZDÁLKODÓ INTÉZMÉNYEK ÖSSZESEN:</t>
  </si>
  <si>
    <t>RÉSZBEN ÖNÁLLÓAN GAZDÁLKODÓ INTÉZMÉNYEK:</t>
  </si>
  <si>
    <t>Gimnázium Ö s s z e s e n :</t>
  </si>
  <si>
    <t>Széchenyi I. Szki. Ö s s z e s e n:</t>
  </si>
  <si>
    <t xml:space="preserve">          - Gimnázium: Útravaló ösztöndíjtámog.OKM-től</t>
  </si>
  <si>
    <t xml:space="preserve">          - Széchenyi: Útravaló ösztöndíjtámog.OKM-től</t>
  </si>
  <si>
    <t>Részben önálló intézmények</t>
  </si>
  <si>
    <t>Részben önálló intézmények összesen:</t>
  </si>
  <si>
    <t>MÁAMIPSZ:</t>
  </si>
  <si>
    <t>Nevelési Tanácsadó : fénymásoló beszerzés</t>
  </si>
  <si>
    <t xml:space="preserve">                                tesztkészlet</t>
  </si>
  <si>
    <t>MÁAMIPSZ Ö s s z e s e n :</t>
  </si>
  <si>
    <t>MÁAMIPSZ: Baz. M-i Közokt Közal. szakm. szolg.</t>
  </si>
  <si>
    <t xml:space="preserve">                   Hungarofest pály. elsz.</t>
  </si>
  <si>
    <t xml:space="preserve">                   Olimpiai isk.tám./ MOB/</t>
  </si>
  <si>
    <t xml:space="preserve">          - Városgond:bértámogatás Munkaügyi Központ</t>
  </si>
  <si>
    <t xml:space="preserve">          - MÁAMIPSZ:Bértámogatás Munkaügyi K.</t>
  </si>
  <si>
    <t xml:space="preserve">          -                   Útravaló ösztöndíj</t>
  </si>
  <si>
    <t xml:space="preserve">          -                   Gyak. vez. képzés</t>
  </si>
  <si>
    <t xml:space="preserve">          -                   Bogácsi tagozat támogatása</t>
  </si>
  <si>
    <t xml:space="preserve">          - Könyvtár: Mozgó könyvtár támogatása</t>
  </si>
  <si>
    <t>Tűzoltóság összesen:</t>
  </si>
  <si>
    <t>Önállóan gazdálkodó intézmények</t>
  </si>
  <si>
    <t>Önállóan gazdálkodó intézmények összesen:</t>
  </si>
  <si>
    <t>Városi Rendelőintézet összesen:</t>
  </si>
  <si>
    <t xml:space="preserve">  - szárítógép beszerzés</t>
  </si>
  <si>
    <t xml:space="preserve">  - mosógép beszerzés</t>
  </si>
  <si>
    <t xml:space="preserve">  - 2 db szivattyú beszerzés</t>
  </si>
  <si>
    <t xml:space="preserve">  - zuhanásgátló beszerzés</t>
  </si>
  <si>
    <t xml:space="preserve">  - sebészet műtőlámpa</t>
  </si>
  <si>
    <t xml:space="preserve">  - fizioterápiás készülékek</t>
  </si>
  <si>
    <t>Épület homlokzat felújítása</t>
  </si>
  <si>
    <t>Belgyógyászati Osztály krónikus részleg felújítása</t>
  </si>
  <si>
    <t>Széchenyi I.Szki: - ISK. pártólói tagdíj</t>
  </si>
  <si>
    <t xml:space="preserve">                          - Okt.Közalapítv.diákprogram.tám.</t>
  </si>
  <si>
    <t>Bérpolitikai intézkedések- eseti keresetkiegészítés</t>
  </si>
  <si>
    <t>Országgy. képviselő választás</t>
  </si>
  <si>
    <t xml:space="preserve">          - Európai Parlamenti választás-közonti kv-i szervtől</t>
  </si>
  <si>
    <t>EU-s , hazai fejlesztési pályázati saját forrás kiegészítés támogatása</t>
  </si>
  <si>
    <t>II/1.6 ÖNHIKI előleg</t>
  </si>
  <si>
    <t>1.6. ÖNHIKI előleg</t>
  </si>
  <si>
    <t>Prémium évek program támogatása</t>
  </si>
  <si>
    <t xml:space="preserve">          - Mg-i Gépmúzeum könyvkiadás</t>
  </si>
  <si>
    <t xml:space="preserve">                 felhalmozási célú</t>
  </si>
  <si>
    <t xml:space="preserve">              - Önkormányzattól keresetkieg, prémium évre</t>
  </si>
  <si>
    <t xml:space="preserve">     Polgármesteri Hivatal feladatai összesen:</t>
  </si>
  <si>
    <t>1. Önkormányz. költségv.-i támogatása (1.1..+1.6)</t>
  </si>
  <si>
    <t xml:space="preserve">   - Polg.Hiv.Többcélú Kist.Társulásnak</t>
  </si>
  <si>
    <t xml:space="preserve">   - Kisebbségi Önkormányzat-Cigány</t>
  </si>
  <si>
    <t xml:space="preserve">   - Rendelőintézet-eseti kereset kieg.</t>
  </si>
  <si>
    <t xml:space="preserve">   - Rendelőintézet-prémium évek program</t>
  </si>
  <si>
    <t>Közműfejlesztési hozzájárulás</t>
  </si>
  <si>
    <t>Nyári gyermekétkeztetés</t>
  </si>
  <si>
    <t>Szakmai vizsga lebonyolítás tám.</t>
  </si>
  <si>
    <t xml:space="preserve">Új Tudás Műveltség Program </t>
  </si>
  <si>
    <t>Óvodáztatási Támogatás</t>
  </si>
  <si>
    <t>Könyvtári, közm.érdnövn.tám.</t>
  </si>
  <si>
    <t>Érettségi vizsga lebonyolítás tám.</t>
  </si>
  <si>
    <t>Helyi szervezési intézkedések - létszámcsökkentés támogatása</t>
  </si>
  <si>
    <t xml:space="preserve">          - Népegészségügyi szűrés tám.</t>
  </si>
  <si>
    <t xml:space="preserve">          -   Mező F. tagiskola kazán</t>
  </si>
  <si>
    <t>Lakossági víz,csat. szolg.tám.</t>
  </si>
  <si>
    <t xml:space="preserve">          - VG Zrt.-Lakossági víz-és csat.szolg</t>
  </si>
  <si>
    <t>Működési célú pénzeszk. átadás</t>
  </si>
  <si>
    <t>Rászoruló iskolás tanulók tanulm. Kiránd.</t>
  </si>
  <si>
    <t>Gyermekfesztivál</t>
  </si>
  <si>
    <t>Szent László Gimnázium - taniroda felújítás (pm-ból)</t>
  </si>
  <si>
    <t xml:space="preserve">   - ügyv.számt.eszk.:  - projektor 63.tanterembe</t>
  </si>
  <si>
    <t xml:space="preserve">   - gép,berend.,felsz.:  - fúró, köszörű, szalagcsiszoló</t>
  </si>
  <si>
    <t xml:space="preserve">   - immat.javak: szoftver CNC oktatáshoz</t>
  </si>
  <si>
    <t xml:space="preserve">  - próba szemüveg lencsesor</t>
  </si>
  <si>
    <t xml:space="preserve">  - elektrokauter</t>
  </si>
  <si>
    <t xml:space="preserve">                                személygépkocsi beszerzés</t>
  </si>
  <si>
    <t xml:space="preserve">                   Baz. M-i Közokt Közal. szakmai besz.</t>
  </si>
  <si>
    <t>MÁAMIPSZ: Baz M.-i Közokt.Közal. szakm.besz.</t>
  </si>
  <si>
    <t xml:space="preserve">          - Kisebbségi Önk.- Országos Roma Fesztivál</t>
  </si>
  <si>
    <t xml:space="preserve">          - Kisebbségi Önk.- Munkaügyi Központ</t>
  </si>
  <si>
    <t xml:space="preserve">          -   Játszótéri játékok beszerzése</t>
  </si>
  <si>
    <t xml:space="preserve">  - B.A.Z. Megyei Önk. tám.</t>
  </si>
  <si>
    <t>Országos Roma Fesztivál</t>
  </si>
  <si>
    <t xml:space="preserve">           -  Zsóry fejlesztés garancia terhére</t>
  </si>
  <si>
    <t xml:space="preserve">           -  Zsóry fejlesztés műszaki ellenőri díjai</t>
  </si>
  <si>
    <t xml:space="preserve">          -  Szennyvízcsatorna tervei</t>
  </si>
  <si>
    <t xml:space="preserve">           - Klementina közvilágítás</t>
  </si>
  <si>
    <t xml:space="preserve">  - Munkaügyi Közp. tám.</t>
  </si>
  <si>
    <t xml:space="preserve">          -                   Tanulói tk hzj./Bükkzsérci önkorm/</t>
  </si>
  <si>
    <t xml:space="preserve">  - pódiumlétra</t>
  </si>
  <si>
    <t>Alapfokú művészetoktatás tám.</t>
  </si>
  <si>
    <t>Könyvtár *</t>
  </si>
  <si>
    <t>Városi  Sportcsarnok és Szabadidőközpont *</t>
  </si>
  <si>
    <t>Megjegyzés: * Az intézmények átszervezését követően a dolgozók foglalkoztatására KÖZ-KINCSTÁR Nonprofit Kft-nél került sor.</t>
  </si>
  <si>
    <t>Kisebbségi Önkormányzat tám. - Cigány Kisebbségi Önk.</t>
  </si>
  <si>
    <t xml:space="preserve">                                               - Cigány Kisebbségi önk. pályázati</t>
  </si>
  <si>
    <t xml:space="preserve">                                               - Örmény Kisebbségi Önk.</t>
  </si>
  <si>
    <t xml:space="preserve">Bárdos Lajos tagiskola: számítógép,laptop beszerzés </t>
  </si>
  <si>
    <t>Zeneiskola: hangszerek beszerzése, számítógép beszerzés</t>
  </si>
  <si>
    <t xml:space="preserve">                   Baz. M-i Közokt Közal.szaksz.feladate</t>
  </si>
  <si>
    <t xml:space="preserve">                   Baz. M-i Közokt Közal.haték.növelése</t>
  </si>
  <si>
    <t xml:space="preserve">                   Baz. M-i Közokt Közal. eszköz besz.</t>
  </si>
  <si>
    <t xml:space="preserve">          -                   Tanulói tk hzj./Tard önkorm/</t>
  </si>
  <si>
    <t xml:space="preserve">          -                   Tanulói tk hzj./Csfalu önkorm/</t>
  </si>
  <si>
    <t xml:space="preserve">          -                   Nemzeti Utánpótl.:labdarúgás tám.   </t>
  </si>
  <si>
    <t xml:space="preserve">                              Kult.és Okt. Min:Kultúra Élmény </t>
  </si>
  <si>
    <t>Gázzsámoly értékesítés- Bayer R. Kollégium</t>
  </si>
  <si>
    <r>
      <t xml:space="preserve">          - </t>
    </r>
    <r>
      <rPr>
        <sz val="10"/>
        <rFont val="Arial"/>
        <family val="2"/>
      </rPr>
      <t>Kollégium: Bértámogatás Munkaügyi Közp.</t>
    </r>
  </si>
  <si>
    <t xml:space="preserve">          -                   Bértámogatás Munkaügyi Közp.</t>
  </si>
  <si>
    <t xml:space="preserve">          -                   B-A-Z M. Önkorm.-Mecénás pály.</t>
  </si>
  <si>
    <t xml:space="preserve">                                  - fékhatásmérő műszer átalakítása műsz.vizsg.</t>
  </si>
  <si>
    <t xml:space="preserve">                                  - plazmavágó</t>
  </si>
  <si>
    <t xml:space="preserve">                                  - ruhaipari gőzfeljlesztő</t>
  </si>
  <si>
    <t xml:space="preserve">                                  - számítógép beszerzés (igh.; rendszerg.)</t>
  </si>
  <si>
    <t xml:space="preserve">                                  - tanári szoba fénymásoló</t>
  </si>
  <si>
    <t xml:space="preserve">                                  - oktatási szemléltető eszközök</t>
  </si>
  <si>
    <t xml:space="preserve">  - műfüves pálya építése</t>
  </si>
  <si>
    <t>Szakmai és informatikai célok támogatása</t>
  </si>
  <si>
    <t xml:space="preserve">          -  Taninform szoftver </t>
  </si>
  <si>
    <t xml:space="preserve">             Oktatási célok összesen:</t>
  </si>
  <si>
    <t>Esélyegyenlőséget, felzárkóztatást segítő támogatás</t>
  </si>
  <si>
    <t xml:space="preserve">          -  Személygépkocsi beszerzés</t>
  </si>
  <si>
    <t xml:space="preserve">             Pedagógiai szakmai szolg. összesen</t>
  </si>
  <si>
    <t>Ped.szakm. szolg.</t>
  </si>
  <si>
    <t xml:space="preserve">  - orvosi gép-műszer</t>
  </si>
  <si>
    <t>3. Előrő évi költségvetési visszatérülés</t>
  </si>
  <si>
    <t>Lift alkatrészek értékesítése</t>
  </si>
  <si>
    <t xml:space="preserve">          - TÁMOP 3.3.2 esélyegyenlőségi pályázat</t>
  </si>
  <si>
    <t xml:space="preserve">          -  TÁMOP 5.2.5.pályázat számítógép és program beszerzés</t>
  </si>
  <si>
    <t xml:space="preserve">          - TÁMOP 5.2.5 Ifjúsági pályázat</t>
  </si>
  <si>
    <t xml:space="preserve">                                  TÁMOP 5.2.5 Ifjúsági pályázat</t>
  </si>
  <si>
    <t xml:space="preserve">          -  TÁMOP 3.1.4. pályázat ügyviteli-, számítástechnikai eszközök</t>
  </si>
  <si>
    <t xml:space="preserve">                                  TÁMOP 3.1.4 kompetencia pály.</t>
  </si>
  <si>
    <t xml:space="preserve">          - TÁMOP 3.1.4 kompetencia pály.</t>
  </si>
  <si>
    <t>Széchenyi I.Szki. Összesen:</t>
  </si>
  <si>
    <t>Polgármesteri Hivatal: Foglalkoztatási paktum</t>
  </si>
  <si>
    <t>Polgári Védelem összesen:</t>
  </si>
  <si>
    <t xml:space="preserve">                   Alapítványi tám. fénym. besz-hez</t>
  </si>
  <si>
    <t>Korai fejlesztés 11 fő</t>
  </si>
  <si>
    <t>Fejlesztő felkészítés 3 fő</t>
  </si>
  <si>
    <t xml:space="preserve">             Önkormányzat igazgatási tev. Összesen:</t>
  </si>
  <si>
    <t xml:space="preserve">          -  Hálózati tűzfal vásárlás</t>
  </si>
  <si>
    <t xml:space="preserve">           -  Zsóry fejlesztés ÉMOP</t>
  </si>
  <si>
    <t xml:space="preserve">           - Közvilágítási hálózat fejlesztés</t>
  </si>
  <si>
    <t xml:space="preserve">          -  Térfigyelő rendszer elektromos hálózat kiépítés</t>
  </si>
  <si>
    <t xml:space="preserve">          -  Sas út járda építés</t>
  </si>
  <si>
    <t xml:space="preserve">             Utak létesítése összesen:</t>
  </si>
  <si>
    <t>Szent László tér felújítás</t>
  </si>
  <si>
    <t>Kossuth Lajos út felújítás</t>
  </si>
  <si>
    <t>Kavicsos-tó utca felújítás</t>
  </si>
  <si>
    <t>Gyermekkönyvtár felújítása</t>
  </si>
  <si>
    <t>Mező Ferenc Tagiskola nyílászáró csere</t>
  </si>
  <si>
    <t>Városi Rendelőintézet energiahálózat rekonstrukció</t>
  </si>
  <si>
    <t xml:space="preserve">          -  Gépjármű vásárlás</t>
  </si>
  <si>
    <t>Gépjármű értékesítés</t>
  </si>
  <si>
    <t>Polgárm.Hiv.</t>
  </si>
  <si>
    <t>Kollégium</t>
  </si>
  <si>
    <t xml:space="preserve">          -  MSE vagyonvédelmi rendszer kiépítés</t>
  </si>
  <si>
    <t xml:space="preserve">          -  Védőeszköz beszerzés pályázat alapján Tűzoltóság részére</t>
  </si>
  <si>
    <t>Bükkfa köz felújítás</t>
  </si>
  <si>
    <t>Városrehabilitáció</t>
  </si>
  <si>
    <t xml:space="preserve">          -  Városrehabilitáció</t>
  </si>
  <si>
    <t xml:space="preserve">          -  Eper út</t>
  </si>
  <si>
    <t xml:space="preserve">          -  Bölcsőde bővítés</t>
  </si>
  <si>
    <t xml:space="preserve">          -  Járdaszakaszok építése</t>
  </si>
  <si>
    <t xml:space="preserve">          -  Kerékpárút építés</t>
  </si>
  <si>
    <t xml:space="preserve">          -  Szent Imre tagiskola bővítés</t>
  </si>
  <si>
    <t xml:space="preserve">                                  Szent Imre tagiskola bővítés</t>
  </si>
  <si>
    <t xml:space="preserve">          - Védelmi felk. Feladatok - B.A.Z. Megyei Önk.-tól</t>
  </si>
  <si>
    <t xml:space="preserve">             Területi, körzeti igazgatási szervek tev. összesen:</t>
  </si>
  <si>
    <t xml:space="preserve">          -  Váci Mihály utcai játszótér bővítés</t>
  </si>
  <si>
    <t>Önkorm. elszám.</t>
  </si>
  <si>
    <t xml:space="preserve">                                               - Cigány Kisebbségi önk. Kiegészítő</t>
  </si>
  <si>
    <t>Közüzemi díjak</t>
  </si>
  <si>
    <t xml:space="preserve">       - Mezőkövesdi Városfejlesztési Kft. törsztőke</t>
  </si>
  <si>
    <t xml:space="preserve">   - Polg.Hiv.Tisza-tavi Egycélú Kist.Társ.</t>
  </si>
  <si>
    <t xml:space="preserve">                                  HEFOP pályázat (TISZK)</t>
  </si>
  <si>
    <t xml:space="preserve">          - iskolatej támogatás</t>
  </si>
  <si>
    <t xml:space="preserve">          - iskolatej áfa támogatás</t>
  </si>
  <si>
    <t>Viziközmű érdekeltségi hj. Lakosságtól</t>
  </si>
  <si>
    <t xml:space="preserve">          - Önk.Min. Turisztikai pályázat</t>
  </si>
  <si>
    <t xml:space="preserve">          - Bértámogatás Munkaügyi Központ</t>
  </si>
  <si>
    <t xml:space="preserve">          - Jövedelem különbség mérséklés</t>
  </si>
  <si>
    <t xml:space="preserve">          - Szakértői bizottságok támogatása</t>
  </si>
  <si>
    <t xml:space="preserve">          - Önkormányzattól építéshatósági tev-re</t>
  </si>
  <si>
    <t>Közöztisztviselői naphoz dolgozói hozzájárulás</t>
  </si>
  <si>
    <t>Osztalékbevétel</t>
  </si>
  <si>
    <t xml:space="preserve">          - Ifjúsági szakember képzés</t>
  </si>
  <si>
    <t xml:space="preserve">          - Ifjúsági pályázat</t>
  </si>
  <si>
    <t xml:space="preserve">   - előző évi pm. átadás (alulfin.)</t>
  </si>
  <si>
    <t xml:space="preserve">          - kieg.gyermekvédelmi támogatás és pótlék</t>
  </si>
  <si>
    <t xml:space="preserve">          - TEKI tám. - Klementína közvilágítás </t>
  </si>
  <si>
    <t xml:space="preserve">          - TEKI tám. - Sas út járda építés </t>
  </si>
  <si>
    <t xml:space="preserve">          - CÉDE tám. - Váci Mihály utcai játszótér </t>
  </si>
  <si>
    <t>Önkorm. Pályázatokra: Mező F. energetikei korsz.</t>
  </si>
  <si>
    <t xml:space="preserve">          - gyermektartásdíj megelőlegezés</t>
  </si>
  <si>
    <t>Termőföld értékesítés</t>
  </si>
  <si>
    <t>VG Zrt. Részvény vásárlás (közös Érdek Dolgozói Alapítványtól)</t>
  </si>
  <si>
    <t>Készfizető kezességvállalás Szennyvíza.</t>
  </si>
  <si>
    <t>Szeméttelepi bekötőút felújítása</t>
  </si>
  <si>
    <t>Közoktatás-fejlesztési célok támogatása - Alapfok telj. motiv.</t>
  </si>
  <si>
    <t>Közoktatás-fejlesztési célok támogatása - SZISZI telj. motiv.</t>
  </si>
  <si>
    <t xml:space="preserve">              -Városrehabilitáció</t>
  </si>
  <si>
    <t xml:space="preserve">              -Szent Imre tagiskola fejlesztés</t>
  </si>
  <si>
    <t xml:space="preserve">              -Zsóry fejlesztés</t>
  </si>
  <si>
    <t xml:space="preserve">              -Polgármesteri Hivatal szervezetfejlesztés</t>
  </si>
  <si>
    <t xml:space="preserve">              -TISZK pályázati támogatás</t>
  </si>
  <si>
    <t xml:space="preserve">              - Ifjúsági komponens TÁMOP</t>
  </si>
  <si>
    <t xml:space="preserve">              - Kompetencia alapú oktatás TÁMOP</t>
  </si>
  <si>
    <t xml:space="preserve">               - Esélyegyenlőség</t>
  </si>
  <si>
    <t xml:space="preserve">               - Eper út</t>
  </si>
  <si>
    <t xml:space="preserve">               - Kerékpárút forg. Hálózat</t>
  </si>
  <si>
    <t>Értékpapír értékesítés, kibocs. Bev. (kötvény hozama)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</si>
</sst>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  <numFmt numFmtId="169" formatCode="[$-40E]yyyy\.\ mmmm\ d\."/>
    <numFmt numFmtId="170" formatCode="0.000"/>
    <numFmt numFmtId="171" formatCode="0.0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1"/>
      <name val="Times New Roman CE"/>
      <family val="1"/>
    </font>
    <font>
      <b/>
      <sz val="12"/>
      <name val="Times New Roman"/>
      <family val="1"/>
    </font>
    <font>
      <sz val="9"/>
      <name val="Arial CE"/>
      <family val="2"/>
    </font>
    <font>
      <sz val="12"/>
      <name val="Times New Roman"/>
      <family val="1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i/>
      <sz val="10"/>
      <name val="Arial CE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u val="single"/>
      <sz val="12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4"/>
      <name val="Arial CE"/>
      <family val="2"/>
    </font>
    <font>
      <b/>
      <u val="single"/>
      <sz val="14"/>
      <name val="Arial"/>
      <family val="2"/>
    </font>
    <font>
      <sz val="11"/>
      <name val="Times New Roman"/>
      <family val="1"/>
    </font>
    <font>
      <b/>
      <u val="single"/>
      <sz val="11"/>
      <name val="Arial CE"/>
      <family val="2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i/>
      <sz val="9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6"/>
      <name val="Arial CE"/>
      <family val="2"/>
    </font>
    <font>
      <sz val="4"/>
      <name val="Arial CE"/>
      <family val="2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>
      <alignment/>
    </xf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26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3" fontId="23" fillId="0" borderId="11" xfId="0" applyNumberFormat="1" applyFont="1" applyBorder="1" applyAlignment="1">
      <alignment/>
    </xf>
    <xf numFmtId="3" fontId="23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23" fillId="0" borderId="11" xfId="0" applyFont="1" applyBorder="1" applyAlignment="1">
      <alignment wrapText="1"/>
    </xf>
    <xf numFmtId="0" fontId="24" fillId="0" borderId="0" xfId="0" applyFont="1" applyAlignment="1">
      <alignment/>
    </xf>
    <xf numFmtId="0" fontId="0" fillId="0" borderId="12" xfId="0" applyFont="1" applyBorder="1" applyAlignment="1">
      <alignment/>
    </xf>
    <xf numFmtId="3" fontId="23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23" fillId="0" borderId="13" xfId="0" applyFont="1" applyBorder="1" applyAlignment="1">
      <alignment/>
    </xf>
    <xf numFmtId="3" fontId="23" fillId="0" borderId="13" xfId="0" applyNumberFormat="1" applyFont="1" applyBorder="1" applyAlignment="1">
      <alignment/>
    </xf>
    <xf numFmtId="3" fontId="23" fillId="0" borderId="13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3" fillId="0" borderId="12" xfId="0" applyFont="1" applyBorder="1" applyAlignment="1">
      <alignment/>
    </xf>
    <xf numFmtId="3" fontId="23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right"/>
    </xf>
    <xf numFmtId="0" fontId="27" fillId="0" borderId="15" xfId="0" applyFont="1" applyBorder="1" applyAlignment="1">
      <alignment/>
    </xf>
    <xf numFmtId="0" fontId="29" fillId="0" borderId="15" xfId="0" applyFont="1" applyBorder="1" applyAlignment="1">
      <alignment/>
    </xf>
    <xf numFmtId="0" fontId="27" fillId="0" borderId="16" xfId="0" applyFont="1" applyBorder="1" applyAlignment="1">
      <alignment/>
    </xf>
    <xf numFmtId="0" fontId="29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4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29" fillId="0" borderId="11" xfId="0" applyFont="1" applyBorder="1" applyAlignment="1">
      <alignment/>
    </xf>
    <xf numFmtId="3" fontId="0" fillId="0" borderId="18" xfId="0" applyNumberFormat="1" applyBorder="1" applyAlignment="1">
      <alignment/>
    </xf>
    <xf numFmtId="0" fontId="29" fillId="0" borderId="13" xfId="0" applyFont="1" applyBorder="1" applyAlignment="1">
      <alignment/>
    </xf>
    <xf numFmtId="0" fontId="29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0" fontId="29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29" fillId="0" borderId="21" xfId="0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4" fillId="0" borderId="11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14" fillId="0" borderId="21" xfId="0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23" fillId="0" borderId="27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0" fontId="29" fillId="0" borderId="21" xfId="0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1" xfId="0" applyFont="1" applyBorder="1" applyAlignment="1">
      <alignment/>
    </xf>
    <xf numFmtId="0" fontId="29" fillId="0" borderId="30" xfId="0" applyFont="1" applyBorder="1" applyAlignment="1">
      <alignment/>
    </xf>
    <xf numFmtId="3" fontId="0" fillId="0" borderId="13" xfId="0" applyNumberFormat="1" applyBorder="1" applyAlignment="1">
      <alignment/>
    </xf>
    <xf numFmtId="0" fontId="29" fillId="0" borderId="31" xfId="0" applyFont="1" applyBorder="1" applyAlignment="1">
      <alignment/>
    </xf>
    <xf numFmtId="3" fontId="0" fillId="0" borderId="10" xfId="0" applyNumberFormat="1" applyBorder="1" applyAlignment="1">
      <alignment/>
    </xf>
    <xf numFmtId="0" fontId="14" fillId="0" borderId="32" xfId="0" applyFont="1" applyBorder="1" applyAlignment="1">
      <alignment/>
    </xf>
    <xf numFmtId="0" fontId="14" fillId="0" borderId="24" xfId="0" applyFont="1" applyBorder="1" applyAlignment="1">
      <alignment/>
    </xf>
    <xf numFmtId="3" fontId="0" fillId="0" borderId="0" xfId="0" applyNumberFormat="1" applyBorder="1" applyAlignment="1">
      <alignment/>
    </xf>
    <xf numFmtId="0" fontId="29" fillId="24" borderId="13" xfId="0" applyFont="1" applyFill="1" applyBorder="1" applyAlignment="1">
      <alignment/>
    </xf>
    <xf numFmtId="3" fontId="23" fillId="24" borderId="13" xfId="0" applyNumberFormat="1" applyFont="1" applyFill="1" applyBorder="1" applyAlignment="1">
      <alignment/>
    </xf>
    <xf numFmtId="0" fontId="29" fillId="24" borderId="33" xfId="0" applyFont="1" applyFill="1" applyBorder="1" applyAlignment="1">
      <alignment/>
    </xf>
    <xf numFmtId="3" fontId="0" fillId="24" borderId="14" xfId="0" applyNumberFormat="1" applyFill="1" applyBorder="1" applyAlignment="1">
      <alignment/>
    </xf>
    <xf numFmtId="3" fontId="0" fillId="24" borderId="34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14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21" xfId="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7" fillId="0" borderId="27" xfId="0" applyFont="1" applyBorder="1" applyAlignment="1">
      <alignment/>
    </xf>
    <xf numFmtId="0" fontId="30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29" fillId="0" borderId="27" xfId="0" applyFont="1" applyBorder="1" applyAlignment="1">
      <alignment/>
    </xf>
    <xf numFmtId="0" fontId="23" fillId="0" borderId="0" xfId="0" applyFont="1" applyAlignment="1">
      <alignment/>
    </xf>
    <xf numFmtId="3" fontId="0" fillId="0" borderId="35" xfId="0" applyNumberFormat="1" applyBorder="1" applyAlignment="1">
      <alignment/>
    </xf>
    <xf numFmtId="0" fontId="29" fillId="0" borderId="32" xfId="0" applyFont="1" applyBorder="1" applyAlignment="1">
      <alignment/>
    </xf>
    <xf numFmtId="3" fontId="0" fillId="0" borderId="36" xfId="0" applyNumberFormat="1" applyBorder="1" applyAlignment="1">
      <alignment/>
    </xf>
    <xf numFmtId="0" fontId="31" fillId="0" borderId="24" xfId="0" applyFont="1" applyBorder="1" applyAlignment="1">
      <alignment/>
    </xf>
    <xf numFmtId="0" fontId="29" fillId="0" borderId="22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37" xfId="0" applyFont="1" applyFill="1" applyBorder="1" applyAlignment="1">
      <alignment/>
    </xf>
    <xf numFmtId="0" fontId="29" fillId="0" borderId="22" xfId="0" applyFont="1" applyBorder="1" applyAlignment="1">
      <alignment/>
    </xf>
    <xf numFmtId="0" fontId="14" fillId="0" borderId="24" xfId="0" applyFont="1" applyFill="1" applyBorder="1" applyAlignment="1">
      <alignment/>
    </xf>
    <xf numFmtId="0" fontId="29" fillId="0" borderId="38" xfId="0" applyFont="1" applyBorder="1" applyAlignment="1">
      <alignment/>
    </xf>
    <xf numFmtId="0" fontId="14" fillId="0" borderId="38" xfId="0" applyFont="1" applyBorder="1" applyAlignment="1">
      <alignment/>
    </xf>
    <xf numFmtId="0" fontId="29" fillId="0" borderId="24" xfId="0" applyFont="1" applyBorder="1" applyAlignment="1">
      <alignment/>
    </xf>
    <xf numFmtId="3" fontId="0" fillId="0" borderId="27" xfId="0" applyNumberFormat="1" applyBorder="1" applyAlignment="1">
      <alignment/>
    </xf>
    <xf numFmtId="0" fontId="29" fillId="24" borderId="30" xfId="0" applyFont="1" applyFill="1" applyBorder="1" applyAlignment="1">
      <alignment/>
    </xf>
    <xf numFmtId="3" fontId="23" fillId="24" borderId="27" xfId="0" applyNumberFormat="1" applyFont="1" applyFill="1" applyBorder="1" applyAlignment="1">
      <alignment/>
    </xf>
    <xf numFmtId="0" fontId="29" fillId="24" borderId="27" xfId="0" applyFont="1" applyFill="1" applyBorder="1" applyAlignment="1">
      <alignment/>
    </xf>
    <xf numFmtId="3" fontId="0" fillId="24" borderId="27" xfId="0" applyNumberFormat="1" applyFill="1" applyBorder="1" applyAlignment="1">
      <alignment/>
    </xf>
    <xf numFmtId="3" fontId="0" fillId="0" borderId="31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4" fillId="0" borderId="22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23" fillId="0" borderId="27" xfId="0" applyFont="1" applyBorder="1" applyAlignment="1">
      <alignment/>
    </xf>
    <xf numFmtId="0" fontId="27" fillId="0" borderId="15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6" xfId="0" applyFont="1" applyBorder="1" applyAlignment="1">
      <alignment/>
    </xf>
    <xf numFmtId="3" fontId="23" fillId="0" borderId="35" xfId="0" applyNumberFormat="1" applyFont="1" applyBorder="1" applyAlignment="1">
      <alignment/>
    </xf>
    <xf numFmtId="3" fontId="0" fillId="24" borderId="24" xfId="0" applyNumberFormat="1" applyFill="1" applyBorder="1" applyAlignment="1">
      <alignment/>
    </xf>
    <xf numFmtId="3" fontId="0" fillId="24" borderId="11" xfId="0" applyNumberFormat="1" applyFill="1" applyBorder="1" applyAlignment="1">
      <alignment/>
    </xf>
    <xf numFmtId="3" fontId="0" fillId="0" borderId="32" xfId="0" applyNumberFormat="1" applyBorder="1" applyAlignment="1">
      <alignment/>
    </xf>
    <xf numFmtId="0" fontId="29" fillId="24" borderId="27" xfId="0" applyFont="1" applyFill="1" applyBorder="1" applyAlignment="1">
      <alignment/>
    </xf>
    <xf numFmtId="3" fontId="23" fillId="0" borderId="13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27" xfId="0" applyBorder="1" applyAlignment="1">
      <alignment/>
    </xf>
    <xf numFmtId="3" fontId="23" fillId="0" borderId="27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7" fillId="0" borderId="15" xfId="0" applyFont="1" applyBorder="1" applyAlignment="1">
      <alignment horizontal="center" wrapText="1"/>
    </xf>
    <xf numFmtId="0" fontId="29" fillId="0" borderId="15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3" fontId="23" fillId="0" borderId="38" xfId="0" applyNumberFormat="1" applyFont="1" applyBorder="1" applyAlignment="1">
      <alignment/>
    </xf>
    <xf numFmtId="0" fontId="0" fillId="0" borderId="47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13" xfId="0" applyBorder="1" applyAlignment="1">
      <alignment/>
    </xf>
    <xf numFmtId="3" fontId="0" fillId="0" borderId="33" xfId="0" applyNumberFormat="1" applyBorder="1" applyAlignment="1">
      <alignment/>
    </xf>
    <xf numFmtId="3" fontId="23" fillId="0" borderId="31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0" fontId="29" fillId="0" borderId="15" xfId="0" applyFont="1" applyBorder="1" applyAlignment="1">
      <alignment horizontal="center" wrapText="1"/>
    </xf>
    <xf numFmtId="0" fontId="29" fillId="0" borderId="35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45" xfId="0" applyFont="1" applyBorder="1" applyAlignment="1">
      <alignment/>
    </xf>
    <xf numFmtId="0" fontId="14" fillId="0" borderId="50" xfId="0" applyFont="1" applyBorder="1" applyAlignment="1">
      <alignment/>
    </xf>
    <xf numFmtId="0" fontId="29" fillId="24" borderId="30" xfId="0" applyFont="1" applyFill="1" applyBorder="1" applyAlignment="1">
      <alignment/>
    </xf>
    <xf numFmtId="3" fontId="0" fillId="24" borderId="15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0" fontId="29" fillId="24" borderId="38" xfId="0" applyFont="1" applyFill="1" applyBorder="1" applyAlignment="1">
      <alignment/>
    </xf>
    <xf numFmtId="3" fontId="23" fillId="24" borderId="16" xfId="0" applyNumberFormat="1" applyFont="1" applyFill="1" applyBorder="1" applyAlignment="1">
      <alignment/>
    </xf>
    <xf numFmtId="0" fontId="29" fillId="24" borderId="31" xfId="0" applyFont="1" applyFill="1" applyBorder="1" applyAlignment="1">
      <alignment/>
    </xf>
    <xf numFmtId="3" fontId="0" fillId="24" borderId="31" xfId="0" applyNumberFormat="1" applyFill="1" applyBorder="1" applyAlignment="1">
      <alignment/>
    </xf>
    <xf numFmtId="0" fontId="29" fillId="0" borderId="50" xfId="0" applyFont="1" applyBorder="1" applyAlignment="1">
      <alignment/>
    </xf>
    <xf numFmtId="3" fontId="0" fillId="24" borderId="37" xfId="0" applyNumberFormat="1" applyFill="1" applyBorder="1" applyAlignment="1">
      <alignment/>
    </xf>
    <xf numFmtId="3" fontId="23" fillId="0" borderId="16" xfId="0" applyNumberFormat="1" applyFont="1" applyBorder="1" applyAlignment="1">
      <alignment/>
    </xf>
    <xf numFmtId="0" fontId="29" fillId="0" borderId="15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3" fontId="31" fillId="0" borderId="11" xfId="0" applyNumberFormat="1" applyFont="1" applyBorder="1" applyAlignment="1">
      <alignment/>
    </xf>
    <xf numFmtId="0" fontId="0" fillId="0" borderId="22" xfId="0" applyBorder="1" applyAlignment="1">
      <alignment/>
    </xf>
    <xf numFmtId="0" fontId="29" fillId="24" borderId="51" xfId="0" applyFont="1" applyFill="1" applyBorder="1" applyAlignment="1">
      <alignment/>
    </xf>
    <xf numFmtId="3" fontId="0" fillId="24" borderId="10" xfId="0" applyNumberFormat="1" applyFill="1" applyBorder="1" applyAlignment="1">
      <alignment/>
    </xf>
    <xf numFmtId="3" fontId="0" fillId="24" borderId="12" xfId="0" applyNumberFormat="1" applyFill="1" applyBorder="1" applyAlignment="1">
      <alignment/>
    </xf>
    <xf numFmtId="0" fontId="29" fillId="24" borderId="0" xfId="0" applyFont="1" applyFill="1" applyBorder="1" applyAlignment="1">
      <alignment/>
    </xf>
    <xf numFmtId="3" fontId="23" fillId="24" borderId="0" xfId="0" applyNumberFormat="1" applyFont="1" applyFill="1" applyBorder="1" applyAlignment="1">
      <alignment/>
    </xf>
    <xf numFmtId="0" fontId="30" fillId="0" borderId="35" xfId="0" applyFont="1" applyBorder="1" applyAlignment="1">
      <alignment horizontal="center" wrapText="1"/>
    </xf>
    <xf numFmtId="3" fontId="23" fillId="0" borderId="15" xfId="0" applyNumberFormat="1" applyFont="1" applyBorder="1" applyAlignment="1">
      <alignment/>
    </xf>
    <xf numFmtId="3" fontId="0" fillId="0" borderId="52" xfId="0" applyNumberFormat="1" applyBorder="1" applyAlignment="1">
      <alignment/>
    </xf>
    <xf numFmtId="3" fontId="23" fillId="24" borderId="16" xfId="0" applyNumberFormat="1" applyFont="1" applyFill="1" applyBorder="1" applyAlignment="1">
      <alignment/>
    </xf>
    <xf numFmtId="0" fontId="29" fillId="0" borderId="51" xfId="0" applyFont="1" applyBorder="1" applyAlignment="1">
      <alignment/>
    </xf>
    <xf numFmtId="3" fontId="0" fillId="24" borderId="20" xfId="0" applyNumberFormat="1" applyFill="1" applyBorder="1" applyAlignment="1">
      <alignment/>
    </xf>
    <xf numFmtId="3" fontId="0" fillId="24" borderId="10" xfId="0" applyNumberFormat="1" applyFill="1" applyBorder="1" applyAlignment="1">
      <alignment/>
    </xf>
    <xf numFmtId="3" fontId="0" fillId="24" borderId="17" xfId="0" applyNumberFormat="1" applyFill="1" applyBorder="1" applyAlignment="1">
      <alignment/>
    </xf>
    <xf numFmtId="3" fontId="0" fillId="24" borderId="11" xfId="0" applyNumberFormat="1" applyFill="1" applyBorder="1" applyAlignment="1">
      <alignment/>
    </xf>
    <xf numFmtId="3" fontId="0" fillId="24" borderId="29" xfId="0" applyNumberFormat="1" applyFill="1" applyBorder="1" applyAlignment="1">
      <alignment/>
    </xf>
    <xf numFmtId="3" fontId="0" fillId="24" borderId="18" xfId="0" applyNumberFormat="1" applyFill="1" applyBorder="1" applyAlignment="1">
      <alignment/>
    </xf>
    <xf numFmtId="3" fontId="0" fillId="24" borderId="29" xfId="0" applyNumberFormat="1" applyFill="1" applyBorder="1" applyAlignment="1">
      <alignment/>
    </xf>
    <xf numFmtId="3" fontId="0" fillId="24" borderId="16" xfId="0" applyNumberFormat="1" applyFill="1" applyBorder="1" applyAlignment="1">
      <alignment/>
    </xf>
    <xf numFmtId="3" fontId="23" fillId="24" borderId="0" xfId="0" applyNumberFormat="1" applyFont="1" applyFill="1" applyBorder="1" applyAlignment="1">
      <alignment/>
    </xf>
    <xf numFmtId="0" fontId="32" fillId="0" borderId="15" xfId="0" applyFont="1" applyBorder="1" applyAlignment="1">
      <alignment horizontal="center" wrapText="1"/>
    </xf>
    <xf numFmtId="0" fontId="32" fillId="0" borderId="15" xfId="0" applyFont="1" applyBorder="1" applyAlignment="1">
      <alignment wrapText="1"/>
    </xf>
    <xf numFmtId="0" fontId="30" fillId="0" borderId="15" xfId="0" applyFont="1" applyBorder="1" applyAlignment="1">
      <alignment horizontal="center" wrapText="1"/>
    </xf>
    <xf numFmtId="0" fontId="29" fillId="24" borderId="31" xfId="0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3" fontId="0" fillId="24" borderId="22" xfId="0" applyNumberFormat="1" applyFill="1" applyBorder="1" applyAlignment="1">
      <alignment/>
    </xf>
    <xf numFmtId="0" fontId="29" fillId="0" borderId="34" xfId="0" applyFont="1" applyBorder="1" applyAlignment="1">
      <alignment/>
    </xf>
    <xf numFmtId="3" fontId="0" fillId="24" borderId="32" xfId="0" applyNumberFormat="1" applyFill="1" applyBorder="1" applyAlignment="1">
      <alignment/>
    </xf>
    <xf numFmtId="0" fontId="33" fillId="0" borderId="15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3" fillId="0" borderId="13" xfId="0" applyFont="1" applyBorder="1" applyAlignment="1">
      <alignment wrapText="1"/>
    </xf>
    <xf numFmtId="0" fontId="29" fillId="24" borderId="27" xfId="0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29" fillId="0" borderId="41" xfId="0" applyFont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43" xfId="0" applyFon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23" fillId="0" borderId="43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29" fillId="0" borderId="43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3" fontId="23" fillId="0" borderId="4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3" fontId="0" fillId="0" borderId="11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34" fillId="0" borderId="0" xfId="0" applyFont="1" applyAlignment="1">
      <alignment horizontal="right"/>
    </xf>
    <xf numFmtId="0" fontId="29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29" fillId="0" borderId="16" xfId="0" applyFont="1" applyBorder="1" applyAlignment="1">
      <alignment horizontal="center"/>
    </xf>
    <xf numFmtId="0" fontId="23" fillId="0" borderId="24" xfId="0" applyFont="1" applyBorder="1" applyAlignment="1">
      <alignment/>
    </xf>
    <xf numFmtId="0" fontId="0" fillId="0" borderId="38" xfId="0" applyBorder="1" applyAlignment="1">
      <alignment/>
    </xf>
    <xf numFmtId="0" fontId="23" fillId="0" borderId="48" xfId="0" applyFont="1" applyBorder="1" applyAlignment="1">
      <alignment horizontal="center"/>
    </xf>
    <xf numFmtId="0" fontId="23" fillId="0" borderId="47" xfId="0" applyFont="1" applyBorder="1" applyAlignment="1">
      <alignment horizontal="center" wrapText="1"/>
    </xf>
    <xf numFmtId="0" fontId="0" fillId="0" borderId="50" xfId="0" applyBorder="1" applyAlignment="1">
      <alignment/>
    </xf>
    <xf numFmtId="0" fontId="0" fillId="0" borderId="53" xfId="0" applyBorder="1" applyAlignment="1">
      <alignment/>
    </xf>
    <xf numFmtId="0" fontId="23" fillId="0" borderId="54" xfId="0" applyFont="1" applyBorder="1" applyAlignment="1">
      <alignment/>
    </xf>
    <xf numFmtId="0" fontId="23" fillId="0" borderId="55" xfId="0" applyFont="1" applyBorder="1" applyAlignment="1">
      <alignment/>
    </xf>
    <xf numFmtId="0" fontId="0" fillId="0" borderId="34" xfId="0" applyBorder="1" applyAlignment="1">
      <alignment/>
    </xf>
    <xf numFmtId="3" fontId="0" fillId="0" borderId="46" xfId="0" applyNumberFormat="1" applyBorder="1" applyAlignment="1">
      <alignment/>
    </xf>
    <xf numFmtId="0" fontId="27" fillId="0" borderId="30" xfId="0" applyFont="1" applyBorder="1" applyAlignment="1">
      <alignment/>
    </xf>
    <xf numFmtId="0" fontId="29" fillId="0" borderId="35" xfId="0" applyFont="1" applyBorder="1" applyAlignment="1">
      <alignment/>
    </xf>
    <xf numFmtId="0" fontId="0" fillId="0" borderId="38" xfId="0" applyBorder="1" applyAlignment="1">
      <alignment/>
    </xf>
    <xf numFmtId="0" fontId="29" fillId="0" borderId="40" xfId="0" applyFont="1" applyBorder="1" applyAlignment="1">
      <alignment/>
    </xf>
    <xf numFmtId="3" fontId="35" fillId="24" borderId="13" xfId="0" applyNumberFormat="1" applyFont="1" applyFill="1" applyBorder="1" applyAlignment="1">
      <alignment/>
    </xf>
    <xf numFmtId="3" fontId="35" fillId="24" borderId="28" xfId="0" applyNumberFormat="1" applyFont="1" applyFill="1" applyBorder="1" applyAlignment="1">
      <alignment/>
    </xf>
    <xf numFmtId="0" fontId="36" fillId="0" borderId="27" xfId="0" applyFont="1" applyBorder="1" applyAlignment="1">
      <alignment/>
    </xf>
    <xf numFmtId="3" fontId="37" fillId="0" borderId="13" xfId="0" applyNumberFormat="1" applyFont="1" applyBorder="1" applyAlignment="1">
      <alignment/>
    </xf>
    <xf numFmtId="3" fontId="37" fillId="0" borderId="28" xfId="0" applyNumberFormat="1" applyFont="1" applyBorder="1" applyAlignment="1">
      <alignment/>
    </xf>
    <xf numFmtId="164" fontId="36" fillId="0" borderId="30" xfId="0" applyNumberFormat="1" applyFont="1" applyBorder="1" applyAlignment="1">
      <alignment/>
    </xf>
    <xf numFmtId="3" fontId="37" fillId="24" borderId="13" xfId="0" applyNumberFormat="1" applyFont="1" applyFill="1" applyBorder="1" applyAlignment="1">
      <alignment/>
    </xf>
    <xf numFmtId="3" fontId="37" fillId="24" borderId="28" xfId="0" applyNumberFormat="1" applyFont="1" applyFill="1" applyBorder="1" applyAlignment="1">
      <alignment/>
    </xf>
    <xf numFmtId="164" fontId="36" fillId="0" borderId="31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3" fontId="37" fillId="0" borderId="22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164" fontId="36" fillId="0" borderId="24" xfId="0" applyNumberFormat="1" applyFont="1" applyBorder="1" applyAlignment="1">
      <alignment/>
    </xf>
    <xf numFmtId="3" fontId="37" fillId="0" borderId="24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164" fontId="36" fillId="0" borderId="37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3" fontId="37" fillId="0" borderId="37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3" fontId="35" fillId="0" borderId="13" xfId="0" applyNumberFormat="1" applyFont="1" applyBorder="1" applyAlignment="1">
      <alignment/>
    </xf>
    <xf numFmtId="3" fontId="35" fillId="24" borderId="27" xfId="0" applyNumberFormat="1" applyFont="1" applyFill="1" applyBorder="1" applyAlignment="1">
      <alignment/>
    </xf>
    <xf numFmtId="3" fontId="35" fillId="24" borderId="13" xfId="0" applyNumberFormat="1" applyFont="1" applyFill="1" applyBorder="1" applyAlignment="1">
      <alignment/>
    </xf>
    <xf numFmtId="0" fontId="31" fillId="0" borderId="31" xfId="0" applyFont="1" applyBorder="1" applyAlignment="1">
      <alignment/>
    </xf>
    <xf numFmtId="0" fontId="31" fillId="0" borderId="37" xfId="0" applyFont="1" applyBorder="1" applyAlignment="1">
      <alignment/>
    </xf>
    <xf numFmtId="164" fontId="31" fillId="0" borderId="24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0" fontId="31" fillId="0" borderId="24" xfId="0" applyFont="1" applyBorder="1" applyAlignment="1">
      <alignment/>
    </xf>
    <xf numFmtId="3" fontId="37" fillId="0" borderId="21" xfId="0" applyNumberFormat="1" applyFont="1" applyBorder="1" applyAlignment="1">
      <alignment/>
    </xf>
    <xf numFmtId="0" fontId="31" fillId="0" borderId="31" xfId="0" applyFont="1" applyFill="1" applyBorder="1" applyAlignment="1">
      <alignment/>
    </xf>
    <xf numFmtId="0" fontId="31" fillId="0" borderId="45" xfId="0" applyFont="1" applyBorder="1" applyAlignment="1">
      <alignment/>
    </xf>
    <xf numFmtId="3" fontId="37" fillId="0" borderId="16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2" xfId="0" applyFont="1" applyBorder="1" applyAlignment="1">
      <alignment/>
    </xf>
    <xf numFmtId="3" fontId="37" fillId="0" borderId="21" xfId="0" applyNumberFormat="1" applyFont="1" applyBorder="1" applyAlignment="1">
      <alignment/>
    </xf>
    <xf numFmtId="0" fontId="14" fillId="0" borderId="31" xfId="0" applyFont="1" applyBorder="1" applyAlignment="1">
      <alignment/>
    </xf>
    <xf numFmtId="3" fontId="37" fillId="0" borderId="10" xfId="0" applyNumberFormat="1" applyFont="1" applyBorder="1" applyAlignment="1">
      <alignment/>
    </xf>
    <xf numFmtId="3" fontId="37" fillId="0" borderId="31" xfId="0" applyNumberFormat="1" applyFont="1" applyBorder="1" applyAlignment="1">
      <alignment/>
    </xf>
    <xf numFmtId="3" fontId="37" fillId="0" borderId="32" xfId="0" applyNumberFormat="1" applyFont="1" applyBorder="1" applyAlignment="1">
      <alignment/>
    </xf>
    <xf numFmtId="0" fontId="14" fillId="0" borderId="31" xfId="0" applyFont="1" applyBorder="1" applyAlignment="1">
      <alignment/>
    </xf>
    <xf numFmtId="3" fontId="37" fillId="0" borderId="39" xfId="0" applyNumberFormat="1" applyFont="1" applyBorder="1" applyAlignment="1">
      <alignment/>
    </xf>
    <xf numFmtId="3" fontId="37" fillId="0" borderId="40" xfId="0" applyNumberFormat="1" applyFont="1" applyBorder="1" applyAlignment="1">
      <alignment/>
    </xf>
    <xf numFmtId="0" fontId="29" fillId="0" borderId="27" xfId="0" applyFont="1" applyBorder="1" applyAlignment="1">
      <alignment wrapText="1"/>
    </xf>
    <xf numFmtId="3" fontId="35" fillId="0" borderId="13" xfId="0" applyNumberFormat="1" applyFont="1" applyBorder="1" applyAlignment="1">
      <alignment/>
    </xf>
    <xf numFmtId="3" fontId="35" fillId="0" borderId="16" xfId="0" applyNumberFormat="1" applyFont="1" applyBorder="1" applyAlignment="1">
      <alignment/>
    </xf>
    <xf numFmtId="3" fontId="35" fillId="0" borderId="40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37" fillId="0" borderId="15" xfId="0" applyNumberFormat="1" applyFont="1" applyBorder="1" applyAlignment="1">
      <alignment/>
    </xf>
    <xf numFmtId="3" fontId="37" fillId="0" borderId="35" xfId="0" applyNumberFormat="1" applyFont="1" applyBorder="1" applyAlignment="1">
      <alignment/>
    </xf>
    <xf numFmtId="3" fontId="37" fillId="0" borderId="25" xfId="0" applyNumberFormat="1" applyFont="1" applyBorder="1" applyAlignment="1">
      <alignment/>
    </xf>
    <xf numFmtId="3" fontId="35" fillId="0" borderId="28" xfId="0" applyNumberFormat="1" applyFont="1" applyBorder="1" applyAlignment="1">
      <alignment/>
    </xf>
    <xf numFmtId="0" fontId="39" fillId="0" borderId="0" xfId="0" applyFont="1" applyAlignment="1">
      <alignment/>
    </xf>
    <xf numFmtId="0" fontId="29" fillId="0" borderId="13" xfId="0" applyFont="1" applyBorder="1" applyAlignment="1">
      <alignment wrapText="1"/>
    </xf>
    <xf numFmtId="0" fontId="29" fillId="0" borderId="35" xfId="0" applyFont="1" applyBorder="1" applyAlignment="1">
      <alignment wrapText="1"/>
    </xf>
    <xf numFmtId="0" fontId="14" fillId="24" borderId="3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3" fontId="14" fillId="0" borderId="12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7" fillId="0" borderId="13" xfId="0" applyFont="1" applyBorder="1" applyAlignment="1">
      <alignment/>
    </xf>
    <xf numFmtId="0" fontId="38" fillId="0" borderId="0" xfId="0" applyFont="1" applyAlignment="1">
      <alignment horizontal="right"/>
    </xf>
    <xf numFmtId="0" fontId="26" fillId="0" borderId="0" xfId="0" applyFont="1" applyAlignment="1">
      <alignment/>
    </xf>
    <xf numFmtId="0" fontId="27" fillId="0" borderId="30" xfId="0" applyFont="1" applyBorder="1" applyAlignment="1">
      <alignment/>
    </xf>
    <xf numFmtId="0" fontId="14" fillId="24" borderId="37" xfId="0" applyFont="1" applyFill="1" applyBorder="1" applyAlignment="1">
      <alignment wrapText="1"/>
    </xf>
    <xf numFmtId="3" fontId="14" fillId="0" borderId="11" xfId="0" applyNumberFormat="1" applyFont="1" applyBorder="1" applyAlignment="1">
      <alignment/>
    </xf>
    <xf numFmtId="0" fontId="0" fillId="24" borderId="0" xfId="0" applyFill="1" applyBorder="1" applyAlignment="1">
      <alignment/>
    </xf>
    <xf numFmtId="3" fontId="14" fillId="0" borderId="21" xfId="0" applyNumberFormat="1" applyFont="1" applyBorder="1" applyAlignment="1">
      <alignment/>
    </xf>
    <xf numFmtId="0" fontId="29" fillId="0" borderId="54" xfId="0" applyFont="1" applyBorder="1" applyAlignment="1">
      <alignment/>
    </xf>
    <xf numFmtId="0" fontId="29" fillId="0" borderId="56" xfId="0" applyFont="1" applyBorder="1" applyAlignment="1">
      <alignment/>
    </xf>
    <xf numFmtId="3" fontId="23" fillId="0" borderId="21" xfId="0" applyNumberFormat="1" applyFont="1" applyBorder="1" applyAlignment="1">
      <alignment/>
    </xf>
    <xf numFmtId="0" fontId="0" fillId="0" borderId="55" xfId="0" applyBorder="1" applyAlignment="1">
      <alignment/>
    </xf>
    <xf numFmtId="0" fontId="38" fillId="0" borderId="0" xfId="0" applyFont="1" applyAlignment="1">
      <alignment/>
    </xf>
    <xf numFmtId="0" fontId="14" fillId="24" borderId="45" xfId="0" applyFont="1" applyFill="1" applyBorder="1" applyAlignment="1">
      <alignment/>
    </xf>
    <xf numFmtId="0" fontId="29" fillId="0" borderId="41" xfId="0" applyFont="1" applyBorder="1" applyAlignment="1">
      <alignment/>
    </xf>
    <xf numFmtId="0" fontId="29" fillId="0" borderId="42" xfId="0" applyFont="1" applyBorder="1" applyAlignment="1">
      <alignment/>
    </xf>
    <xf numFmtId="3" fontId="0" fillId="0" borderId="31" xfId="0" applyNumberFormat="1" applyBorder="1" applyAlignment="1">
      <alignment horizontal="right"/>
    </xf>
    <xf numFmtId="0" fontId="0" fillId="0" borderId="17" xfId="0" applyBorder="1" applyAlignment="1">
      <alignment/>
    </xf>
    <xf numFmtId="3" fontId="0" fillId="0" borderId="24" xfId="0" applyNumberFormat="1" applyBorder="1" applyAlignment="1">
      <alignment horizontal="right"/>
    </xf>
    <xf numFmtId="3" fontId="0" fillId="0" borderId="45" xfId="0" applyNumberFormat="1" applyBorder="1" applyAlignment="1">
      <alignment horizontal="right"/>
    </xf>
    <xf numFmtId="0" fontId="0" fillId="0" borderId="43" xfId="0" applyBorder="1" applyAlignment="1">
      <alignment/>
    </xf>
    <xf numFmtId="3" fontId="0" fillId="0" borderId="27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39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7" xfId="0" applyNumberFormat="1" applyBorder="1" applyAlignment="1">
      <alignment/>
    </xf>
    <xf numFmtId="3" fontId="23" fillId="0" borderId="28" xfId="0" applyNumberFormat="1" applyFont="1" applyBorder="1" applyAlignment="1">
      <alignment/>
    </xf>
    <xf numFmtId="3" fontId="23" fillId="0" borderId="40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57" xfId="0" applyNumberForma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7" xfId="0" applyNumberFormat="1" applyFill="1" applyBorder="1" applyAlignment="1">
      <alignment/>
    </xf>
    <xf numFmtId="0" fontId="0" fillId="0" borderId="45" xfId="0" applyBorder="1" applyAlignment="1">
      <alignment/>
    </xf>
    <xf numFmtId="0" fontId="29" fillId="0" borderId="13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right" vertical="center"/>
    </xf>
    <xf numFmtId="3" fontId="29" fillId="0" borderId="21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11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/>
    </xf>
    <xf numFmtId="0" fontId="27" fillId="0" borderId="13" xfId="0" applyFont="1" applyBorder="1" applyAlignment="1">
      <alignment horizontal="center"/>
    </xf>
    <xf numFmtId="3" fontId="29" fillId="0" borderId="27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0" fontId="29" fillId="0" borderId="0" xfId="0" applyFont="1" applyAlignment="1">
      <alignment horizontal="center"/>
    </xf>
    <xf numFmtId="0" fontId="27" fillId="0" borderId="27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41" fillId="0" borderId="31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39" xfId="0" applyFont="1" applyBorder="1" applyAlignment="1">
      <alignment/>
    </xf>
    <xf numFmtId="3" fontId="42" fillId="0" borderId="31" xfId="0" applyNumberFormat="1" applyFont="1" applyBorder="1" applyAlignment="1">
      <alignment horizontal="right"/>
    </xf>
    <xf numFmtId="3" fontId="42" fillId="0" borderId="3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3" fontId="28" fillId="0" borderId="45" xfId="0" applyNumberFormat="1" applyFont="1" applyBorder="1" applyAlignment="1">
      <alignment horizontal="right"/>
    </xf>
    <xf numFmtId="3" fontId="28" fillId="0" borderId="52" xfId="0" applyNumberFormat="1" applyFont="1" applyBorder="1" applyAlignment="1">
      <alignment horizontal="right"/>
    </xf>
    <xf numFmtId="3" fontId="27" fillId="0" borderId="27" xfId="0" applyNumberFormat="1" applyFont="1" applyBorder="1" applyAlignment="1">
      <alignment horizontal="right" vertical="center"/>
    </xf>
    <xf numFmtId="3" fontId="27" fillId="0" borderId="28" xfId="0" applyNumberFormat="1" applyFont="1" applyBorder="1" applyAlignment="1">
      <alignment horizontal="right" vertical="center"/>
    </xf>
    <xf numFmtId="0" fontId="29" fillId="0" borderId="27" xfId="0" applyFont="1" applyBorder="1" applyAlignment="1">
      <alignment vertical="center"/>
    </xf>
    <xf numFmtId="0" fontId="29" fillId="0" borderId="43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0" borderId="39" xfId="0" applyFont="1" applyBorder="1" applyAlignment="1">
      <alignment vertical="center"/>
    </xf>
    <xf numFmtId="3" fontId="28" fillId="0" borderId="31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3" fontId="27" fillId="0" borderId="27" xfId="0" applyNumberFormat="1" applyFont="1" applyBorder="1" applyAlignment="1">
      <alignment horizontal="center" vertical="center"/>
    </xf>
    <xf numFmtId="0" fontId="32" fillId="0" borderId="28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23" fillId="0" borderId="0" xfId="0" applyFont="1" applyBorder="1" applyAlignment="1">
      <alignment wrapText="1"/>
    </xf>
    <xf numFmtId="3" fontId="28" fillId="0" borderId="39" xfId="0" applyNumberFormat="1" applyFont="1" applyBorder="1" applyAlignment="1">
      <alignment horizontal="right" vertical="center"/>
    </xf>
    <xf numFmtId="3" fontId="0" fillId="24" borderId="35" xfId="0" applyNumberFormat="1" applyFill="1" applyBorder="1" applyAlignment="1">
      <alignment/>
    </xf>
    <xf numFmtId="3" fontId="14" fillId="0" borderId="25" xfId="0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3" fontId="29" fillId="0" borderId="28" xfId="0" applyNumberFormat="1" applyFont="1" applyBorder="1" applyAlignment="1">
      <alignment/>
    </xf>
    <xf numFmtId="0" fontId="44" fillId="0" borderId="32" xfId="0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4" fillId="0" borderId="1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14" fillId="0" borderId="36" xfId="0" applyNumberFormat="1" applyFont="1" applyBorder="1" applyAlignment="1">
      <alignment/>
    </xf>
    <xf numFmtId="3" fontId="44" fillId="0" borderId="14" xfId="0" applyNumberFormat="1" applyFont="1" applyBorder="1" applyAlignment="1">
      <alignment/>
    </xf>
    <xf numFmtId="3" fontId="29" fillId="0" borderId="15" xfId="0" applyNumberFormat="1" applyFont="1" applyBorder="1" applyAlignment="1">
      <alignment/>
    </xf>
    <xf numFmtId="3" fontId="29" fillId="0" borderId="30" xfId="0" applyNumberFormat="1" applyFont="1" applyBorder="1" applyAlignment="1">
      <alignment/>
    </xf>
    <xf numFmtId="0" fontId="44" fillId="0" borderId="22" xfId="0" applyFont="1" applyBorder="1" applyAlignment="1">
      <alignment/>
    </xf>
    <xf numFmtId="3" fontId="44" fillId="0" borderId="21" xfId="0" applyNumberFormat="1" applyFont="1" applyBorder="1" applyAlignment="1">
      <alignment/>
    </xf>
    <xf numFmtId="3" fontId="29" fillId="0" borderId="23" xfId="0" applyNumberFormat="1" applyFont="1" applyBorder="1" applyAlignment="1">
      <alignment/>
    </xf>
    <xf numFmtId="3" fontId="44" fillId="0" borderId="16" xfId="0" applyNumberFormat="1" applyFont="1" applyBorder="1" applyAlignment="1">
      <alignment/>
    </xf>
    <xf numFmtId="3" fontId="44" fillId="0" borderId="0" xfId="0" applyNumberFormat="1" applyFont="1" applyBorder="1" applyAlignment="1">
      <alignment/>
    </xf>
    <xf numFmtId="3" fontId="44" fillId="0" borderId="29" xfId="0" applyNumberFormat="1" applyFont="1" applyBorder="1" applyAlignment="1">
      <alignment/>
    </xf>
    <xf numFmtId="3" fontId="29" fillId="0" borderId="40" xfId="0" applyNumberFormat="1" applyFont="1" applyBorder="1" applyAlignment="1">
      <alignment/>
    </xf>
    <xf numFmtId="0" fontId="30" fillId="0" borderId="13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14" fillId="24" borderId="15" xfId="0" applyFont="1" applyFill="1" applyBorder="1" applyAlignment="1">
      <alignment/>
    </xf>
    <xf numFmtId="3" fontId="0" fillId="24" borderId="41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3" fontId="31" fillId="0" borderId="10" xfId="0" applyNumberFormat="1" applyFont="1" applyFill="1" applyBorder="1" applyAlignment="1">
      <alignment/>
    </xf>
    <xf numFmtId="3" fontId="31" fillId="0" borderId="11" xfId="0" applyNumberFormat="1" applyFont="1" applyBorder="1" applyAlignment="1">
      <alignment/>
    </xf>
    <xf numFmtId="3" fontId="31" fillId="0" borderId="29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3" fontId="29" fillId="0" borderId="21" xfId="0" applyNumberFormat="1" applyFont="1" applyBorder="1" applyAlignment="1">
      <alignment/>
    </xf>
    <xf numFmtId="3" fontId="44" fillId="0" borderId="36" xfId="0" applyNumberFormat="1" applyFont="1" applyBorder="1" applyAlignment="1">
      <alignment/>
    </xf>
    <xf numFmtId="3" fontId="29" fillId="0" borderId="41" xfId="0" applyNumberFormat="1" applyFont="1" applyBorder="1" applyAlignment="1">
      <alignment/>
    </xf>
    <xf numFmtId="0" fontId="44" fillId="0" borderId="21" xfId="0" applyFont="1" applyBorder="1" applyAlignment="1">
      <alignment/>
    </xf>
    <xf numFmtId="3" fontId="44" fillId="0" borderId="40" xfId="0" applyNumberFormat="1" applyFont="1" applyBorder="1" applyAlignment="1">
      <alignment/>
    </xf>
    <xf numFmtId="0" fontId="30" fillId="0" borderId="27" xfId="0" applyFont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3" fontId="0" fillId="0" borderId="37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4" fillId="0" borderId="15" xfId="0" applyNumberFormat="1" applyFont="1" applyBorder="1" applyAlignment="1">
      <alignment/>
    </xf>
    <xf numFmtId="0" fontId="0" fillId="0" borderId="27" xfId="0" applyBorder="1" applyAlignment="1">
      <alignment/>
    </xf>
    <xf numFmtId="3" fontId="14" fillId="0" borderId="13" xfId="0" applyNumberFormat="1" applyFont="1" applyBorder="1" applyAlignment="1">
      <alignment/>
    </xf>
    <xf numFmtId="3" fontId="31" fillId="0" borderId="11" xfId="0" applyNumberFormat="1" applyFont="1" applyFill="1" applyBorder="1" applyAlignment="1">
      <alignment/>
    </xf>
    <xf numFmtId="3" fontId="31" fillId="0" borderId="21" xfId="0" applyNumberFormat="1" applyFont="1" applyFill="1" applyBorder="1" applyAlignment="1">
      <alignment/>
    </xf>
    <xf numFmtId="3" fontId="14" fillId="0" borderId="52" xfId="0" applyNumberFormat="1" applyFont="1" applyBorder="1" applyAlignment="1">
      <alignment/>
    </xf>
    <xf numFmtId="0" fontId="0" fillId="0" borderId="31" xfId="0" applyBorder="1" applyAlignment="1">
      <alignment/>
    </xf>
    <xf numFmtId="3" fontId="14" fillId="0" borderId="14" xfId="0" applyNumberFormat="1" applyFont="1" applyBorder="1" applyAlignment="1">
      <alignment/>
    </xf>
    <xf numFmtId="3" fontId="29" fillId="0" borderId="27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3" fontId="29" fillId="0" borderId="35" xfId="0" applyNumberFormat="1" applyFont="1" applyBorder="1" applyAlignment="1">
      <alignment/>
    </xf>
    <xf numFmtId="3" fontId="29" fillId="0" borderId="14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21" xfId="0" applyBorder="1" applyAlignment="1">
      <alignment/>
    </xf>
    <xf numFmtId="3" fontId="29" fillId="0" borderId="21" xfId="0" applyNumberFormat="1" applyFont="1" applyBorder="1" applyAlignment="1">
      <alignment/>
    </xf>
    <xf numFmtId="3" fontId="23" fillId="24" borderId="27" xfId="0" applyNumberFormat="1" applyFont="1" applyFill="1" applyBorder="1" applyAlignment="1">
      <alignment/>
    </xf>
    <xf numFmtId="3" fontId="23" fillId="24" borderId="13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3" fontId="44" fillId="0" borderId="23" xfId="0" applyNumberFormat="1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4" xfId="0" applyFont="1" applyBorder="1" applyAlignment="1">
      <alignment/>
    </xf>
    <xf numFmtId="0" fontId="29" fillId="0" borderId="0" xfId="0" applyFont="1" applyAlignment="1">
      <alignment/>
    </xf>
    <xf numFmtId="0" fontId="46" fillId="0" borderId="0" xfId="0" applyFont="1" applyAlignment="1">
      <alignment horizontal="center"/>
    </xf>
    <xf numFmtId="0" fontId="27" fillId="0" borderId="27" xfId="0" applyFont="1" applyBorder="1" applyAlignment="1">
      <alignment horizontal="center" vertical="center"/>
    </xf>
    <xf numFmtId="0" fontId="27" fillId="0" borderId="22" xfId="0" applyFont="1" applyBorder="1" applyAlignment="1">
      <alignment vertical="center"/>
    </xf>
    <xf numFmtId="3" fontId="28" fillId="0" borderId="14" xfId="40" applyNumberFormat="1" applyFont="1" applyFill="1" applyBorder="1" applyAlignment="1" applyProtection="1">
      <alignment horizontal="right" vertical="center"/>
      <protection/>
    </xf>
    <xf numFmtId="3" fontId="28" fillId="0" borderId="11" xfId="40" applyNumberFormat="1" applyFont="1" applyFill="1" applyBorder="1" applyAlignment="1" applyProtection="1">
      <alignment horizontal="right" vertical="center"/>
      <protection/>
    </xf>
    <xf numFmtId="3" fontId="27" fillId="0" borderId="13" xfId="4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Border="1" applyAlignment="1">
      <alignment vertical="center"/>
    </xf>
    <xf numFmtId="3" fontId="27" fillId="0" borderId="0" xfId="40" applyNumberFormat="1" applyFont="1" applyFill="1" applyBorder="1" applyAlignment="1" applyProtection="1">
      <alignment horizontal="right" vertical="center"/>
      <protection/>
    </xf>
    <xf numFmtId="0" fontId="45" fillId="0" borderId="0" xfId="0" applyFont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wrapText="1"/>
    </xf>
    <xf numFmtId="0" fontId="46" fillId="0" borderId="32" xfId="0" applyFont="1" applyBorder="1" applyAlignment="1">
      <alignment/>
    </xf>
    <xf numFmtId="0" fontId="27" fillId="0" borderId="14" xfId="0" applyFont="1" applyBorder="1" applyAlignment="1">
      <alignment horizontal="center" wrapText="1"/>
    </xf>
    <xf numFmtId="0" fontId="28" fillId="0" borderId="32" xfId="0" applyFont="1" applyBorder="1" applyAlignment="1">
      <alignment/>
    </xf>
    <xf numFmtId="3" fontId="28" fillId="0" borderId="14" xfId="0" applyNumberFormat="1" applyFont="1" applyBorder="1" applyAlignment="1">
      <alignment horizontal="right" wrapText="1"/>
    </xf>
    <xf numFmtId="0" fontId="28" fillId="0" borderId="24" xfId="0" applyFont="1" applyBorder="1" applyAlignment="1">
      <alignment wrapText="1"/>
    </xf>
    <xf numFmtId="3" fontId="28" fillId="0" borderId="11" xfId="40" applyNumberFormat="1" applyFont="1" applyFill="1" applyBorder="1" applyAlignment="1" applyProtection="1">
      <alignment/>
      <protection/>
    </xf>
    <xf numFmtId="3" fontId="28" fillId="0" borderId="12" xfId="40" applyNumberFormat="1" applyFont="1" applyFill="1" applyBorder="1" applyAlignment="1" applyProtection="1">
      <alignment/>
      <protection/>
    </xf>
    <xf numFmtId="0" fontId="28" fillId="0" borderId="22" xfId="0" applyFont="1" applyBorder="1" applyAlignment="1">
      <alignment wrapText="1"/>
    </xf>
    <xf numFmtId="3" fontId="28" fillId="0" borderId="21" xfId="40" applyNumberFormat="1" applyFont="1" applyFill="1" applyBorder="1" applyAlignment="1" applyProtection="1">
      <alignment/>
      <protection/>
    </xf>
    <xf numFmtId="0" fontId="27" fillId="0" borderId="27" xfId="0" applyFont="1" applyBorder="1" applyAlignment="1">
      <alignment wrapText="1"/>
    </xf>
    <xf numFmtId="3" fontId="27" fillId="0" borderId="13" xfId="40" applyNumberFormat="1" applyFont="1" applyFill="1" applyBorder="1" applyAlignment="1" applyProtection="1">
      <alignment/>
      <protection/>
    </xf>
    <xf numFmtId="0" fontId="28" fillId="0" borderId="32" xfId="0" applyFont="1" applyBorder="1" applyAlignment="1">
      <alignment wrapText="1"/>
    </xf>
    <xf numFmtId="3" fontId="28" fillId="0" borderId="14" xfId="40" applyNumberFormat="1" applyFont="1" applyFill="1" applyBorder="1" applyAlignment="1" applyProtection="1">
      <alignment/>
      <protection/>
    </xf>
    <xf numFmtId="0" fontId="46" fillId="0" borderId="24" xfId="0" applyFont="1" applyBorder="1" applyAlignment="1">
      <alignment wrapText="1"/>
    </xf>
    <xf numFmtId="3" fontId="47" fillId="0" borderId="11" xfId="40" applyNumberFormat="1" applyFont="1" applyFill="1" applyBorder="1" applyAlignment="1" applyProtection="1">
      <alignment/>
      <protection/>
    </xf>
    <xf numFmtId="3" fontId="27" fillId="0" borderId="13" xfId="0" applyNumberFormat="1" applyFont="1" applyBorder="1" applyAlignment="1">
      <alignment/>
    </xf>
    <xf numFmtId="0" fontId="27" fillId="0" borderId="28" xfId="0" applyFont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167" fontId="28" fillId="0" borderId="25" xfId="0" applyNumberFormat="1" applyFont="1" applyBorder="1" applyAlignment="1">
      <alignment horizontal="right"/>
    </xf>
    <xf numFmtId="0" fontId="28" fillId="0" borderId="12" xfId="0" applyFont="1" applyBorder="1" applyAlignment="1">
      <alignment/>
    </xf>
    <xf numFmtId="167" fontId="28" fillId="0" borderId="26" xfId="0" applyNumberFormat="1" applyFont="1" applyBorder="1" applyAlignment="1">
      <alignment horizontal="right"/>
    </xf>
    <xf numFmtId="167" fontId="27" fillId="0" borderId="28" xfId="0" applyNumberFormat="1" applyFont="1" applyBorder="1" applyAlignment="1">
      <alignment horizontal="right"/>
    </xf>
    <xf numFmtId="0" fontId="14" fillId="0" borderId="0" xfId="54" applyProtection="1">
      <alignment/>
      <protection/>
    </xf>
    <xf numFmtId="0" fontId="29" fillId="0" borderId="10" xfId="54" applyFont="1" applyBorder="1" applyAlignment="1" applyProtection="1">
      <alignment vertical="center"/>
      <protection/>
    </xf>
    <xf numFmtId="0" fontId="29" fillId="0" borderId="10" xfId="54" applyFont="1" applyBorder="1" applyAlignment="1" applyProtection="1">
      <alignment horizontal="center" vertical="center" wrapText="1"/>
      <protection/>
    </xf>
    <xf numFmtId="0" fontId="29" fillId="0" borderId="36" xfId="54" applyFont="1" applyBorder="1" applyAlignment="1" applyProtection="1">
      <alignment horizontal="center" vertical="center" wrapText="1"/>
      <protection/>
    </xf>
    <xf numFmtId="0" fontId="14" fillId="0" borderId="14" xfId="54" applyFont="1" applyBorder="1" applyProtection="1">
      <alignment/>
      <protection/>
    </xf>
    <xf numFmtId="3" fontId="14" fillId="0" borderId="11" xfId="54" applyNumberFormat="1" applyBorder="1" applyProtection="1">
      <alignment/>
      <protection/>
    </xf>
    <xf numFmtId="3" fontId="14" fillId="0" borderId="36" xfId="54" applyNumberFormat="1" applyBorder="1" applyProtection="1">
      <alignment/>
      <protection/>
    </xf>
    <xf numFmtId="3" fontId="14" fillId="0" borderId="14" xfId="54" applyNumberFormat="1" applyBorder="1" applyProtection="1">
      <alignment/>
      <protection/>
    </xf>
    <xf numFmtId="0" fontId="39" fillId="0" borderId="14" xfId="54" applyFont="1" applyBorder="1" applyProtection="1">
      <alignment/>
      <protection/>
    </xf>
    <xf numFmtId="0" fontId="14" fillId="0" borderId="11" xfId="54" applyFont="1" applyBorder="1" applyProtection="1">
      <alignment/>
      <protection/>
    </xf>
    <xf numFmtId="0" fontId="14" fillId="0" borderId="21" xfId="54" applyFont="1" applyFill="1" applyBorder="1" applyProtection="1">
      <alignment/>
      <protection/>
    </xf>
    <xf numFmtId="3" fontId="14" fillId="0" borderId="25" xfId="54" applyNumberFormat="1" applyBorder="1" applyProtection="1">
      <alignment/>
      <protection/>
    </xf>
    <xf numFmtId="0" fontId="29" fillId="0" borderId="16" xfId="54" applyFont="1" applyBorder="1" applyProtection="1">
      <alignment/>
      <protection/>
    </xf>
    <xf numFmtId="3" fontId="29" fillId="0" borderId="16" xfId="54" applyNumberFormat="1" applyFont="1" applyBorder="1" applyProtection="1">
      <alignment/>
      <protection/>
    </xf>
    <xf numFmtId="3" fontId="29" fillId="0" borderId="40" xfId="54" applyNumberFormat="1" applyFont="1" applyBorder="1" applyProtection="1">
      <alignment/>
      <protection/>
    </xf>
    <xf numFmtId="0" fontId="29" fillId="0" borderId="54" xfId="54" applyFont="1" applyBorder="1" applyProtection="1">
      <alignment/>
      <protection/>
    </xf>
    <xf numFmtId="3" fontId="29" fillId="0" borderId="58" xfId="54" applyNumberFormat="1" applyFont="1" applyBorder="1" applyProtection="1">
      <alignment/>
      <protection/>
    </xf>
    <xf numFmtId="0" fontId="29" fillId="0" borderId="58" xfId="54" applyFont="1" applyBorder="1" applyProtection="1">
      <alignment/>
      <protection/>
    </xf>
    <xf numFmtId="3" fontId="29" fillId="0" borderId="28" xfId="54" applyNumberFormat="1" applyFont="1" applyBorder="1" applyProtection="1">
      <alignment/>
      <protection/>
    </xf>
    <xf numFmtId="0" fontId="14" fillId="0" borderId="10" xfId="54" applyBorder="1" applyProtection="1">
      <alignment/>
      <protection/>
    </xf>
    <xf numFmtId="3" fontId="14" fillId="0" borderId="10" xfId="54" applyNumberFormat="1" applyBorder="1" applyProtection="1">
      <alignment/>
      <protection/>
    </xf>
    <xf numFmtId="0" fontId="29" fillId="0" borderId="29" xfId="54" applyFont="1" applyBorder="1" applyProtection="1">
      <alignment/>
      <protection/>
    </xf>
    <xf numFmtId="3" fontId="29" fillId="0" borderId="29" xfId="54" applyNumberFormat="1" applyFont="1" applyBorder="1" applyProtection="1">
      <alignment/>
      <protection/>
    </xf>
    <xf numFmtId="0" fontId="29" fillId="0" borderId="13" xfId="54" applyFont="1" applyBorder="1" applyAlignment="1" applyProtection="1">
      <alignment vertical="center"/>
      <protection/>
    </xf>
    <xf numFmtId="0" fontId="29" fillId="0" borderId="28" xfId="54" applyFont="1" applyBorder="1" applyAlignment="1" applyProtection="1">
      <alignment horizontal="center" vertical="center" wrapText="1"/>
      <protection/>
    </xf>
    <xf numFmtId="0" fontId="14" fillId="0" borderId="36" xfId="54" applyFont="1" applyBorder="1" applyProtection="1">
      <alignment/>
      <protection/>
    </xf>
    <xf numFmtId="0" fontId="14" fillId="0" borderId="25" xfId="54" applyFont="1" applyBorder="1" applyProtection="1">
      <alignment/>
      <protection/>
    </xf>
    <xf numFmtId="0" fontId="14" fillId="0" borderId="11" xfId="54" applyFont="1" applyBorder="1" applyAlignment="1" applyProtection="1">
      <alignment wrapText="1"/>
      <protection/>
    </xf>
    <xf numFmtId="0" fontId="14" fillId="0" borderId="12" xfId="54" applyFont="1" applyBorder="1" applyProtection="1">
      <alignment/>
      <protection/>
    </xf>
    <xf numFmtId="0" fontId="29" fillId="0" borderId="27" xfId="54" applyFont="1" applyBorder="1" applyProtection="1">
      <alignment/>
      <protection/>
    </xf>
    <xf numFmtId="3" fontId="29" fillId="0" borderId="13" xfId="54" applyNumberFormat="1" applyFont="1" applyBorder="1" applyProtection="1">
      <alignment/>
      <protection/>
    </xf>
    <xf numFmtId="0" fontId="29" fillId="0" borderId="13" xfId="54" applyFont="1" applyBorder="1" applyProtection="1">
      <alignment/>
      <protection/>
    </xf>
    <xf numFmtId="0" fontId="14" fillId="0" borderId="22" xfId="54" applyFont="1" applyBorder="1" applyProtection="1">
      <alignment/>
      <protection/>
    </xf>
    <xf numFmtId="3" fontId="14" fillId="0" borderId="21" xfId="54" applyNumberFormat="1" applyFont="1" applyBorder="1" applyProtection="1">
      <alignment/>
      <protection/>
    </xf>
    <xf numFmtId="0" fontId="29" fillId="0" borderId="15" xfId="54" applyFont="1" applyBorder="1" applyProtection="1">
      <alignment/>
      <protection/>
    </xf>
    <xf numFmtId="3" fontId="14" fillId="0" borderId="23" xfId="54" applyNumberFormat="1" applyBorder="1" applyProtection="1">
      <alignment/>
      <protection/>
    </xf>
    <xf numFmtId="0" fontId="14" fillId="0" borderId="27" xfId="54" applyFont="1" applyBorder="1" applyProtection="1">
      <alignment/>
      <protection/>
    </xf>
    <xf numFmtId="3" fontId="14" fillId="0" borderId="13" xfId="54" applyNumberFormat="1" applyFont="1" applyBorder="1" applyProtection="1">
      <alignment/>
      <protection/>
    </xf>
    <xf numFmtId="0" fontId="14" fillId="0" borderId="13" xfId="54" applyFont="1" applyBorder="1" applyProtection="1">
      <alignment/>
      <protection/>
    </xf>
    <xf numFmtId="3" fontId="14" fillId="0" borderId="28" xfId="54" applyNumberFormat="1" applyFont="1" applyBorder="1" applyProtection="1">
      <alignment/>
      <protection/>
    </xf>
    <xf numFmtId="0" fontId="29" fillId="0" borderId="32" xfId="54" applyFont="1" applyBorder="1" applyProtection="1">
      <alignment/>
      <protection/>
    </xf>
    <xf numFmtId="3" fontId="29" fillId="0" borderId="14" xfId="54" applyNumberFormat="1" applyFont="1" applyBorder="1" applyProtection="1">
      <alignment/>
      <protection/>
    </xf>
    <xf numFmtId="0" fontId="29" fillId="0" borderId="10" xfId="54" applyFont="1" applyBorder="1" applyProtection="1">
      <alignment/>
      <protection/>
    </xf>
    <xf numFmtId="3" fontId="29" fillId="0" borderId="36" xfId="54" applyNumberFormat="1" applyFont="1" applyBorder="1" applyProtection="1">
      <alignment/>
      <protection/>
    </xf>
    <xf numFmtId="0" fontId="29" fillId="0" borderId="24" xfId="54" applyFont="1" applyBorder="1" applyProtection="1">
      <alignment/>
      <protection/>
    </xf>
    <xf numFmtId="3" fontId="29" fillId="0" borderId="11" xfId="54" applyNumberFormat="1" applyFont="1" applyBorder="1" applyProtection="1">
      <alignment/>
      <protection/>
    </xf>
    <xf numFmtId="0" fontId="29" fillId="0" borderId="11" xfId="54" applyFont="1" applyBorder="1" applyProtection="1">
      <alignment/>
      <protection/>
    </xf>
    <xf numFmtId="3" fontId="29" fillId="0" borderId="25" xfId="54" applyNumberFormat="1" applyFont="1" applyBorder="1" applyProtection="1">
      <alignment/>
      <protection/>
    </xf>
    <xf numFmtId="0" fontId="29" fillId="0" borderId="45" xfId="54" applyFont="1" applyBorder="1" applyProtection="1">
      <alignment/>
      <protection/>
    </xf>
    <xf numFmtId="3" fontId="29" fillId="0" borderId="52" xfId="54" applyNumberFormat="1" applyFont="1" applyBorder="1" applyProtection="1">
      <alignment/>
      <protection/>
    </xf>
    <xf numFmtId="0" fontId="48" fillId="0" borderId="0" xfId="0" applyFont="1" applyAlignment="1">
      <alignment horizontal="right"/>
    </xf>
    <xf numFmtId="0" fontId="49" fillId="0" borderId="30" xfId="0" applyFont="1" applyBorder="1" applyAlignment="1">
      <alignment/>
    </xf>
    <xf numFmtId="0" fontId="48" fillId="0" borderId="15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9" fillId="0" borderId="0" xfId="0" applyFont="1" applyAlignment="1">
      <alignment/>
    </xf>
    <xf numFmtId="0" fontId="48" fillId="0" borderId="27" xfId="0" applyFont="1" applyBorder="1" applyAlignment="1">
      <alignment/>
    </xf>
    <xf numFmtId="3" fontId="49" fillId="0" borderId="13" xfId="0" applyNumberFormat="1" applyFont="1" applyBorder="1" applyAlignment="1">
      <alignment/>
    </xf>
    <xf numFmtId="3" fontId="49" fillId="0" borderId="0" xfId="0" applyNumberFormat="1" applyFont="1" applyAlignment="1">
      <alignment/>
    </xf>
    <xf numFmtId="0" fontId="49" fillId="0" borderId="31" xfId="0" applyFont="1" applyBorder="1" applyAlignment="1">
      <alignment/>
    </xf>
    <xf numFmtId="3" fontId="49" fillId="0" borderId="10" xfId="0" applyNumberFormat="1" applyFont="1" applyBorder="1" applyAlignment="1">
      <alignment/>
    </xf>
    <xf numFmtId="3" fontId="49" fillId="0" borderId="11" xfId="0" applyNumberFormat="1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32" xfId="0" applyFont="1" applyBorder="1" applyAlignment="1">
      <alignment/>
    </xf>
    <xf numFmtId="0" fontId="49" fillId="0" borderId="38" xfId="0" applyFont="1" applyBorder="1" applyAlignment="1">
      <alignment/>
    </xf>
    <xf numFmtId="3" fontId="49" fillId="0" borderId="16" xfId="0" applyNumberFormat="1" applyFont="1" applyBorder="1" applyAlignment="1">
      <alignment/>
    </xf>
    <xf numFmtId="0" fontId="48" fillId="24" borderId="27" xfId="0" applyFont="1" applyFill="1" applyBorder="1" applyAlignment="1">
      <alignment/>
    </xf>
    <xf numFmtId="3" fontId="48" fillId="24" borderId="13" xfId="0" applyNumberFormat="1" applyFont="1" applyFill="1" applyBorder="1" applyAlignment="1">
      <alignment/>
    </xf>
    <xf numFmtId="0" fontId="49" fillId="0" borderId="31" xfId="0" applyFont="1" applyBorder="1" applyAlignment="1">
      <alignment/>
    </xf>
    <xf numFmtId="3" fontId="49" fillId="0" borderId="14" xfId="0" applyNumberFormat="1" applyFont="1" applyBorder="1" applyAlignment="1">
      <alignment/>
    </xf>
    <xf numFmtId="3" fontId="49" fillId="0" borderId="21" xfId="0" applyNumberFormat="1" applyFont="1" applyBorder="1" applyAlignment="1">
      <alignment/>
    </xf>
    <xf numFmtId="3" fontId="49" fillId="0" borderId="28" xfId="0" applyNumberFormat="1" applyFont="1" applyBorder="1" applyAlignment="1">
      <alignment/>
    </xf>
    <xf numFmtId="0" fontId="49" fillId="0" borderId="24" xfId="0" applyFont="1" applyFill="1" applyBorder="1" applyAlignment="1">
      <alignment/>
    </xf>
    <xf numFmtId="0" fontId="49" fillId="0" borderId="45" xfId="0" applyFont="1" applyBorder="1" applyAlignment="1">
      <alignment/>
    </xf>
    <xf numFmtId="0" fontId="48" fillId="24" borderId="38" xfId="0" applyFont="1" applyFill="1" applyBorder="1" applyAlignment="1">
      <alignment/>
    </xf>
    <xf numFmtId="3" fontId="48" fillId="24" borderId="16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0" fillId="0" borderId="41" xfId="0" applyBorder="1" applyAlignment="1">
      <alignment/>
    </xf>
    <xf numFmtId="0" fontId="0" fillId="0" borderId="35" xfId="0" applyBorder="1" applyAlignment="1">
      <alignment/>
    </xf>
    <xf numFmtId="0" fontId="29" fillId="0" borderId="21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/>
    </xf>
    <xf numFmtId="0" fontId="50" fillId="0" borderId="0" xfId="0" applyFont="1" applyAlignment="1">
      <alignment/>
    </xf>
    <xf numFmtId="0" fontId="28" fillId="0" borderId="32" xfId="0" applyFont="1" applyBorder="1" applyAlignment="1">
      <alignment vertical="center"/>
    </xf>
    <xf numFmtId="0" fontId="28" fillId="0" borderId="37" xfId="0" applyFont="1" applyBorder="1" applyAlignment="1">
      <alignment vertical="center"/>
    </xf>
    <xf numFmtId="0" fontId="27" fillId="0" borderId="43" xfId="0" applyFont="1" applyBorder="1" applyAlignment="1">
      <alignment horizontal="center" vertical="center" wrapText="1"/>
    </xf>
    <xf numFmtId="3" fontId="37" fillId="0" borderId="14" xfId="40" applyNumberFormat="1" applyFont="1" applyFill="1" applyBorder="1" applyAlignment="1" applyProtection="1">
      <alignment vertical="center"/>
      <protection/>
    </xf>
    <xf numFmtId="3" fontId="37" fillId="0" borderId="20" xfId="40" applyNumberFormat="1" applyFont="1" applyFill="1" applyBorder="1" applyAlignment="1" applyProtection="1">
      <alignment vertical="center"/>
      <protection/>
    </xf>
    <xf numFmtId="3" fontId="37" fillId="0" borderId="11" xfId="40" applyNumberFormat="1" applyFont="1" applyFill="1" applyBorder="1" applyAlignment="1" applyProtection="1">
      <alignment vertical="center" wrapText="1"/>
      <protection/>
    </xf>
    <xf numFmtId="3" fontId="37" fillId="0" borderId="17" xfId="40" applyNumberFormat="1" applyFont="1" applyFill="1" applyBorder="1" applyAlignment="1" applyProtection="1">
      <alignment vertical="center" wrapText="1"/>
      <protection/>
    </xf>
    <xf numFmtId="3" fontId="37" fillId="0" borderId="11" xfId="40" applyNumberFormat="1" applyFont="1" applyFill="1" applyBorder="1" applyAlignment="1" applyProtection="1">
      <alignment vertical="center"/>
      <protection/>
    </xf>
    <xf numFmtId="3" fontId="37" fillId="0" borderId="17" xfId="40" applyNumberFormat="1" applyFont="1" applyFill="1" applyBorder="1" applyAlignment="1" applyProtection="1">
      <alignment vertical="center"/>
      <protection/>
    </xf>
    <xf numFmtId="0" fontId="37" fillId="0" borderId="24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3" fontId="37" fillId="0" borderId="21" xfId="40" applyNumberFormat="1" applyFont="1" applyFill="1" applyBorder="1" applyAlignment="1" applyProtection="1">
      <alignment vertical="center"/>
      <protection/>
    </xf>
    <xf numFmtId="3" fontId="37" fillId="0" borderId="0" xfId="40" applyNumberFormat="1" applyFont="1" applyFill="1" applyBorder="1" applyAlignment="1" applyProtection="1">
      <alignment vertical="center"/>
      <protection/>
    </xf>
    <xf numFmtId="0" fontId="35" fillId="0" borderId="27" xfId="0" applyFont="1" applyBorder="1" applyAlignment="1">
      <alignment vertical="center"/>
    </xf>
    <xf numFmtId="3" fontId="35" fillId="0" borderId="13" xfId="40" applyNumberFormat="1" applyFont="1" applyFill="1" applyBorder="1" applyAlignment="1" applyProtection="1">
      <alignment vertical="center"/>
      <protection/>
    </xf>
    <xf numFmtId="0" fontId="45" fillId="0" borderId="0" xfId="0" applyFont="1" applyAlignment="1">
      <alignment horizontal="right"/>
    </xf>
    <xf numFmtId="0" fontId="27" fillId="0" borderId="21" xfId="0" applyFont="1" applyBorder="1" applyAlignment="1">
      <alignment horizont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46" fillId="0" borderId="0" xfId="0" applyFont="1" applyAlignment="1">
      <alignment/>
    </xf>
    <xf numFmtId="0" fontId="27" fillId="0" borderId="43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28" fillId="0" borderId="14" xfId="0" applyFont="1" applyBorder="1" applyAlignment="1">
      <alignment vertical="center"/>
    </xf>
    <xf numFmtId="3" fontId="28" fillId="0" borderId="20" xfId="40" applyNumberFormat="1" applyFont="1" applyFill="1" applyBorder="1" applyAlignment="1" applyProtection="1">
      <alignment horizontal="right" vertical="center"/>
      <protection/>
    </xf>
    <xf numFmtId="0" fontId="28" fillId="0" borderId="16" xfId="0" applyFont="1" applyBorder="1" applyAlignment="1">
      <alignment vertical="center"/>
    </xf>
    <xf numFmtId="3" fontId="28" fillId="0" borderId="42" xfId="40" applyNumberFormat="1" applyFont="1" applyFill="1" applyBorder="1" applyAlignment="1" applyProtection="1">
      <alignment horizontal="right" vertical="center"/>
      <protection/>
    </xf>
    <xf numFmtId="3" fontId="28" fillId="0" borderId="16" xfId="40" applyNumberFormat="1" applyFont="1" applyFill="1" applyBorder="1" applyAlignment="1" applyProtection="1">
      <alignment horizontal="right" vertical="center"/>
      <protection/>
    </xf>
    <xf numFmtId="3" fontId="28" fillId="0" borderId="21" xfId="40" applyNumberFormat="1" applyFont="1" applyFill="1" applyBorder="1" applyAlignment="1" applyProtection="1">
      <alignment horizontal="right" vertical="center"/>
      <protection/>
    </xf>
    <xf numFmtId="0" fontId="27" fillId="0" borderId="13" xfId="0" applyFont="1" applyBorder="1" applyAlignment="1">
      <alignment vertical="center"/>
    </xf>
    <xf numFmtId="3" fontId="27" fillId="0" borderId="43" xfId="40" applyNumberFormat="1" applyFont="1" applyFill="1" applyBorder="1" applyAlignment="1" applyProtection="1">
      <alignment horizontal="right" vertical="center"/>
      <protection/>
    </xf>
    <xf numFmtId="0" fontId="40" fillId="0" borderId="3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9" fillId="0" borderId="31" xfId="0" applyFont="1" applyBorder="1" applyAlignment="1">
      <alignment vertical="center" wrapText="1"/>
    </xf>
    <xf numFmtId="3" fontId="49" fillId="0" borderId="31" xfId="0" applyNumberFormat="1" applyFont="1" applyBorder="1" applyAlignment="1">
      <alignment vertical="center"/>
    </xf>
    <xf numFmtId="3" fontId="49" fillId="0" borderId="31" xfId="40" applyNumberFormat="1" applyFont="1" applyFill="1" applyBorder="1" applyAlignment="1" applyProtection="1">
      <alignment vertical="center"/>
      <protection/>
    </xf>
    <xf numFmtId="3" fontId="49" fillId="0" borderId="10" xfId="40" applyNumberFormat="1" applyFont="1" applyFill="1" applyBorder="1" applyAlignment="1" applyProtection="1">
      <alignment vertical="center"/>
      <protection/>
    </xf>
    <xf numFmtId="3" fontId="49" fillId="0" borderId="39" xfId="40" applyNumberFormat="1" applyFont="1" applyFill="1" applyBorder="1" applyAlignment="1" applyProtection="1">
      <alignment vertical="center"/>
      <protection/>
    </xf>
    <xf numFmtId="0" fontId="49" fillId="0" borderId="24" xfId="0" applyFont="1" applyBorder="1" applyAlignment="1">
      <alignment vertical="center" wrapText="1"/>
    </xf>
    <xf numFmtId="3" fontId="49" fillId="0" borderId="24" xfId="0" applyNumberFormat="1" applyFont="1" applyBorder="1" applyAlignment="1">
      <alignment vertical="center"/>
    </xf>
    <xf numFmtId="3" fontId="49" fillId="0" borderId="24" xfId="40" applyNumberFormat="1" applyFont="1" applyFill="1" applyBorder="1" applyAlignment="1" applyProtection="1">
      <alignment vertical="center"/>
      <protection/>
    </xf>
    <xf numFmtId="3" fontId="49" fillId="0" borderId="11" xfId="40" applyNumberFormat="1" applyFont="1" applyFill="1" applyBorder="1" applyAlignment="1" applyProtection="1">
      <alignment vertical="center"/>
      <protection/>
    </xf>
    <xf numFmtId="3" fontId="49" fillId="0" borderId="25" xfId="40" applyNumberFormat="1" applyFont="1" applyFill="1" applyBorder="1" applyAlignment="1" applyProtection="1">
      <alignment vertical="center"/>
      <protection/>
    </xf>
    <xf numFmtId="3" fontId="49" fillId="0" borderId="36" xfId="40" applyNumberFormat="1" applyFont="1" applyFill="1" applyBorder="1" applyAlignment="1" applyProtection="1">
      <alignment vertical="center"/>
      <protection/>
    </xf>
    <xf numFmtId="3" fontId="49" fillId="0" borderId="24" xfId="0" applyNumberFormat="1" applyFont="1" applyBorder="1" applyAlignment="1">
      <alignment vertical="center" wrapText="1"/>
    </xf>
    <xf numFmtId="0" fontId="49" fillId="0" borderId="24" xfId="0" applyFont="1" applyBorder="1" applyAlignment="1">
      <alignment horizontal="left" vertical="center"/>
    </xf>
    <xf numFmtId="3" fontId="49" fillId="0" borderId="24" xfId="0" applyNumberFormat="1" applyFont="1" applyBorder="1" applyAlignment="1">
      <alignment horizontal="right" vertical="center"/>
    </xf>
    <xf numFmtId="3" fontId="49" fillId="0" borderId="11" xfId="0" applyNumberFormat="1" applyFont="1" applyBorder="1" applyAlignment="1">
      <alignment vertical="center"/>
    </xf>
    <xf numFmtId="3" fontId="49" fillId="0" borderId="25" xfId="0" applyNumberFormat="1" applyFont="1" applyBorder="1" applyAlignment="1">
      <alignment vertical="center"/>
    </xf>
    <xf numFmtId="0" fontId="49" fillId="0" borderId="24" xfId="0" applyFont="1" applyFill="1" applyBorder="1" applyAlignment="1">
      <alignment horizontal="left" vertical="center"/>
    </xf>
    <xf numFmtId="0" fontId="49" fillId="0" borderId="37" xfId="0" applyFont="1" applyFill="1" applyBorder="1" applyAlignment="1">
      <alignment horizontal="left" vertical="center"/>
    </xf>
    <xf numFmtId="3" fontId="49" fillId="0" borderId="37" xfId="0" applyNumberFormat="1" applyFont="1" applyBorder="1" applyAlignment="1">
      <alignment vertical="center"/>
    </xf>
    <xf numFmtId="3" fontId="49" fillId="0" borderId="23" xfId="40" applyNumberFormat="1" applyFont="1" applyFill="1" applyBorder="1" applyAlignment="1" applyProtection="1">
      <alignment vertical="center"/>
      <protection/>
    </xf>
    <xf numFmtId="3" fontId="49" fillId="0" borderId="24" xfId="0" applyNumberFormat="1" applyFont="1" applyBorder="1" applyAlignment="1">
      <alignment/>
    </xf>
    <xf numFmtId="3" fontId="49" fillId="0" borderId="25" xfId="0" applyNumberFormat="1" applyFont="1" applyBorder="1" applyAlignment="1">
      <alignment/>
    </xf>
    <xf numFmtId="3" fontId="49" fillId="0" borderId="37" xfId="0" applyNumberFormat="1" applyFont="1" applyBorder="1" applyAlignment="1">
      <alignment horizontal="right" vertical="center"/>
    </xf>
    <xf numFmtId="3" fontId="41" fillId="0" borderId="12" xfId="0" applyNumberFormat="1" applyFont="1" applyBorder="1" applyAlignment="1">
      <alignment/>
    </xf>
    <xf numFmtId="3" fontId="49" fillId="0" borderId="26" xfId="0" applyNumberFormat="1" applyFont="1" applyBorder="1" applyAlignment="1">
      <alignment/>
    </xf>
    <xf numFmtId="3" fontId="41" fillId="0" borderId="26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3" fontId="41" fillId="0" borderId="25" xfId="0" applyNumberFormat="1" applyFont="1" applyBorder="1" applyAlignment="1">
      <alignment/>
    </xf>
    <xf numFmtId="0" fontId="49" fillId="0" borderId="45" xfId="0" applyFont="1" applyFill="1" applyBorder="1" applyAlignment="1">
      <alignment horizontal="left" vertical="center"/>
    </xf>
    <xf numFmtId="0" fontId="0" fillId="0" borderId="52" xfId="0" applyBorder="1" applyAlignment="1">
      <alignment/>
    </xf>
    <xf numFmtId="3" fontId="49" fillId="0" borderId="52" xfId="0" applyNumberFormat="1" applyFont="1" applyBorder="1" applyAlignment="1">
      <alignment/>
    </xf>
    <xf numFmtId="0" fontId="49" fillId="0" borderId="0" xfId="0" applyFont="1" applyFill="1" applyBorder="1" applyAlignment="1">
      <alignment horizontal="left" vertical="center"/>
    </xf>
    <xf numFmtId="3" fontId="4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45" fillId="0" borderId="0" xfId="0" applyFont="1" applyAlignment="1">
      <alignment/>
    </xf>
    <xf numFmtId="0" fontId="27" fillId="0" borderId="28" xfId="0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right" vertical="center"/>
    </xf>
    <xf numFmtId="0" fontId="28" fillId="0" borderId="36" xfId="0" applyFont="1" applyBorder="1" applyAlignment="1">
      <alignment horizontal="center" vertical="center"/>
    </xf>
    <xf numFmtId="3" fontId="28" fillId="0" borderId="11" xfId="0" applyNumberFormat="1" applyFont="1" applyBorder="1" applyAlignment="1">
      <alignment horizontal="right" vertical="center"/>
    </xf>
    <xf numFmtId="0" fontId="28" fillId="0" borderId="25" xfId="0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right" vertical="center"/>
    </xf>
    <xf numFmtId="0" fontId="28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41" fillId="0" borderId="0" xfId="0" applyFont="1" applyAlignment="1">
      <alignment/>
    </xf>
    <xf numFmtId="0" fontId="54" fillId="0" borderId="0" xfId="0" applyFont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42" fillId="0" borderId="32" xfId="0" applyFont="1" applyBorder="1" applyAlignment="1">
      <alignment horizontal="left" vertical="center"/>
    </xf>
    <xf numFmtId="3" fontId="42" fillId="0" borderId="14" xfId="0" applyNumberFormat="1" applyFont="1" applyBorder="1" applyAlignment="1">
      <alignment horizontal="right" vertical="center" wrapText="1"/>
    </xf>
    <xf numFmtId="0" fontId="42" fillId="0" borderId="32" xfId="0" applyFont="1" applyBorder="1" applyAlignment="1">
      <alignment/>
    </xf>
    <xf numFmtId="3" fontId="41" fillId="0" borderId="14" xfId="40" applyNumberFormat="1" applyFont="1" applyFill="1" applyBorder="1" applyAlignment="1" applyProtection="1">
      <alignment horizontal="right"/>
      <protection/>
    </xf>
    <xf numFmtId="0" fontId="34" fillId="0" borderId="24" xfId="0" applyFont="1" applyBorder="1" applyAlignment="1">
      <alignment/>
    </xf>
    <xf numFmtId="3" fontId="42" fillId="0" borderId="14" xfId="40" applyNumberFormat="1" applyFont="1" applyFill="1" applyBorder="1" applyAlignment="1" applyProtection="1">
      <alignment horizontal="right"/>
      <protection/>
    </xf>
    <xf numFmtId="0" fontId="58" fillId="0" borderId="24" xfId="0" applyFont="1" applyBorder="1" applyAlignment="1">
      <alignment/>
    </xf>
    <xf numFmtId="3" fontId="59" fillId="0" borderId="14" xfId="40" applyNumberFormat="1" applyFont="1" applyFill="1" applyBorder="1" applyAlignment="1" applyProtection="1">
      <alignment horizontal="right"/>
      <protection/>
    </xf>
    <xf numFmtId="0" fontId="42" fillId="0" borderId="24" xfId="0" applyFont="1" applyBorder="1" applyAlignment="1">
      <alignment/>
    </xf>
    <xf numFmtId="3" fontId="42" fillId="0" borderId="11" xfId="40" applyNumberFormat="1" applyFont="1" applyFill="1" applyBorder="1" applyAlignment="1" applyProtection="1">
      <alignment horizontal="right"/>
      <protection/>
    </xf>
    <xf numFmtId="0" fontId="42" fillId="0" borderId="37" xfId="0" applyFont="1" applyBorder="1" applyAlignment="1">
      <alignment wrapText="1"/>
    </xf>
    <xf numFmtId="3" fontId="42" fillId="0" borderId="29" xfId="40" applyNumberFormat="1" applyFont="1" applyFill="1" applyBorder="1" applyAlignment="1" applyProtection="1">
      <alignment horizontal="right"/>
      <protection/>
    </xf>
    <xf numFmtId="0" fontId="56" fillId="0" borderId="27" xfId="0" applyFont="1" applyBorder="1" applyAlignment="1">
      <alignment/>
    </xf>
    <xf numFmtId="3" fontId="56" fillId="0" borderId="13" xfId="40" applyNumberFormat="1" applyFont="1" applyFill="1" applyBorder="1" applyAlignment="1" applyProtection="1">
      <alignment horizontal="right"/>
      <protection/>
    </xf>
    <xf numFmtId="0" fontId="41" fillId="0" borderId="0" xfId="0" applyFont="1" applyAlignment="1">
      <alignment horizontal="justify"/>
    </xf>
    <xf numFmtId="0" fontId="54" fillId="0" borderId="0" xfId="0" applyFont="1" applyAlignment="1">
      <alignment/>
    </xf>
    <xf numFmtId="0" fontId="57" fillId="0" borderId="27" xfId="0" applyFont="1" applyBorder="1" applyAlignment="1">
      <alignment vertical="center"/>
    </xf>
    <xf numFmtId="0" fontId="57" fillId="0" borderId="13" xfId="0" applyFont="1" applyBorder="1" applyAlignment="1">
      <alignment horizontal="center" vertical="center"/>
    </xf>
    <xf numFmtId="0" fontId="41" fillId="0" borderId="32" xfId="0" applyFont="1" applyBorder="1" applyAlignment="1">
      <alignment/>
    </xf>
    <xf numFmtId="166" fontId="41" fillId="0" borderId="10" xfId="40" applyNumberFormat="1" applyFont="1" applyFill="1" applyBorder="1" applyAlignment="1" applyProtection="1">
      <alignment/>
      <protection/>
    </xf>
    <xf numFmtId="166" fontId="41" fillId="0" borderId="14" xfId="40" applyNumberFormat="1" applyFont="1" applyFill="1" applyBorder="1" applyAlignment="1" applyProtection="1">
      <alignment/>
      <protection/>
    </xf>
    <xf numFmtId="166" fontId="41" fillId="0" borderId="21" xfId="40" applyNumberFormat="1" applyFont="1" applyFill="1" applyBorder="1" applyAlignment="1" applyProtection="1">
      <alignment/>
      <protection/>
    </xf>
    <xf numFmtId="0" fontId="41" fillId="0" borderId="38" xfId="0" applyFont="1" applyBorder="1" applyAlignment="1">
      <alignment/>
    </xf>
    <xf numFmtId="166" fontId="41" fillId="0" borderId="29" xfId="40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" fontId="23" fillId="0" borderId="42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28" xfId="0" applyBorder="1" applyAlignment="1">
      <alignment horizontal="center"/>
    </xf>
    <xf numFmtId="0" fontId="29" fillId="0" borderId="0" xfId="0" applyFont="1" applyAlignment="1">
      <alignment horizontal="right"/>
    </xf>
    <xf numFmtId="0" fontId="28" fillId="0" borderId="28" xfId="0" applyFont="1" applyBorder="1" applyAlignment="1">
      <alignment/>
    </xf>
    <xf numFmtId="0" fontId="27" fillId="0" borderId="38" xfId="0" applyFont="1" applyBorder="1" applyAlignment="1">
      <alignment horizontal="center"/>
    </xf>
    <xf numFmtId="0" fontId="28" fillId="0" borderId="22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28" xfId="0" applyFont="1" applyBorder="1" applyAlignment="1">
      <alignment/>
    </xf>
    <xf numFmtId="0" fontId="27" fillId="0" borderId="42" xfId="0" applyFont="1" applyBorder="1" applyAlignment="1">
      <alignment horizontal="center"/>
    </xf>
    <xf numFmtId="0" fontId="28" fillId="0" borderId="1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35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9" fillId="0" borderId="13" xfId="0" applyFont="1" applyBorder="1" applyAlignment="1">
      <alignment vertical="center" wrapText="1"/>
    </xf>
    <xf numFmtId="3" fontId="49" fillId="0" borderId="18" xfId="0" applyNumberFormat="1" applyFont="1" applyBorder="1" applyAlignment="1">
      <alignment vertical="center"/>
    </xf>
    <xf numFmtId="3" fontId="49" fillId="0" borderId="30" xfId="0" applyNumberFormat="1" applyFont="1" applyBorder="1" applyAlignment="1">
      <alignment vertical="center"/>
    </xf>
    <xf numFmtId="3" fontId="49" fillId="0" borderId="15" xfId="0" applyNumberFormat="1" applyFont="1" applyBorder="1" applyAlignment="1">
      <alignment vertical="center"/>
    </xf>
    <xf numFmtId="3" fontId="49" fillId="0" borderId="26" xfId="0" applyNumberFormat="1" applyFont="1" applyBorder="1" applyAlignment="1">
      <alignment vertical="center"/>
    </xf>
    <xf numFmtId="3" fontId="49" fillId="0" borderId="23" xfId="0" applyNumberFormat="1" applyFont="1" applyFill="1" applyBorder="1" applyAlignment="1">
      <alignment vertical="center"/>
    </xf>
    <xf numFmtId="3" fontId="49" fillId="0" borderId="28" xfId="0" applyNumberFormat="1" applyFont="1" applyFill="1" applyBorder="1" applyAlignment="1">
      <alignment vertical="center"/>
    </xf>
    <xf numFmtId="3" fontId="49" fillId="0" borderId="0" xfId="0" applyNumberFormat="1" applyFont="1" applyBorder="1" applyAlignment="1">
      <alignment vertical="center"/>
    </xf>
    <xf numFmtId="3" fontId="49" fillId="0" borderId="38" xfId="0" applyNumberFormat="1" applyFont="1" applyBorder="1" applyAlignment="1">
      <alignment vertical="center"/>
    </xf>
    <xf numFmtId="3" fontId="49" fillId="0" borderId="16" xfId="0" applyNumberFormat="1" applyFont="1" applyBorder="1" applyAlignment="1">
      <alignment vertical="center"/>
    </xf>
    <xf numFmtId="3" fontId="49" fillId="0" borderId="23" xfId="0" applyNumberFormat="1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3" fontId="48" fillId="0" borderId="27" xfId="0" applyNumberFormat="1" applyFont="1" applyBorder="1" applyAlignment="1">
      <alignment horizontal="right" vertical="center"/>
    </xf>
    <xf numFmtId="3" fontId="48" fillId="0" borderId="13" xfId="0" applyNumberFormat="1" applyFont="1" applyBorder="1" applyAlignment="1">
      <alignment horizontal="center" vertical="center"/>
    </xf>
    <xf numFmtId="0" fontId="49" fillId="0" borderId="0" xfId="0" applyFont="1" applyAlignment="1">
      <alignment horizontal="justify"/>
    </xf>
    <xf numFmtId="0" fontId="21" fillId="0" borderId="59" xfId="0" applyFont="1" applyBorder="1" applyAlignment="1">
      <alignment/>
    </xf>
    <xf numFmtId="0" fontId="25" fillId="0" borderId="59" xfId="0" applyFont="1" applyBorder="1" applyAlignment="1">
      <alignment/>
    </xf>
    <xf numFmtId="0" fontId="0" fillId="0" borderId="59" xfId="0" applyFont="1" applyBorder="1" applyAlignment="1">
      <alignment/>
    </xf>
    <xf numFmtId="3" fontId="14" fillId="0" borderId="59" xfId="0" applyNumberFormat="1" applyFont="1" applyBorder="1" applyAlignment="1">
      <alignment/>
    </xf>
    <xf numFmtId="0" fontId="14" fillId="0" borderId="59" xfId="0" applyFont="1" applyBorder="1" applyAlignment="1">
      <alignment/>
    </xf>
    <xf numFmtId="3" fontId="29" fillId="0" borderId="59" xfId="0" applyNumberFormat="1" applyFont="1" applyBorder="1" applyAlignment="1">
      <alignment/>
    </xf>
    <xf numFmtId="0" fontId="36" fillId="0" borderId="59" xfId="0" applyFont="1" applyBorder="1" applyAlignment="1">
      <alignment/>
    </xf>
    <xf numFmtId="0" fontId="14" fillId="0" borderId="59" xfId="0" applyFont="1" applyBorder="1" applyAlignment="1">
      <alignment wrapText="1"/>
    </xf>
    <xf numFmtId="3" fontId="44" fillId="0" borderId="59" xfId="0" applyNumberFormat="1" applyFont="1" applyBorder="1" applyAlignment="1">
      <alignment/>
    </xf>
    <xf numFmtId="3" fontId="61" fillId="0" borderId="59" xfId="0" applyNumberFormat="1" applyFont="1" applyBorder="1" applyAlignment="1">
      <alignment/>
    </xf>
    <xf numFmtId="0" fontId="14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7" fillId="0" borderId="59" xfId="0" applyFont="1" applyBorder="1" applyAlignment="1">
      <alignment/>
    </xf>
    <xf numFmtId="0" fontId="29" fillId="0" borderId="59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9" fillId="0" borderId="59" xfId="0" applyFont="1" applyBorder="1" applyAlignment="1">
      <alignment/>
    </xf>
    <xf numFmtId="0" fontId="36" fillId="0" borderId="59" xfId="0" applyFont="1" applyBorder="1" applyAlignment="1">
      <alignment wrapText="1"/>
    </xf>
    <xf numFmtId="0" fontId="29" fillId="0" borderId="59" xfId="0" applyFont="1" applyBorder="1" applyAlignment="1">
      <alignment/>
    </xf>
    <xf numFmtId="0" fontId="0" fillId="0" borderId="0" xfId="0" applyAlignment="1">
      <alignment wrapText="1"/>
    </xf>
    <xf numFmtId="3" fontId="29" fillId="0" borderId="59" xfId="0" applyNumberFormat="1" applyFont="1" applyBorder="1" applyAlignment="1">
      <alignment horizontal="center"/>
    </xf>
    <xf numFmtId="0" fontId="29" fillId="0" borderId="60" xfId="0" applyFont="1" applyBorder="1" applyAlignment="1">
      <alignment horizontal="center"/>
    </xf>
    <xf numFmtId="3" fontId="14" fillId="0" borderId="60" xfId="0" applyNumberFormat="1" applyFont="1" applyBorder="1" applyAlignment="1">
      <alignment/>
    </xf>
    <xf numFmtId="3" fontId="29" fillId="0" borderId="60" xfId="0" applyNumberFormat="1" applyFont="1" applyBorder="1" applyAlignment="1">
      <alignment/>
    </xf>
    <xf numFmtId="3" fontId="0" fillId="0" borderId="59" xfId="0" applyNumberFormat="1" applyBorder="1" applyAlignment="1">
      <alignment/>
    </xf>
    <xf numFmtId="0" fontId="44" fillId="0" borderId="59" xfId="0" applyFont="1" applyBorder="1" applyAlignment="1">
      <alignment/>
    </xf>
    <xf numFmtId="0" fontId="23" fillId="0" borderId="59" xfId="0" applyFont="1" applyBorder="1" applyAlignment="1">
      <alignment horizontal="center"/>
    </xf>
    <xf numFmtId="0" fontId="23" fillId="0" borderId="59" xfId="0" applyFont="1" applyBorder="1" applyAlignment="1">
      <alignment/>
    </xf>
    <xf numFmtId="3" fontId="0" fillId="0" borderId="59" xfId="0" applyNumberFormat="1" applyFont="1" applyBorder="1" applyAlignment="1">
      <alignment/>
    </xf>
    <xf numFmtId="3" fontId="23" fillId="0" borderId="59" xfId="0" applyNumberFormat="1" applyFont="1" applyBorder="1" applyAlignment="1">
      <alignment/>
    </xf>
    <xf numFmtId="0" fontId="21" fillId="0" borderId="54" xfId="0" applyFont="1" applyBorder="1" applyAlignment="1">
      <alignment/>
    </xf>
    <xf numFmtId="0" fontId="29" fillId="0" borderId="55" xfId="0" applyFont="1" applyBorder="1" applyAlignment="1">
      <alignment horizontal="center"/>
    </xf>
    <xf numFmtId="0" fontId="37" fillId="0" borderId="59" xfId="0" applyFont="1" applyBorder="1" applyAlignment="1">
      <alignment/>
    </xf>
    <xf numFmtId="3" fontId="37" fillId="0" borderId="59" xfId="0" applyNumberFormat="1" applyFont="1" applyBorder="1" applyAlignment="1">
      <alignment/>
    </xf>
    <xf numFmtId="0" fontId="35" fillId="0" borderId="59" xfId="0" applyFont="1" applyBorder="1" applyAlignment="1">
      <alignment/>
    </xf>
    <xf numFmtId="3" fontId="35" fillId="0" borderId="59" xfId="0" applyNumberFormat="1" applyFont="1" applyBorder="1" applyAlignment="1">
      <alignment/>
    </xf>
    <xf numFmtId="0" fontId="27" fillId="0" borderId="50" xfId="0" applyFont="1" applyBorder="1" applyAlignment="1">
      <alignment vertical="center"/>
    </xf>
    <xf numFmtId="168" fontId="27" fillId="0" borderId="44" xfId="4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3" fontId="0" fillId="0" borderId="24" xfId="0" applyNumberFormat="1" applyFont="1" applyBorder="1" applyAlignment="1">
      <alignment/>
    </xf>
    <xf numFmtId="0" fontId="29" fillId="0" borderId="61" xfId="0" applyFont="1" applyBorder="1" applyAlignment="1">
      <alignment horizontal="left" vertical="center"/>
    </xf>
    <xf numFmtId="3" fontId="29" fillId="0" borderId="62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/>
    </xf>
    <xf numFmtId="3" fontId="23" fillId="0" borderId="63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0" fontId="39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27" fillId="0" borderId="61" xfId="0" applyFont="1" applyBorder="1" applyAlignment="1">
      <alignment horizontal="left" vertical="center"/>
    </xf>
    <xf numFmtId="3" fontId="27" fillId="0" borderId="62" xfId="0" applyNumberFormat="1" applyFont="1" applyBorder="1" applyAlignment="1">
      <alignment horizontal="right" vertical="center" wrapText="1"/>
    </xf>
    <xf numFmtId="0" fontId="27" fillId="0" borderId="61" xfId="0" applyFont="1" applyBorder="1" applyAlignment="1">
      <alignment horizontal="left" vertical="center"/>
    </xf>
    <xf numFmtId="0" fontId="27" fillId="0" borderId="64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 wrapText="1"/>
    </xf>
    <xf numFmtId="0" fontId="46" fillId="0" borderId="66" xfId="0" applyFont="1" applyBorder="1" applyAlignment="1">
      <alignment horizontal="left" vertical="center"/>
    </xf>
    <xf numFmtId="3" fontId="28" fillId="0" borderId="67" xfId="0" applyNumberFormat="1" applyFont="1" applyBorder="1" applyAlignment="1">
      <alignment horizontal="right" vertical="center" wrapText="1"/>
    </xf>
    <xf numFmtId="0" fontId="27" fillId="0" borderId="68" xfId="0" applyFont="1" applyBorder="1" applyAlignment="1">
      <alignment horizontal="left" vertical="center"/>
    </xf>
    <xf numFmtId="3" fontId="28" fillId="0" borderId="69" xfId="0" applyNumberFormat="1" applyFont="1" applyBorder="1" applyAlignment="1">
      <alignment horizontal="right" vertical="center" wrapText="1"/>
    </xf>
    <xf numFmtId="0" fontId="28" fillId="0" borderId="70" xfId="0" applyFont="1" applyBorder="1" applyAlignment="1">
      <alignment horizontal="left" vertical="center"/>
    </xf>
    <xf numFmtId="3" fontId="28" fillId="0" borderId="71" xfId="0" applyNumberFormat="1" applyFont="1" applyBorder="1" applyAlignment="1">
      <alignment horizontal="right" vertical="center" wrapText="1"/>
    </xf>
    <xf numFmtId="0" fontId="27" fillId="0" borderId="72" xfId="0" applyFont="1" applyBorder="1" applyAlignment="1">
      <alignment horizontal="left" vertical="center"/>
    </xf>
    <xf numFmtId="3" fontId="28" fillId="0" borderId="73" xfId="0" applyNumberFormat="1" applyFont="1" applyBorder="1" applyAlignment="1">
      <alignment horizontal="right" vertical="center" wrapText="1"/>
    </xf>
    <xf numFmtId="0" fontId="27" fillId="0" borderId="70" xfId="0" applyFont="1" applyBorder="1" applyAlignment="1">
      <alignment horizontal="left" vertical="center"/>
    </xf>
    <xf numFmtId="0" fontId="46" fillId="0" borderId="74" xfId="0" applyFont="1" applyBorder="1" applyAlignment="1">
      <alignment horizontal="left" vertical="center"/>
    </xf>
    <xf numFmtId="3" fontId="28" fillId="0" borderId="75" xfId="0" applyNumberFormat="1" applyFont="1" applyBorder="1" applyAlignment="1">
      <alignment horizontal="right" vertical="center" wrapText="1"/>
    </xf>
    <xf numFmtId="0" fontId="26" fillId="0" borderId="70" xfId="0" applyFont="1" applyBorder="1" applyAlignment="1">
      <alignment horizontal="left" vertical="center"/>
    </xf>
    <xf numFmtId="0" fontId="14" fillId="0" borderId="76" xfId="0" applyFont="1" applyBorder="1" applyAlignment="1">
      <alignment horizontal="left" vertical="center"/>
    </xf>
    <xf numFmtId="3" fontId="28" fillId="0" borderId="77" xfId="0" applyNumberFormat="1" applyFont="1" applyBorder="1" applyAlignment="1">
      <alignment horizontal="right" vertical="center" wrapText="1"/>
    </xf>
    <xf numFmtId="0" fontId="27" fillId="0" borderId="78" xfId="0" applyFont="1" applyBorder="1" applyAlignment="1">
      <alignment horizontal="left" vertical="center"/>
    </xf>
    <xf numFmtId="3" fontId="27" fillId="0" borderId="79" xfId="0" applyNumberFormat="1" applyFont="1" applyBorder="1" applyAlignment="1">
      <alignment horizontal="right" vertical="center" wrapText="1"/>
    </xf>
    <xf numFmtId="3" fontId="27" fillId="0" borderId="71" xfId="0" applyNumberFormat="1" applyFont="1" applyBorder="1" applyAlignment="1">
      <alignment horizontal="right" vertical="center" wrapText="1"/>
    </xf>
    <xf numFmtId="0" fontId="27" fillId="0" borderId="78" xfId="0" applyFont="1" applyBorder="1" applyAlignment="1">
      <alignment vertical="center"/>
    </xf>
    <xf numFmtId="0" fontId="27" fillId="0" borderId="70" xfId="0" applyFont="1" applyBorder="1" applyAlignment="1">
      <alignment vertical="center"/>
    </xf>
    <xf numFmtId="0" fontId="46" fillId="0" borderId="74" xfId="0" applyFont="1" applyBorder="1" applyAlignment="1">
      <alignment vertical="center"/>
    </xf>
    <xf numFmtId="3" fontId="28" fillId="0" borderId="75" xfId="40" applyNumberFormat="1" applyFont="1" applyFill="1" applyBorder="1" applyAlignment="1" applyProtection="1">
      <alignment horizontal="right" vertical="center"/>
      <protection/>
    </xf>
    <xf numFmtId="0" fontId="28" fillId="0" borderId="80" xfId="0" applyFont="1" applyBorder="1" applyAlignment="1">
      <alignment vertical="center" wrapText="1"/>
    </xf>
    <xf numFmtId="3" fontId="28" fillId="0" borderId="81" xfId="40" applyNumberFormat="1" applyFont="1" applyFill="1" applyBorder="1" applyAlignment="1" applyProtection="1">
      <alignment horizontal="right" vertical="center"/>
      <protection/>
    </xf>
    <xf numFmtId="0" fontId="28" fillId="0" borderId="80" xfId="0" applyFont="1" applyBorder="1" applyAlignment="1">
      <alignment vertical="center"/>
    </xf>
    <xf numFmtId="0" fontId="27" fillId="0" borderId="80" xfId="0" applyFont="1" applyBorder="1" applyAlignment="1">
      <alignment vertical="center"/>
    </xf>
    <xf numFmtId="3" fontId="27" fillId="0" borderId="81" xfId="40" applyNumberFormat="1" applyFont="1" applyFill="1" applyBorder="1" applyAlignment="1" applyProtection="1">
      <alignment horizontal="right" vertical="center"/>
      <protection/>
    </xf>
    <xf numFmtId="3" fontId="27" fillId="0" borderId="77" xfId="40" applyNumberFormat="1" applyFont="1" applyFill="1" applyBorder="1" applyAlignment="1" applyProtection="1">
      <alignment horizontal="right" vertical="center"/>
      <protection/>
    </xf>
    <xf numFmtId="0" fontId="27" fillId="0" borderId="76" xfId="0" applyFont="1" applyBorder="1" applyAlignment="1">
      <alignment vertical="center"/>
    </xf>
    <xf numFmtId="0" fontId="27" fillId="0" borderId="82" xfId="0" applyFont="1" applyBorder="1" applyAlignment="1">
      <alignment vertical="center"/>
    </xf>
    <xf numFmtId="0" fontId="27" fillId="0" borderId="83" xfId="0" applyFont="1" applyBorder="1" applyAlignment="1">
      <alignment vertical="center"/>
    </xf>
    <xf numFmtId="3" fontId="27" fillId="0" borderId="84" xfId="40" applyNumberFormat="1" applyFont="1" applyFill="1" applyBorder="1" applyAlignment="1" applyProtection="1">
      <alignment horizontal="right" vertical="center"/>
      <protection/>
    </xf>
    <xf numFmtId="3" fontId="29" fillId="0" borderId="85" xfId="0" applyNumberFormat="1" applyFont="1" applyBorder="1" applyAlignment="1">
      <alignment horizontal="right"/>
    </xf>
    <xf numFmtId="3" fontId="23" fillId="0" borderId="86" xfId="0" applyNumberFormat="1" applyFont="1" applyBorder="1" applyAlignment="1">
      <alignment/>
    </xf>
    <xf numFmtId="3" fontId="23" fillId="0" borderId="87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0" fontId="29" fillId="0" borderId="79" xfId="0" applyFont="1" applyBorder="1" applyAlignment="1">
      <alignment horizontal="center" vertical="center"/>
    </xf>
    <xf numFmtId="0" fontId="29" fillId="0" borderId="78" xfId="0" applyFont="1" applyBorder="1" applyAlignment="1">
      <alignment horizontal="left" vertical="center" wrapText="1"/>
    </xf>
    <xf numFmtId="3" fontId="29" fillId="0" borderId="79" xfId="0" applyNumberFormat="1" applyFont="1" applyBorder="1" applyAlignment="1">
      <alignment horizontal="right" vertical="center"/>
    </xf>
    <xf numFmtId="0" fontId="14" fillId="0" borderId="70" xfId="0" applyFont="1" applyBorder="1" applyAlignment="1">
      <alignment horizontal="left" vertical="center" wrapText="1"/>
    </xf>
    <xf numFmtId="0" fontId="14" fillId="0" borderId="80" xfId="0" applyFont="1" applyBorder="1" applyAlignment="1">
      <alignment wrapText="1"/>
    </xf>
    <xf numFmtId="3" fontId="29" fillId="0" borderId="81" xfId="0" applyNumberFormat="1" applyFont="1" applyBorder="1" applyAlignment="1">
      <alignment horizontal="right" vertical="center"/>
    </xf>
    <xf numFmtId="0" fontId="0" fillId="0" borderId="80" xfId="0" applyFont="1" applyBorder="1" applyAlignment="1">
      <alignment/>
    </xf>
    <xf numFmtId="0" fontId="0" fillId="0" borderId="76" xfId="0" applyFont="1" applyBorder="1" applyAlignment="1">
      <alignment/>
    </xf>
    <xf numFmtId="3" fontId="29" fillId="0" borderId="77" xfId="0" applyNumberFormat="1" applyFont="1" applyBorder="1" applyAlignment="1">
      <alignment horizontal="right" vertical="center"/>
    </xf>
    <xf numFmtId="0" fontId="29" fillId="0" borderId="78" xfId="0" applyFont="1" applyBorder="1" applyAlignment="1">
      <alignment/>
    </xf>
    <xf numFmtId="0" fontId="40" fillId="0" borderId="88" xfId="0" applyFont="1" applyBorder="1" applyAlignment="1">
      <alignment/>
    </xf>
    <xf numFmtId="0" fontId="27" fillId="0" borderId="89" xfId="0" applyFont="1" applyBorder="1" applyAlignment="1">
      <alignment/>
    </xf>
    <xf numFmtId="0" fontId="0" fillId="0" borderId="11" xfId="0" applyBorder="1" applyAlignment="1">
      <alignment/>
    </xf>
    <xf numFmtId="0" fontId="0" fillId="0" borderId="61" xfId="0" applyBorder="1" applyAlignment="1">
      <alignment/>
    </xf>
    <xf numFmtId="3" fontId="23" fillId="0" borderId="90" xfId="0" applyNumberFormat="1" applyFont="1" applyBorder="1" applyAlignment="1">
      <alignment/>
    </xf>
    <xf numFmtId="0" fontId="27" fillId="0" borderId="91" xfId="0" applyFont="1" applyBorder="1" applyAlignment="1">
      <alignment/>
    </xf>
    <xf numFmtId="0" fontId="29" fillId="0" borderId="92" xfId="0" applyFont="1" applyBorder="1" applyAlignment="1">
      <alignment/>
    </xf>
    <xf numFmtId="0" fontId="0" fillId="0" borderId="93" xfId="0" applyBorder="1" applyAlignment="1">
      <alignment/>
    </xf>
    <xf numFmtId="0" fontId="0" fillId="0" borderId="70" xfId="0" applyBorder="1" applyAlignment="1">
      <alignment/>
    </xf>
    <xf numFmtId="3" fontId="0" fillId="0" borderId="94" xfId="0" applyNumberFormat="1" applyBorder="1" applyAlignment="1">
      <alignment horizontal="right"/>
    </xf>
    <xf numFmtId="3" fontId="0" fillId="0" borderId="95" xfId="0" applyNumberFormat="1" applyBorder="1" applyAlignment="1">
      <alignment horizontal="right"/>
    </xf>
    <xf numFmtId="0" fontId="0" fillId="0" borderId="80" xfId="0" applyBorder="1" applyAlignment="1">
      <alignment/>
    </xf>
    <xf numFmtId="3" fontId="0" fillId="0" borderId="96" xfId="0" applyNumberFormat="1" applyBorder="1" applyAlignment="1">
      <alignment horizontal="right"/>
    </xf>
    <xf numFmtId="3" fontId="23" fillId="0" borderId="97" xfId="0" applyNumberFormat="1" applyFont="1" applyBorder="1" applyAlignment="1">
      <alignment horizontal="right"/>
    </xf>
    <xf numFmtId="0" fontId="29" fillId="0" borderId="61" xfId="0" applyFont="1" applyBorder="1" applyAlignment="1">
      <alignment/>
    </xf>
    <xf numFmtId="0" fontId="0" fillId="0" borderId="90" xfId="0" applyBorder="1" applyAlignment="1">
      <alignment/>
    </xf>
    <xf numFmtId="164" fontId="31" fillId="0" borderId="98" xfId="0" applyNumberFormat="1" applyFont="1" applyBorder="1" applyAlignment="1">
      <alignment/>
    </xf>
    <xf numFmtId="3" fontId="37" fillId="0" borderId="99" xfId="0" applyNumberFormat="1" applyFont="1" applyBorder="1" applyAlignment="1">
      <alignment/>
    </xf>
    <xf numFmtId="16" fontId="68" fillId="0" borderId="68" xfId="0" applyNumberFormat="1" applyFont="1" applyBorder="1" applyAlignment="1">
      <alignment/>
    </xf>
    <xf numFmtId="0" fontId="0" fillId="0" borderId="74" xfId="0" applyBorder="1" applyAlignment="1">
      <alignment/>
    </xf>
    <xf numFmtId="0" fontId="0" fillId="0" borderId="99" xfId="0" applyBorder="1" applyAlignment="1">
      <alignment/>
    </xf>
    <xf numFmtId="3" fontId="0" fillId="0" borderId="99" xfId="0" applyNumberFormat="1" applyBorder="1" applyAlignment="1">
      <alignment/>
    </xf>
    <xf numFmtId="3" fontId="0" fillId="0" borderId="100" xfId="0" applyNumberFormat="1" applyBorder="1" applyAlignment="1">
      <alignment/>
    </xf>
    <xf numFmtId="3" fontId="0" fillId="0" borderId="99" xfId="0" applyNumberFormat="1" applyFont="1" applyBorder="1" applyAlignment="1">
      <alignment/>
    </xf>
    <xf numFmtId="0" fontId="0" fillId="0" borderId="45" xfId="0" applyBorder="1" applyAlignment="1">
      <alignment/>
    </xf>
    <xf numFmtId="0" fontId="29" fillId="0" borderId="61" xfId="0" applyFont="1" applyBorder="1" applyAlignment="1">
      <alignment/>
    </xf>
    <xf numFmtId="3" fontId="0" fillId="0" borderId="101" xfId="0" applyNumberFormat="1" applyFont="1" applyBorder="1" applyAlignment="1">
      <alignment/>
    </xf>
    <xf numFmtId="3" fontId="0" fillId="0" borderId="85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7" fillId="0" borderId="102" xfId="0" applyFont="1" applyBorder="1" applyAlignment="1">
      <alignment/>
    </xf>
    <xf numFmtId="0" fontId="29" fillId="0" borderId="103" xfId="0" applyFont="1" applyBorder="1" applyAlignment="1">
      <alignment wrapText="1"/>
    </xf>
    <xf numFmtId="0" fontId="29" fillId="0" borderId="92" xfId="0" applyFont="1" applyBorder="1" applyAlignment="1">
      <alignment wrapText="1"/>
    </xf>
    <xf numFmtId="0" fontId="29" fillId="0" borderId="104" xfId="0" applyFont="1" applyBorder="1" applyAlignment="1">
      <alignment wrapText="1"/>
    </xf>
    <xf numFmtId="0" fontId="14" fillId="0" borderId="70" xfId="0" applyFont="1" applyBorder="1" applyAlignment="1">
      <alignment/>
    </xf>
    <xf numFmtId="3" fontId="0" fillId="0" borderId="81" xfId="0" applyNumberFormat="1" applyFont="1" applyBorder="1" applyAlignment="1">
      <alignment/>
    </xf>
    <xf numFmtId="0" fontId="14" fillId="0" borderId="68" xfId="0" applyFont="1" applyBorder="1" applyAlignment="1">
      <alignment/>
    </xf>
    <xf numFmtId="0" fontId="14" fillId="0" borderId="105" xfId="0" applyFont="1" applyBorder="1" applyAlignment="1">
      <alignment/>
    </xf>
    <xf numFmtId="0" fontId="29" fillId="0" borderId="106" xfId="0" applyFont="1" applyBorder="1" applyAlignment="1">
      <alignment wrapText="1"/>
    </xf>
    <xf numFmtId="3" fontId="23" fillId="0" borderId="107" xfId="0" applyNumberFormat="1" applyFont="1" applyBorder="1" applyAlignment="1">
      <alignment/>
    </xf>
    <xf numFmtId="3" fontId="0" fillId="0" borderId="108" xfId="0" applyNumberFormat="1" applyFont="1" applyBorder="1" applyAlignment="1">
      <alignment/>
    </xf>
    <xf numFmtId="3" fontId="29" fillId="0" borderId="0" xfId="40" applyNumberFormat="1" applyFont="1" applyFill="1" applyBorder="1" applyAlignment="1" applyProtection="1">
      <alignment/>
      <protection/>
    </xf>
    <xf numFmtId="0" fontId="27" fillId="0" borderId="102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 wrapText="1"/>
    </xf>
    <xf numFmtId="0" fontId="45" fillId="0" borderId="109" xfId="0" applyFont="1" applyBorder="1" applyAlignment="1">
      <alignment horizontal="left" vertical="center"/>
    </xf>
    <xf numFmtId="0" fontId="29" fillId="0" borderId="110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left" vertical="center"/>
    </xf>
    <xf numFmtId="0" fontId="14" fillId="0" borderId="71" xfId="0" applyFont="1" applyBorder="1" applyAlignment="1">
      <alignment horizontal="right" vertical="center" wrapText="1"/>
    </xf>
    <xf numFmtId="0" fontId="14" fillId="0" borderId="80" xfId="0" applyFont="1" applyBorder="1" applyAlignment="1">
      <alignment horizontal="left" vertical="center"/>
    </xf>
    <xf numFmtId="3" fontId="29" fillId="0" borderId="79" xfId="0" applyNumberFormat="1" applyFont="1" applyBorder="1" applyAlignment="1">
      <alignment horizontal="right"/>
    </xf>
    <xf numFmtId="0" fontId="29" fillId="0" borderId="66" xfId="0" applyFont="1" applyBorder="1" applyAlignment="1">
      <alignment/>
    </xf>
    <xf numFmtId="3" fontId="29" fillId="0" borderId="67" xfId="0" applyNumberFormat="1" applyFont="1" applyBorder="1" applyAlignment="1">
      <alignment horizontal="right"/>
    </xf>
    <xf numFmtId="0" fontId="45" fillId="0" borderId="72" xfId="0" applyFont="1" applyBorder="1" applyAlignment="1">
      <alignment/>
    </xf>
    <xf numFmtId="3" fontId="29" fillId="0" borderId="73" xfId="0" applyNumberFormat="1" applyFont="1" applyBorder="1" applyAlignment="1">
      <alignment horizontal="right"/>
    </xf>
    <xf numFmtId="0" fontId="14" fillId="0" borderId="72" xfId="0" applyFont="1" applyBorder="1" applyAlignment="1">
      <alignment/>
    </xf>
    <xf numFmtId="3" fontId="14" fillId="0" borderId="75" xfId="0" applyNumberFormat="1" applyFont="1" applyBorder="1" applyAlignment="1">
      <alignment horizontal="right"/>
    </xf>
    <xf numFmtId="3" fontId="14" fillId="0" borderId="71" xfId="0" applyNumberFormat="1" applyFont="1" applyBorder="1" applyAlignment="1">
      <alignment horizontal="right"/>
    </xf>
    <xf numFmtId="0" fontId="29" fillId="0" borderId="70" xfId="0" applyFont="1" applyBorder="1" applyAlignment="1">
      <alignment/>
    </xf>
    <xf numFmtId="3" fontId="29" fillId="0" borderId="71" xfId="0" applyNumberFormat="1" applyFont="1" applyBorder="1" applyAlignment="1">
      <alignment horizontal="right"/>
    </xf>
    <xf numFmtId="0" fontId="27" fillId="0" borderId="74" xfId="0" applyFont="1" applyBorder="1" applyAlignment="1">
      <alignment horizontal="center" vertical="center"/>
    </xf>
    <xf numFmtId="3" fontId="29" fillId="0" borderId="75" xfId="0" applyNumberFormat="1" applyFont="1" applyBorder="1" applyAlignment="1">
      <alignment horizontal="right"/>
    </xf>
    <xf numFmtId="0" fontId="29" fillId="0" borderId="74" xfId="0" applyFont="1" applyBorder="1" applyAlignment="1">
      <alignment horizontal="left" vertical="center"/>
    </xf>
    <xf numFmtId="0" fontId="45" fillId="0" borderId="74" xfId="0" applyFont="1" applyBorder="1" applyAlignment="1">
      <alignment horizontal="left" vertical="center"/>
    </xf>
    <xf numFmtId="0" fontId="14" fillId="0" borderId="70" xfId="0" applyFont="1" applyBorder="1" applyAlignment="1">
      <alignment horizontal="left" vertical="center"/>
    </xf>
    <xf numFmtId="0" fontId="45" fillId="0" borderId="74" xfId="0" applyFont="1" applyBorder="1" applyAlignment="1">
      <alignment/>
    </xf>
    <xf numFmtId="166" fontId="14" fillId="0" borderId="75" xfId="40" applyNumberFormat="1" applyFont="1" applyFill="1" applyBorder="1" applyAlignment="1" applyProtection="1">
      <alignment horizontal="right"/>
      <protection/>
    </xf>
    <xf numFmtId="3" fontId="14" fillId="0" borderId="81" xfId="40" applyNumberFormat="1" applyFont="1" applyFill="1" applyBorder="1" applyAlignment="1" applyProtection="1">
      <alignment horizontal="right"/>
      <protection/>
    </xf>
    <xf numFmtId="3" fontId="14" fillId="0" borderId="77" xfId="40" applyNumberFormat="1" applyFont="1" applyFill="1" applyBorder="1" applyAlignment="1" applyProtection="1">
      <alignment horizontal="right"/>
      <protection/>
    </xf>
    <xf numFmtId="3" fontId="29" fillId="0" borderId="79" xfId="40" applyNumberFormat="1" applyFont="1" applyFill="1" applyBorder="1" applyAlignment="1" applyProtection="1">
      <alignment horizontal="right"/>
      <protection/>
    </xf>
    <xf numFmtId="0" fontId="29" fillId="0" borderId="74" xfId="0" applyFont="1" applyBorder="1" applyAlignment="1">
      <alignment/>
    </xf>
    <xf numFmtId="3" fontId="29" fillId="0" borderId="75" xfId="40" applyNumberFormat="1" applyFont="1" applyFill="1" applyBorder="1" applyAlignment="1" applyProtection="1">
      <alignment horizontal="right"/>
      <protection/>
    </xf>
    <xf numFmtId="0" fontId="45" fillId="0" borderId="80" xfId="0" applyFont="1" applyBorder="1" applyAlignment="1">
      <alignment/>
    </xf>
    <xf numFmtId="0" fontId="14" fillId="0" borderId="111" xfId="0" applyFont="1" applyBorder="1" applyAlignment="1">
      <alignment/>
    </xf>
    <xf numFmtId="0" fontId="14" fillId="0" borderId="112" xfId="0" applyFont="1" applyBorder="1" applyAlignment="1">
      <alignment/>
    </xf>
    <xf numFmtId="3" fontId="14" fillId="0" borderId="113" xfId="40" applyNumberFormat="1" applyFont="1" applyFill="1" applyBorder="1" applyAlignment="1" applyProtection="1">
      <alignment horizontal="right"/>
      <protection/>
    </xf>
    <xf numFmtId="3" fontId="29" fillId="0" borderId="71" xfId="40" applyNumberFormat="1" applyFont="1" applyFill="1" applyBorder="1" applyAlignment="1" applyProtection="1">
      <alignment horizontal="right"/>
      <protection/>
    </xf>
    <xf numFmtId="3" fontId="29" fillId="0" borderId="75" xfId="40" applyNumberFormat="1" applyFont="1" applyFill="1" applyBorder="1" applyAlignment="1" applyProtection="1">
      <alignment/>
      <protection/>
    </xf>
    <xf numFmtId="0" fontId="14" fillId="0" borderId="74" xfId="0" applyFont="1" applyBorder="1" applyAlignment="1">
      <alignment/>
    </xf>
    <xf numFmtId="3" fontId="14" fillId="0" borderId="81" xfId="40" applyNumberFormat="1" applyFont="1" applyFill="1" applyBorder="1" applyAlignment="1" applyProtection="1">
      <alignment/>
      <protection/>
    </xf>
    <xf numFmtId="0" fontId="14" fillId="0" borderId="80" xfId="0" applyFont="1" applyBorder="1" applyAlignment="1">
      <alignment/>
    </xf>
    <xf numFmtId="0" fontId="14" fillId="0" borderId="70" xfId="0" applyFont="1" applyFill="1" applyBorder="1" applyAlignment="1">
      <alignment/>
    </xf>
    <xf numFmtId="3" fontId="14" fillId="0" borderId="75" xfId="40" applyNumberFormat="1" applyFont="1" applyFill="1" applyBorder="1" applyAlignment="1" applyProtection="1">
      <alignment/>
      <protection/>
    </xf>
    <xf numFmtId="3" fontId="29" fillId="0" borderId="85" xfId="0" applyNumberFormat="1" applyFont="1" applyBorder="1" applyAlignment="1">
      <alignment/>
    </xf>
    <xf numFmtId="0" fontId="27" fillId="0" borderId="13" xfId="0" applyFont="1" applyBorder="1" applyAlignment="1">
      <alignment horizontal="center" vertical="center" wrapText="1"/>
    </xf>
    <xf numFmtId="0" fontId="23" fillId="0" borderId="114" xfId="0" applyFont="1" applyBorder="1" applyAlignment="1">
      <alignment horizontal="left"/>
    </xf>
    <xf numFmtId="3" fontId="23" fillId="0" borderId="115" xfId="0" applyNumberFormat="1" applyFont="1" applyBorder="1" applyAlignment="1">
      <alignment/>
    </xf>
    <xf numFmtId="3" fontId="23" fillId="0" borderId="116" xfId="0" applyNumberFormat="1" applyFont="1" applyBorder="1" applyAlignment="1">
      <alignment/>
    </xf>
    <xf numFmtId="0" fontId="23" fillId="0" borderId="15" xfId="0" applyFont="1" applyBorder="1" applyAlignment="1">
      <alignment horizontal="center" vertical="center" wrapText="1"/>
    </xf>
    <xf numFmtId="3" fontId="0" fillId="0" borderId="37" xfId="0" applyNumberFormat="1" applyBorder="1" applyAlignment="1">
      <alignment horizontal="right"/>
    </xf>
    <xf numFmtId="3" fontId="0" fillId="0" borderId="117" xfId="0" applyNumberFormat="1" applyBorder="1" applyAlignment="1">
      <alignment horizontal="right"/>
    </xf>
    <xf numFmtId="0" fontId="0" fillId="0" borderId="118" xfId="0" applyBorder="1" applyAlignment="1">
      <alignment/>
    </xf>
    <xf numFmtId="0" fontId="0" fillId="0" borderId="119" xfId="0" applyBorder="1" applyAlignment="1">
      <alignment/>
    </xf>
    <xf numFmtId="3" fontId="0" fillId="0" borderId="120" xfId="0" applyNumberFormat="1" applyBorder="1" applyAlignment="1">
      <alignment/>
    </xf>
    <xf numFmtId="3" fontId="0" fillId="0" borderId="12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22" xfId="0" applyBorder="1" applyAlignment="1">
      <alignment/>
    </xf>
    <xf numFmtId="0" fontId="0" fillId="0" borderId="22" xfId="0" applyFont="1" applyBorder="1" applyAlignment="1">
      <alignment/>
    </xf>
    <xf numFmtId="0" fontId="0" fillId="0" borderId="98" xfId="0" applyFont="1" applyBorder="1" applyAlignment="1">
      <alignment/>
    </xf>
    <xf numFmtId="3" fontId="37" fillId="0" borderId="99" xfId="40" applyNumberFormat="1" applyFont="1" applyFill="1" applyBorder="1" applyAlignment="1" applyProtection="1">
      <alignment vertical="center"/>
      <protection/>
    </xf>
    <xf numFmtId="3" fontId="37" fillId="0" borderId="100" xfId="40" applyNumberFormat="1" applyFont="1" applyFill="1" applyBorder="1" applyAlignment="1" applyProtection="1">
      <alignment vertical="center"/>
      <protection/>
    </xf>
    <xf numFmtId="3" fontId="37" fillId="0" borderId="116" xfId="40" applyNumberFormat="1" applyFont="1" applyFill="1" applyBorder="1" applyAlignment="1" applyProtection="1">
      <alignment vertical="center"/>
      <protection/>
    </xf>
    <xf numFmtId="3" fontId="37" fillId="0" borderId="115" xfId="40" applyNumberFormat="1" applyFont="1" applyFill="1" applyBorder="1" applyAlignment="1" applyProtection="1">
      <alignment vertical="center"/>
      <protection/>
    </xf>
    <xf numFmtId="0" fontId="49" fillId="0" borderId="72" xfId="0" applyFont="1" applyBorder="1" applyAlignment="1">
      <alignment vertical="center"/>
    </xf>
    <xf numFmtId="3" fontId="37" fillId="0" borderId="12" xfId="40" applyNumberFormat="1" applyFont="1" applyFill="1" applyBorder="1" applyAlignment="1" applyProtection="1">
      <alignment vertical="center"/>
      <protection/>
    </xf>
    <xf numFmtId="3" fontId="37" fillId="0" borderId="18" xfId="40" applyNumberFormat="1" applyFont="1" applyFill="1" applyBorder="1" applyAlignment="1" applyProtection="1">
      <alignment vertical="center"/>
      <protection/>
    </xf>
    <xf numFmtId="0" fontId="27" fillId="0" borderId="91" xfId="0" applyFont="1" applyBorder="1" applyAlignment="1">
      <alignment vertical="center"/>
    </xf>
    <xf numFmtId="0" fontId="27" fillId="0" borderId="123" xfId="0" applyFont="1" applyBorder="1" applyAlignment="1">
      <alignment horizontal="center" vertical="center" wrapText="1"/>
    </xf>
    <xf numFmtId="0" fontId="27" fillId="0" borderId="103" xfId="0" applyFont="1" applyBorder="1" applyAlignment="1">
      <alignment horizontal="center" vertical="center" wrapText="1"/>
    </xf>
    <xf numFmtId="0" fontId="27" fillId="0" borderId="124" xfId="0" applyFont="1" applyBorder="1" applyAlignment="1">
      <alignment horizontal="center" vertical="center"/>
    </xf>
    <xf numFmtId="0" fontId="0" fillId="0" borderId="122" xfId="0" applyFont="1" applyBorder="1" applyAlignment="1">
      <alignment/>
    </xf>
    <xf numFmtId="3" fontId="0" fillId="0" borderId="125" xfId="0" applyNumberFormat="1" applyBorder="1" applyAlignment="1">
      <alignment/>
    </xf>
    <xf numFmtId="0" fontId="23" fillId="0" borderId="61" xfId="0" applyFont="1" applyBorder="1" applyAlignment="1">
      <alignment/>
    </xf>
    <xf numFmtId="0" fontId="23" fillId="0" borderId="126" xfId="0" applyFont="1" applyBorder="1" applyAlignment="1">
      <alignment/>
    </xf>
    <xf numFmtId="3" fontId="0" fillId="0" borderId="32" xfId="0" applyNumberFormat="1" applyBorder="1" applyAlignment="1">
      <alignment horizontal="right"/>
    </xf>
    <xf numFmtId="3" fontId="0" fillId="0" borderId="127" xfId="0" applyNumberFormat="1" applyBorder="1" applyAlignment="1">
      <alignment horizontal="right"/>
    </xf>
    <xf numFmtId="0" fontId="14" fillId="0" borderId="76" xfId="0" applyFont="1" applyBorder="1" applyAlignment="1">
      <alignment/>
    </xf>
    <xf numFmtId="0" fontId="27" fillId="0" borderId="64" xfId="0" applyFont="1" applyBorder="1" applyAlignment="1">
      <alignment vertical="center"/>
    </xf>
    <xf numFmtId="0" fontId="27" fillId="0" borderId="128" xfId="0" applyFont="1" applyBorder="1" applyAlignment="1">
      <alignment horizontal="center" vertical="center" wrapText="1"/>
    </xf>
    <xf numFmtId="0" fontId="27" fillId="0" borderId="129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/>
    </xf>
    <xf numFmtId="0" fontId="37" fillId="0" borderId="74" xfId="0" applyFont="1" applyBorder="1" applyAlignment="1">
      <alignment vertical="center" wrapText="1"/>
    </xf>
    <xf numFmtId="3" fontId="37" fillId="0" borderId="75" xfId="40" applyNumberFormat="1" applyFont="1" applyFill="1" applyBorder="1" applyAlignment="1" applyProtection="1">
      <alignment vertical="center"/>
      <protection/>
    </xf>
    <xf numFmtId="0" fontId="37" fillId="0" borderId="80" xfId="0" applyFont="1" applyBorder="1" applyAlignment="1">
      <alignment vertical="center" wrapText="1"/>
    </xf>
    <xf numFmtId="0" fontId="52" fillId="0" borderId="80" xfId="0" applyFont="1" applyBorder="1" applyAlignment="1">
      <alignment vertical="center" wrapText="1"/>
    </xf>
    <xf numFmtId="0" fontId="37" fillId="0" borderId="80" xfId="0" applyFont="1" applyBorder="1" applyAlignment="1">
      <alignment vertical="center"/>
    </xf>
    <xf numFmtId="0" fontId="37" fillId="0" borderId="80" xfId="0" applyFont="1" applyBorder="1" applyAlignment="1">
      <alignment vertical="center" shrinkToFit="1"/>
    </xf>
    <xf numFmtId="0" fontId="49" fillId="0" borderId="80" xfId="0" applyFont="1" applyBorder="1" applyAlignment="1">
      <alignment vertical="center"/>
    </xf>
    <xf numFmtId="0" fontId="49" fillId="0" borderId="74" xfId="0" applyFont="1" applyBorder="1" applyAlignment="1">
      <alignment vertical="center" wrapText="1"/>
    </xf>
    <xf numFmtId="0" fontId="37" fillId="0" borderId="74" xfId="0" applyFont="1" applyBorder="1" applyAlignment="1">
      <alignment vertical="center"/>
    </xf>
    <xf numFmtId="3" fontId="37" fillId="0" borderId="81" xfId="40" applyNumberFormat="1" applyFont="1" applyFill="1" applyBorder="1" applyAlignment="1" applyProtection="1">
      <alignment vertical="center"/>
      <protection/>
    </xf>
    <xf numFmtId="0" fontId="37" fillId="0" borderId="130" xfId="0" applyFont="1" applyBorder="1" applyAlignment="1">
      <alignment vertical="center"/>
    </xf>
    <xf numFmtId="0" fontId="37" fillId="0" borderId="70" xfId="0" applyFont="1" applyBorder="1" applyAlignment="1">
      <alignment vertical="center"/>
    </xf>
    <xf numFmtId="3" fontId="37" fillId="0" borderId="71" xfId="40" applyNumberFormat="1" applyFont="1" applyFill="1" applyBorder="1" applyAlignment="1" applyProtection="1">
      <alignment vertical="center"/>
      <protection/>
    </xf>
    <xf numFmtId="0" fontId="35" fillId="0" borderId="83" xfId="0" applyFont="1" applyBorder="1" applyAlignment="1">
      <alignment vertical="center"/>
    </xf>
    <xf numFmtId="0" fontId="14" fillId="0" borderId="73" xfId="0" applyFont="1" applyBorder="1" applyAlignment="1">
      <alignment horizontal="right" vertical="center" wrapText="1"/>
    </xf>
    <xf numFmtId="0" fontId="14" fillId="0" borderId="131" xfId="0" applyFont="1" applyBorder="1" applyAlignment="1">
      <alignment horizontal="right" vertical="center" wrapText="1"/>
    </xf>
    <xf numFmtId="3" fontId="0" fillId="0" borderId="99" xfId="0" applyNumberFormat="1" applyBorder="1" applyAlignment="1">
      <alignment horizontal="right"/>
    </xf>
    <xf numFmtId="0" fontId="49" fillId="0" borderId="68" xfId="0" applyFont="1" applyBorder="1" applyAlignment="1">
      <alignment vertical="center"/>
    </xf>
    <xf numFmtId="3" fontId="27" fillId="0" borderId="85" xfId="40" applyNumberFormat="1" applyFont="1" applyFill="1" applyBorder="1" applyAlignment="1" applyProtection="1">
      <alignment horizontal="right" vertical="center"/>
      <protection/>
    </xf>
    <xf numFmtId="3" fontId="27" fillId="0" borderId="28" xfId="40" applyNumberFormat="1" applyFont="1" applyFill="1" applyBorder="1" applyAlignment="1" applyProtection="1">
      <alignment horizontal="right" vertical="center"/>
      <protection/>
    </xf>
    <xf numFmtId="3" fontId="28" fillId="0" borderId="0" xfId="40" applyNumberFormat="1" applyFont="1" applyFill="1" applyBorder="1" applyAlignment="1" applyProtection="1">
      <alignment horizontal="right" vertical="center"/>
      <protection/>
    </xf>
    <xf numFmtId="3" fontId="29" fillId="0" borderId="62" xfId="40" applyNumberFormat="1" applyFont="1" applyFill="1" applyBorder="1" applyAlignment="1" applyProtection="1">
      <alignment/>
      <protection/>
    </xf>
    <xf numFmtId="0" fontId="29" fillId="0" borderId="122" xfId="0" applyFont="1" applyBorder="1" applyAlignment="1">
      <alignment/>
    </xf>
    <xf numFmtId="3" fontId="29" fillId="0" borderId="131" xfId="40" applyNumberFormat="1" applyFont="1" applyFill="1" applyBorder="1" applyAlignment="1" applyProtection="1">
      <alignment/>
      <protection/>
    </xf>
    <xf numFmtId="0" fontId="27" fillId="0" borderId="15" xfId="0" applyFont="1" applyBorder="1" applyAlignment="1">
      <alignment horizontal="center" vertical="center"/>
    </xf>
    <xf numFmtId="0" fontId="45" fillId="0" borderId="132" xfId="0" applyFont="1" applyBorder="1" applyAlignment="1">
      <alignment/>
    </xf>
    <xf numFmtId="0" fontId="0" fillId="0" borderId="133" xfId="0" applyFont="1" applyBorder="1" applyAlignment="1">
      <alignment/>
    </xf>
    <xf numFmtId="0" fontId="29" fillId="0" borderId="80" xfId="0" applyFont="1" applyBorder="1" applyAlignment="1">
      <alignment/>
    </xf>
    <xf numFmtId="3" fontId="29" fillId="0" borderId="81" xfId="40" applyNumberFormat="1" applyFont="1" applyFill="1" applyBorder="1" applyAlignment="1" applyProtection="1">
      <alignment/>
      <protection/>
    </xf>
    <xf numFmtId="0" fontId="14" fillId="0" borderId="80" xfId="0" applyFont="1" applyBorder="1" applyAlignment="1">
      <alignment vertical="center"/>
    </xf>
    <xf numFmtId="0" fontId="14" fillId="0" borderId="74" xfId="0" applyFont="1" applyBorder="1" applyAlignment="1">
      <alignment vertical="center"/>
    </xf>
    <xf numFmtId="0" fontId="29" fillId="0" borderId="74" xfId="0" applyFont="1" applyBorder="1" applyAlignment="1">
      <alignment vertical="center"/>
    </xf>
    <xf numFmtId="0" fontId="29" fillId="0" borderId="78" xfId="0" applyFont="1" applyBorder="1" applyAlignment="1">
      <alignment vertical="center"/>
    </xf>
    <xf numFmtId="3" fontId="29" fillId="0" borderId="79" xfId="40" applyNumberFormat="1" applyFont="1" applyFill="1" applyBorder="1" applyAlignment="1" applyProtection="1">
      <alignment vertical="center"/>
      <protection/>
    </xf>
    <xf numFmtId="0" fontId="29" fillId="0" borderId="70" xfId="0" applyFont="1" applyBorder="1" applyAlignment="1">
      <alignment vertical="center"/>
    </xf>
    <xf numFmtId="3" fontId="29" fillId="0" borderId="71" xfId="40" applyNumberFormat="1" applyFont="1" applyFill="1" applyBorder="1" applyAlignment="1" applyProtection="1">
      <alignment vertical="center"/>
      <protection/>
    </xf>
    <xf numFmtId="0" fontId="29" fillId="0" borderId="83" xfId="0" applyFont="1" applyBorder="1" applyAlignment="1">
      <alignment vertical="center"/>
    </xf>
    <xf numFmtId="3" fontId="29" fillId="0" borderId="84" xfId="0" applyNumberFormat="1" applyFont="1" applyBorder="1" applyAlignment="1">
      <alignment vertical="center"/>
    </xf>
    <xf numFmtId="3" fontId="14" fillId="0" borderId="131" xfId="0" applyNumberFormat="1" applyFont="1" applyBorder="1" applyAlignment="1">
      <alignment horizontal="right"/>
    </xf>
    <xf numFmtId="0" fontId="0" fillId="0" borderId="66" xfId="0" applyBorder="1" applyAlignment="1">
      <alignment/>
    </xf>
    <xf numFmtId="0" fontId="0" fillId="0" borderId="134" xfId="0" applyBorder="1" applyAlignment="1">
      <alignment/>
    </xf>
    <xf numFmtId="3" fontId="35" fillId="0" borderId="135" xfId="40" applyNumberFormat="1" applyFont="1" applyFill="1" applyBorder="1" applyAlignment="1" applyProtection="1">
      <alignment vertical="center"/>
      <protection/>
    </xf>
    <xf numFmtId="3" fontId="35" fillId="0" borderId="61" xfId="40" applyNumberFormat="1" applyFont="1" applyFill="1" applyBorder="1" applyAlignment="1" applyProtection="1">
      <alignment vertical="center"/>
      <protection/>
    </xf>
    <xf numFmtId="3" fontId="35" fillId="0" borderId="62" xfId="40" applyNumberFormat="1" applyFont="1" applyFill="1" applyBorder="1" applyAlignment="1" applyProtection="1">
      <alignment vertical="center"/>
      <protection/>
    </xf>
    <xf numFmtId="3" fontId="23" fillId="0" borderId="85" xfId="0" applyNumberFormat="1" applyFont="1" applyBorder="1" applyAlignment="1">
      <alignment/>
    </xf>
    <xf numFmtId="3" fontId="0" fillId="0" borderId="136" xfId="0" applyNumberFormat="1" applyBorder="1" applyAlignment="1">
      <alignment/>
    </xf>
    <xf numFmtId="3" fontId="0" fillId="0" borderId="137" xfId="0" applyNumberFormat="1" applyBorder="1" applyAlignment="1">
      <alignment/>
    </xf>
    <xf numFmtId="3" fontId="0" fillId="0" borderId="108" xfId="0" applyNumberFormat="1" applyBorder="1" applyAlignment="1">
      <alignment/>
    </xf>
    <xf numFmtId="0" fontId="0" fillId="0" borderId="0" xfId="0" applyBorder="1" applyAlignment="1">
      <alignment horizontal="right"/>
    </xf>
    <xf numFmtId="0" fontId="29" fillId="0" borderId="103" xfId="0" applyFont="1" applyBorder="1" applyAlignment="1">
      <alignment/>
    </xf>
    <xf numFmtId="0" fontId="29" fillId="0" borderId="104" xfId="0" applyFont="1" applyBorder="1" applyAlignment="1">
      <alignment/>
    </xf>
    <xf numFmtId="0" fontId="29" fillId="0" borderId="71" xfId="0" applyFont="1" applyBorder="1" applyAlignment="1">
      <alignment/>
    </xf>
    <xf numFmtId="164" fontId="23" fillId="0" borderId="78" xfId="0" applyNumberFormat="1" applyFont="1" applyBorder="1" applyAlignment="1">
      <alignment/>
    </xf>
    <xf numFmtId="0" fontId="0" fillId="0" borderId="74" xfId="0" applyFont="1" applyBorder="1" applyAlignment="1">
      <alignment/>
    </xf>
    <xf numFmtId="3" fontId="0" fillId="0" borderId="127" xfId="0" applyNumberFormat="1" applyFont="1" applyBorder="1" applyAlignment="1">
      <alignment/>
    </xf>
    <xf numFmtId="3" fontId="0" fillId="0" borderId="95" xfId="0" applyNumberFormat="1" applyFont="1" applyBorder="1" applyAlignment="1">
      <alignment/>
    </xf>
    <xf numFmtId="0" fontId="23" fillId="0" borderId="82" xfId="0" applyFont="1" applyBorder="1" applyAlignment="1">
      <alignment/>
    </xf>
    <xf numFmtId="0" fontId="0" fillId="0" borderId="138" xfId="0" applyBorder="1" applyAlignment="1">
      <alignment/>
    </xf>
    <xf numFmtId="0" fontId="0" fillId="0" borderId="139" xfId="0" applyFont="1" applyBorder="1" applyAlignment="1">
      <alignment/>
    </xf>
    <xf numFmtId="0" fontId="0" fillId="0" borderId="139" xfId="0" applyFont="1" applyBorder="1" applyAlignment="1">
      <alignment horizontal="left"/>
    </xf>
    <xf numFmtId="0" fontId="0" fillId="0" borderId="111" xfId="0" applyFont="1" applyBorder="1" applyAlignment="1">
      <alignment horizontal="left"/>
    </xf>
    <xf numFmtId="3" fontId="0" fillId="0" borderId="117" xfId="0" applyNumberFormat="1" applyFont="1" applyBorder="1" applyAlignment="1">
      <alignment/>
    </xf>
    <xf numFmtId="0" fontId="0" fillId="0" borderId="130" xfId="0" applyBorder="1" applyAlignment="1">
      <alignment horizontal="left"/>
    </xf>
    <xf numFmtId="3" fontId="0" fillId="0" borderId="125" xfId="0" applyNumberFormat="1" applyFont="1" applyBorder="1" applyAlignment="1">
      <alignment/>
    </xf>
    <xf numFmtId="0" fontId="0" fillId="0" borderId="140" xfId="0" applyBorder="1" applyAlignment="1">
      <alignment horizontal="left"/>
    </xf>
    <xf numFmtId="3" fontId="0" fillId="0" borderId="141" xfId="0" applyNumberFormat="1" applyFont="1" applyBorder="1" applyAlignment="1">
      <alignment/>
    </xf>
    <xf numFmtId="3" fontId="23" fillId="0" borderId="69" xfId="0" applyNumberFormat="1" applyFont="1" applyBorder="1" applyAlignment="1">
      <alignment/>
    </xf>
    <xf numFmtId="0" fontId="0" fillId="0" borderId="111" xfId="0" applyBorder="1" applyAlignment="1">
      <alignment horizontal="left"/>
    </xf>
    <xf numFmtId="0" fontId="0" fillId="0" borderId="142" xfId="0" applyBorder="1" applyAlignment="1">
      <alignment horizontal="left"/>
    </xf>
    <xf numFmtId="3" fontId="0" fillId="0" borderId="143" xfId="0" applyNumberFormat="1" applyFont="1" applyBorder="1" applyAlignment="1">
      <alignment/>
    </xf>
    <xf numFmtId="3" fontId="0" fillId="0" borderId="77" xfId="0" applyNumberFormat="1" applyFont="1" applyBorder="1" applyAlignment="1">
      <alignment/>
    </xf>
    <xf numFmtId="0" fontId="0" fillId="0" borderId="76" xfId="0" applyFont="1" applyFill="1" applyBorder="1" applyAlignment="1">
      <alignment/>
    </xf>
    <xf numFmtId="0" fontId="0" fillId="0" borderId="144" xfId="0" applyFont="1" applyBorder="1" applyAlignment="1">
      <alignment/>
    </xf>
    <xf numFmtId="3" fontId="0" fillId="0" borderId="145" xfId="0" applyNumberFormat="1" applyFill="1" applyBorder="1" applyAlignment="1">
      <alignment/>
    </xf>
    <xf numFmtId="3" fontId="0" fillId="0" borderId="146" xfId="0" applyNumberFormat="1" applyFont="1" applyFill="1" applyBorder="1" applyAlignment="1">
      <alignment/>
    </xf>
    <xf numFmtId="0" fontId="23" fillId="0" borderId="142" xfId="0" applyFont="1" applyBorder="1" applyAlignment="1">
      <alignment horizontal="left"/>
    </xf>
    <xf numFmtId="3" fontId="14" fillId="0" borderId="69" xfId="0" applyNumberFormat="1" applyFont="1" applyBorder="1" applyAlignment="1">
      <alignment horizontal="right"/>
    </xf>
    <xf numFmtId="0" fontId="14" fillId="0" borderId="74" xfId="0" applyFont="1" applyBorder="1" applyAlignment="1">
      <alignment vertical="center"/>
    </xf>
    <xf numFmtId="0" fontId="29" fillId="0" borderId="74" xfId="0" applyFont="1" applyBorder="1" applyAlignment="1">
      <alignment vertical="center"/>
    </xf>
    <xf numFmtId="3" fontId="14" fillId="0" borderId="75" xfId="40" applyNumberFormat="1" applyFont="1" applyFill="1" applyBorder="1" applyAlignment="1" applyProtection="1">
      <alignment/>
      <protection/>
    </xf>
    <xf numFmtId="3" fontId="29" fillId="0" borderId="75" xfId="40" applyNumberFormat="1" applyFont="1" applyFill="1" applyBorder="1" applyAlignment="1" applyProtection="1">
      <alignment/>
      <protection/>
    </xf>
    <xf numFmtId="0" fontId="0" fillId="0" borderId="68" xfId="0" applyBorder="1" applyAlignment="1">
      <alignment/>
    </xf>
    <xf numFmtId="0" fontId="29" fillId="0" borderId="102" xfId="0" applyFont="1" applyBorder="1" applyAlignment="1">
      <alignment horizontal="left" vertical="center"/>
    </xf>
    <xf numFmtId="0" fontId="29" fillId="0" borderId="147" xfId="0" applyFont="1" applyBorder="1" applyAlignment="1">
      <alignment horizontal="center" vertical="center" wrapText="1"/>
    </xf>
    <xf numFmtId="0" fontId="0" fillId="0" borderId="148" xfId="0" applyFont="1" applyBorder="1" applyAlignment="1">
      <alignment/>
    </xf>
    <xf numFmtId="3" fontId="29" fillId="0" borderId="149" xfId="0" applyNumberFormat="1" applyFont="1" applyBorder="1" applyAlignment="1">
      <alignment/>
    </xf>
    <xf numFmtId="0" fontId="14" fillId="0" borderId="148" xfId="0" applyFont="1" applyBorder="1" applyAlignment="1">
      <alignment/>
    </xf>
    <xf numFmtId="0" fontId="14" fillId="0" borderId="148" xfId="0" applyFont="1" applyBorder="1" applyAlignment="1">
      <alignment wrapText="1"/>
    </xf>
    <xf numFmtId="0" fontId="36" fillId="0" borderId="148" xfId="0" applyFont="1" applyBorder="1" applyAlignment="1">
      <alignment/>
    </xf>
    <xf numFmtId="3" fontId="14" fillId="0" borderId="149" xfId="0" applyNumberFormat="1" applyFont="1" applyBorder="1" applyAlignment="1">
      <alignment/>
    </xf>
    <xf numFmtId="0" fontId="36" fillId="0" borderId="148" xfId="0" applyFont="1" applyBorder="1" applyAlignment="1">
      <alignment wrapText="1"/>
    </xf>
    <xf numFmtId="0" fontId="0" fillId="0" borderId="150" xfId="0" applyBorder="1" applyAlignment="1">
      <alignment/>
    </xf>
    <xf numFmtId="3" fontId="29" fillId="0" borderId="151" xfId="0" applyNumberFormat="1" applyFont="1" applyBorder="1" applyAlignment="1">
      <alignment/>
    </xf>
    <xf numFmtId="0" fontId="29" fillId="0" borderId="86" xfId="0" applyFont="1" applyBorder="1" applyAlignment="1">
      <alignment/>
    </xf>
    <xf numFmtId="3" fontId="29" fillId="0" borderId="62" xfId="0" applyNumberFormat="1" applyFont="1" applyBorder="1" applyAlignment="1">
      <alignment/>
    </xf>
    <xf numFmtId="0" fontId="14" fillId="0" borderId="70" xfId="0" applyFont="1" applyBorder="1" applyAlignment="1">
      <alignment horizontal="left" vertical="center"/>
    </xf>
    <xf numFmtId="3" fontId="14" fillId="0" borderId="71" xfId="0" applyNumberFormat="1" applyFont="1" applyBorder="1" applyAlignment="1">
      <alignment horizontal="right"/>
    </xf>
    <xf numFmtId="3" fontId="14" fillId="0" borderId="131" xfId="0" applyNumberFormat="1" applyFont="1" applyBorder="1" applyAlignment="1">
      <alignment horizontal="right"/>
    </xf>
    <xf numFmtId="0" fontId="31" fillId="0" borderId="38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31" fillId="0" borderId="98" xfId="0" applyFont="1" applyBorder="1" applyAlignment="1">
      <alignment/>
    </xf>
    <xf numFmtId="3" fontId="0" fillId="0" borderId="99" xfId="0" applyNumberFormat="1" applyFont="1" applyBorder="1" applyAlignment="1">
      <alignment/>
    </xf>
    <xf numFmtId="3" fontId="14" fillId="0" borderId="21" xfId="0" applyNumberFormat="1" applyFont="1" applyBorder="1" applyAlignment="1">
      <alignment horizontal="right" vertical="center"/>
    </xf>
    <xf numFmtId="3" fontId="29" fillId="0" borderId="0" xfId="0" applyNumberFormat="1" applyFont="1" applyBorder="1" applyAlignment="1">
      <alignment horizontal="center" vertical="center"/>
    </xf>
    <xf numFmtId="0" fontId="14" fillId="0" borderId="66" xfId="0" applyFont="1" applyBorder="1" applyAlignment="1">
      <alignment horizontal="left" vertical="center" wrapText="1"/>
    </xf>
    <xf numFmtId="0" fontId="14" fillId="0" borderId="108" xfId="0" applyFont="1" applyBorder="1" applyAlignment="1">
      <alignment horizontal="center" vertical="center"/>
    </xf>
    <xf numFmtId="3" fontId="14" fillId="0" borderId="108" xfId="0" applyNumberFormat="1" applyFont="1" applyBorder="1" applyAlignment="1">
      <alignment horizontal="right" vertical="center"/>
    </xf>
    <xf numFmtId="3" fontId="29" fillId="0" borderId="152" xfId="0" applyNumberFormat="1" applyFont="1" applyBorder="1" applyAlignment="1">
      <alignment horizontal="center" vertical="center"/>
    </xf>
    <xf numFmtId="3" fontId="14" fillId="0" borderId="67" xfId="0" applyNumberFormat="1" applyFont="1" applyBorder="1" applyAlignment="1">
      <alignment horizontal="right" vertical="center"/>
    </xf>
    <xf numFmtId="3" fontId="37" fillId="0" borderId="27" xfId="0" applyNumberFormat="1" applyFont="1" applyBorder="1" applyAlignment="1">
      <alignment/>
    </xf>
    <xf numFmtId="3" fontId="35" fillId="24" borderId="16" xfId="0" applyNumberFormat="1" applyFont="1" applyFill="1" applyBorder="1" applyAlignment="1">
      <alignment/>
    </xf>
    <xf numFmtId="3" fontId="37" fillId="0" borderId="85" xfId="0" applyNumberFormat="1" applyFont="1" applyBorder="1" applyAlignment="1">
      <alignment/>
    </xf>
    <xf numFmtId="0" fontId="0" fillId="0" borderId="140" xfId="0" applyFill="1" applyBorder="1" applyAlignment="1">
      <alignment/>
    </xf>
    <xf numFmtId="0" fontId="14" fillId="0" borderId="72" xfId="0" applyFont="1" applyBorder="1" applyAlignment="1">
      <alignment/>
    </xf>
    <xf numFmtId="3" fontId="0" fillId="0" borderId="15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75" xfId="0" applyNumberFormat="1" applyFont="1" applyBorder="1" applyAlignment="1">
      <alignment/>
    </xf>
    <xf numFmtId="3" fontId="0" fillId="0" borderId="15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4" fillId="0" borderId="155" xfId="0" applyFont="1" applyBorder="1" applyAlignment="1">
      <alignment/>
    </xf>
    <xf numFmtId="3" fontId="0" fillId="0" borderId="13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156" xfId="0" applyNumberFormat="1" applyFont="1" applyBorder="1" applyAlignment="1">
      <alignment/>
    </xf>
    <xf numFmtId="0" fontId="29" fillId="0" borderId="85" xfId="0" applyFont="1" applyBorder="1" applyAlignment="1">
      <alignment/>
    </xf>
    <xf numFmtId="0" fontId="0" fillId="0" borderId="37" xfId="0" applyBorder="1" applyAlignment="1">
      <alignment/>
    </xf>
    <xf numFmtId="0" fontId="0" fillId="0" borderId="18" xfId="0" applyFont="1" applyBorder="1" applyAlignment="1">
      <alignment/>
    </xf>
    <xf numFmtId="3" fontId="0" fillId="0" borderId="116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157" xfId="0" applyBorder="1" applyAlignment="1">
      <alignment horizontal="left"/>
    </xf>
    <xf numFmtId="3" fontId="0" fillId="0" borderId="158" xfId="0" applyNumberFormat="1" applyBorder="1" applyAlignment="1">
      <alignment/>
    </xf>
    <xf numFmtId="3" fontId="0" fillId="0" borderId="144" xfId="0" applyNumberFormat="1" applyBorder="1" applyAlignment="1">
      <alignment/>
    </xf>
    <xf numFmtId="3" fontId="0" fillId="0" borderId="159" xfId="0" applyNumberFormat="1" applyFont="1" applyBorder="1" applyAlignment="1">
      <alignment/>
    </xf>
    <xf numFmtId="0" fontId="0" fillId="0" borderId="88" xfId="0" applyBorder="1" applyAlignment="1">
      <alignment horizontal="left"/>
    </xf>
    <xf numFmtId="3" fontId="14" fillId="0" borderId="75" xfId="0" applyNumberFormat="1" applyFont="1" applyBorder="1" applyAlignment="1">
      <alignment horizontal="right"/>
    </xf>
    <xf numFmtId="3" fontId="29" fillId="0" borderId="143" xfId="0" applyNumberFormat="1" applyFont="1" applyBorder="1" applyAlignment="1">
      <alignment/>
    </xf>
    <xf numFmtId="0" fontId="0" fillId="0" borderId="160" xfId="0" applyBorder="1" applyAlignment="1">
      <alignment/>
    </xf>
    <xf numFmtId="0" fontId="0" fillId="0" borderId="161" xfId="0" applyFont="1" applyBorder="1" applyAlignment="1">
      <alignment/>
    </xf>
    <xf numFmtId="3" fontId="29" fillId="0" borderId="162" xfId="0" applyNumberFormat="1" applyFont="1" applyBorder="1" applyAlignment="1">
      <alignment/>
    </xf>
    <xf numFmtId="3" fontId="29" fillId="0" borderId="71" xfId="40" applyNumberFormat="1" applyFont="1" applyFill="1" applyBorder="1" applyAlignment="1" applyProtection="1">
      <alignment/>
      <protection/>
    </xf>
    <xf numFmtId="0" fontId="14" fillId="0" borderId="68" xfId="0" applyFont="1" applyBorder="1" applyAlignment="1">
      <alignment vertical="center"/>
    </xf>
    <xf numFmtId="3" fontId="14" fillId="0" borderId="69" xfId="40" applyNumberFormat="1" applyFont="1" applyFill="1" applyBorder="1" applyAlignment="1" applyProtection="1">
      <alignment/>
      <protection/>
    </xf>
    <xf numFmtId="3" fontId="14" fillId="0" borderId="77" xfId="40" applyNumberFormat="1" applyFont="1" applyFill="1" applyBorder="1" applyAlignment="1" applyProtection="1">
      <alignment/>
      <protection/>
    </xf>
    <xf numFmtId="3" fontId="14" fillId="0" borderId="71" xfId="40" applyNumberFormat="1" applyFont="1" applyFill="1" applyBorder="1" applyAlignment="1" applyProtection="1">
      <alignment/>
      <protection/>
    </xf>
    <xf numFmtId="0" fontId="14" fillId="0" borderId="130" xfId="0" applyFont="1" applyFill="1" applyBorder="1" applyAlignment="1">
      <alignment/>
    </xf>
    <xf numFmtId="0" fontId="29" fillId="0" borderId="68" xfId="0" applyFont="1" applyBorder="1" applyAlignment="1">
      <alignment vertical="center"/>
    </xf>
    <xf numFmtId="3" fontId="29" fillId="0" borderId="69" xfId="40" applyNumberFormat="1" applyFont="1" applyFill="1" applyBorder="1" applyAlignment="1" applyProtection="1">
      <alignment/>
      <protection/>
    </xf>
    <xf numFmtId="0" fontId="28" fillId="0" borderId="80" xfId="0" applyFont="1" applyBorder="1" applyAlignment="1">
      <alignment vertical="center"/>
    </xf>
    <xf numFmtId="3" fontId="28" fillId="0" borderId="81" xfId="40" applyNumberFormat="1" applyFont="1" applyFill="1" applyBorder="1" applyAlignment="1" applyProtection="1">
      <alignment horizontal="right" vertical="center"/>
      <protection/>
    </xf>
    <xf numFmtId="0" fontId="14" fillId="0" borderId="12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3" fontId="14" fillId="0" borderId="12" xfId="0" applyNumberFormat="1" applyFont="1" applyBorder="1" applyAlignment="1">
      <alignment horizontal="right"/>
    </xf>
    <xf numFmtId="3" fontId="14" fillId="0" borderId="18" xfId="0" applyNumberFormat="1" applyFont="1" applyBorder="1" applyAlignment="1">
      <alignment/>
    </xf>
    <xf numFmtId="0" fontId="14" fillId="0" borderId="72" xfId="0" applyFont="1" applyFill="1" applyBorder="1" applyAlignment="1">
      <alignment/>
    </xf>
    <xf numFmtId="3" fontId="14" fillId="0" borderId="73" xfId="40" applyNumberFormat="1" applyFont="1" applyFill="1" applyBorder="1" applyAlignment="1" applyProtection="1">
      <alignment/>
      <protection/>
    </xf>
    <xf numFmtId="0" fontId="14" fillId="0" borderId="68" xfId="0" applyFont="1" applyFill="1" applyBorder="1" applyAlignment="1">
      <alignment/>
    </xf>
    <xf numFmtId="3" fontId="14" fillId="0" borderId="69" xfId="40" applyNumberFormat="1" applyFont="1" applyFill="1" applyBorder="1" applyAlignment="1" applyProtection="1">
      <alignment/>
      <protection/>
    </xf>
    <xf numFmtId="0" fontId="0" fillId="0" borderId="130" xfId="0" applyFill="1" applyBorder="1" applyAlignment="1">
      <alignment/>
    </xf>
    <xf numFmtId="3" fontId="27" fillId="0" borderId="71" xfId="40" applyNumberFormat="1" applyFont="1" applyFill="1" applyBorder="1" applyAlignment="1" applyProtection="1">
      <alignment horizontal="right" vertical="center"/>
      <protection/>
    </xf>
    <xf numFmtId="0" fontId="29" fillId="0" borderId="114" xfId="0" applyFont="1" applyBorder="1" applyAlignment="1">
      <alignment vertical="center"/>
    </xf>
    <xf numFmtId="3" fontId="37" fillId="0" borderId="121" xfId="40" applyNumberFormat="1" applyFont="1" applyFill="1" applyBorder="1" applyAlignment="1" applyProtection="1">
      <alignment vertical="center"/>
      <protection/>
    </xf>
    <xf numFmtId="3" fontId="37" fillId="0" borderId="120" xfId="40" applyNumberFormat="1" applyFont="1" applyFill="1" applyBorder="1" applyAlignment="1" applyProtection="1">
      <alignment vertical="center"/>
      <protection/>
    </xf>
    <xf numFmtId="0" fontId="23" fillId="0" borderId="27" xfId="0" applyFon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14" xfId="0" applyFill="1" applyBorder="1" applyAlignment="1">
      <alignment/>
    </xf>
    <xf numFmtId="3" fontId="23" fillId="0" borderId="90" xfId="0" applyNumberFormat="1" applyFont="1" applyBorder="1" applyAlignment="1">
      <alignment/>
    </xf>
    <xf numFmtId="3" fontId="23" fillId="0" borderId="163" xfId="0" applyNumberFormat="1" applyFont="1" applyBorder="1" applyAlignment="1">
      <alignment/>
    </xf>
    <xf numFmtId="0" fontId="14" fillId="0" borderId="164" xfId="0" applyFont="1" applyBorder="1" applyAlignment="1">
      <alignment/>
    </xf>
    <xf numFmtId="3" fontId="0" fillId="0" borderId="165" xfId="0" applyNumberFormat="1" applyFont="1" applyBorder="1" applyAlignment="1">
      <alignment/>
    </xf>
    <xf numFmtId="3" fontId="28" fillId="0" borderId="38" xfId="0" applyNumberFormat="1" applyFont="1" applyBorder="1" applyAlignment="1">
      <alignment horizontal="center" vertical="center"/>
    </xf>
    <xf numFmtId="0" fontId="28" fillId="0" borderId="100" xfId="0" applyFont="1" applyBorder="1" applyAlignment="1">
      <alignment vertical="center"/>
    </xf>
    <xf numFmtId="0" fontId="28" fillId="0" borderId="118" xfId="0" applyFont="1" applyBorder="1" applyAlignment="1">
      <alignment vertical="center"/>
    </xf>
    <xf numFmtId="3" fontId="28" fillId="0" borderId="98" xfId="0" applyNumberFormat="1" applyFont="1" applyBorder="1" applyAlignment="1">
      <alignment horizontal="center" vertical="center"/>
    </xf>
    <xf numFmtId="3" fontId="23" fillId="0" borderId="85" xfId="0" applyNumberFormat="1" applyFont="1" applyBorder="1" applyAlignment="1">
      <alignment/>
    </xf>
    <xf numFmtId="0" fontId="23" fillId="0" borderId="86" xfId="0" applyFont="1" applyBorder="1" applyAlignment="1">
      <alignment/>
    </xf>
    <xf numFmtId="3" fontId="23" fillId="0" borderId="126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98" xfId="0" applyBorder="1" applyAlignment="1">
      <alignment/>
    </xf>
    <xf numFmtId="0" fontId="29" fillId="0" borderId="138" xfId="0" applyFont="1" applyBorder="1" applyAlignment="1">
      <alignment/>
    </xf>
    <xf numFmtId="0" fontId="0" fillId="0" borderId="94" xfId="0" applyBorder="1" applyAlignment="1">
      <alignment/>
    </xf>
    <xf numFmtId="3" fontId="0" fillId="0" borderId="95" xfId="0" applyNumberFormat="1" applyBorder="1" applyAlignment="1">
      <alignment/>
    </xf>
    <xf numFmtId="0" fontId="41" fillId="0" borderId="139" xfId="0" applyFont="1" applyBorder="1" applyAlignment="1">
      <alignment wrapText="1"/>
    </xf>
    <xf numFmtId="0" fontId="29" fillId="0" borderId="166" xfId="0" applyFont="1" applyBorder="1" applyAlignment="1">
      <alignment/>
    </xf>
    <xf numFmtId="3" fontId="29" fillId="0" borderId="97" xfId="0" applyNumberFormat="1" applyFont="1" applyBorder="1" applyAlignment="1">
      <alignment/>
    </xf>
    <xf numFmtId="0" fontId="29" fillId="0" borderId="148" xfId="0" applyFont="1" applyBorder="1" applyAlignment="1">
      <alignment/>
    </xf>
    <xf numFmtId="0" fontId="29" fillId="0" borderId="167" xfId="0" applyFont="1" applyBorder="1" applyAlignment="1">
      <alignment/>
    </xf>
    <xf numFmtId="3" fontId="29" fillId="0" borderId="168" xfId="0" applyNumberFormat="1" applyFont="1" applyBorder="1" applyAlignment="1">
      <alignment/>
    </xf>
    <xf numFmtId="0" fontId="39" fillId="0" borderId="148" xfId="0" applyFont="1" applyBorder="1" applyAlignment="1">
      <alignment/>
    </xf>
    <xf numFmtId="3" fontId="61" fillId="0" borderId="149" xfId="0" applyNumberFormat="1" applyFont="1" applyBorder="1" applyAlignment="1">
      <alignment/>
    </xf>
    <xf numFmtId="0" fontId="0" fillId="0" borderId="167" xfId="0" applyFont="1" applyBorder="1" applyAlignment="1">
      <alignment/>
    </xf>
    <xf numFmtId="0" fontId="14" fillId="0" borderId="167" xfId="0" applyFont="1" applyBorder="1" applyAlignment="1">
      <alignment wrapText="1"/>
    </xf>
    <xf numFmtId="3" fontId="14" fillId="0" borderId="95" xfId="0" applyNumberFormat="1" applyFont="1" applyBorder="1" applyAlignment="1">
      <alignment/>
    </xf>
    <xf numFmtId="0" fontId="0" fillId="0" borderId="169" xfId="0" applyFont="1" applyBorder="1" applyAlignment="1">
      <alignment/>
    </xf>
    <xf numFmtId="0" fontId="0" fillId="0" borderId="170" xfId="0" applyFont="1" applyBorder="1" applyAlignment="1">
      <alignment/>
    </xf>
    <xf numFmtId="3" fontId="29" fillId="0" borderId="171" xfId="0" applyNumberFormat="1" applyFont="1" applyBorder="1" applyAlignment="1">
      <alignment/>
    </xf>
    <xf numFmtId="0" fontId="29" fillId="0" borderId="86" xfId="0" applyFont="1" applyBorder="1" applyAlignment="1">
      <alignment horizontal="left" vertical="center"/>
    </xf>
    <xf numFmtId="0" fontId="29" fillId="0" borderId="62" xfId="0" applyFont="1" applyBorder="1" applyAlignment="1">
      <alignment horizontal="center" vertical="center" wrapText="1"/>
    </xf>
    <xf numFmtId="0" fontId="14" fillId="0" borderId="170" xfId="0" applyFont="1" applyBorder="1" applyAlignment="1">
      <alignment/>
    </xf>
    <xf numFmtId="0" fontId="29" fillId="0" borderId="90" xfId="0" applyFont="1" applyBorder="1" applyAlignment="1">
      <alignment horizontal="center" vertical="center" wrapText="1"/>
    </xf>
    <xf numFmtId="3" fontId="29" fillId="0" borderId="108" xfId="0" applyNumberFormat="1" applyFont="1" applyBorder="1" applyAlignment="1">
      <alignment horizontal="right" vertical="center"/>
    </xf>
    <xf numFmtId="3" fontId="14" fillId="0" borderId="152" xfId="0" applyNumberFormat="1" applyFont="1" applyBorder="1" applyAlignment="1">
      <alignment horizontal="right" vertical="center"/>
    </xf>
    <xf numFmtId="3" fontId="14" fillId="0" borderId="156" xfId="0" applyNumberFormat="1" applyFont="1" applyBorder="1" applyAlignment="1">
      <alignment horizontal="right" vertical="center"/>
    </xf>
    <xf numFmtId="3" fontId="14" fillId="0" borderId="69" xfId="0" applyNumberFormat="1" applyFont="1" applyBorder="1" applyAlignment="1">
      <alignment horizontal="right" vertical="center"/>
    </xf>
    <xf numFmtId="3" fontId="29" fillId="0" borderId="89" xfId="0" applyNumberFormat="1" applyFont="1" applyBorder="1" applyAlignment="1">
      <alignment horizontal="right"/>
    </xf>
    <xf numFmtId="3" fontId="29" fillId="0" borderId="156" xfId="0" applyNumberFormat="1" applyFont="1" applyBorder="1" applyAlignment="1">
      <alignment/>
    </xf>
    <xf numFmtId="3" fontId="29" fillId="0" borderId="86" xfId="0" applyNumberFormat="1" applyFont="1" applyBorder="1" applyAlignment="1">
      <alignment/>
    </xf>
    <xf numFmtId="0" fontId="49" fillId="0" borderId="105" xfId="0" applyFont="1" applyBorder="1" applyAlignment="1">
      <alignment vertical="center" wrapText="1"/>
    </xf>
    <xf numFmtId="3" fontId="49" fillId="0" borderId="90" xfId="0" applyNumberFormat="1" applyFont="1" applyFill="1" applyBorder="1" applyAlignment="1">
      <alignment vertical="center"/>
    </xf>
    <xf numFmtId="3" fontId="49" fillId="0" borderId="61" xfId="0" applyNumberFormat="1" applyFont="1" applyBorder="1" applyAlignment="1">
      <alignment vertical="center"/>
    </xf>
    <xf numFmtId="3" fontId="49" fillId="0" borderId="172" xfId="0" applyNumberFormat="1" applyFont="1" applyBorder="1" applyAlignment="1">
      <alignment vertical="center"/>
    </xf>
    <xf numFmtId="3" fontId="49" fillId="0" borderId="85" xfId="0" applyNumberFormat="1" applyFont="1" applyBorder="1" applyAlignment="1">
      <alignment vertical="center"/>
    </xf>
    <xf numFmtId="3" fontId="49" fillId="0" borderId="63" xfId="0" applyNumberFormat="1" applyFont="1" applyBorder="1" applyAlignment="1">
      <alignment vertical="center"/>
    </xf>
    <xf numFmtId="3" fontId="49" fillId="0" borderId="0" xfId="0" applyNumberFormat="1" applyFont="1" applyFill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3" fontId="49" fillId="0" borderId="85" xfId="0" applyNumberFormat="1" applyFont="1" applyFill="1" applyBorder="1" applyAlignment="1">
      <alignment vertical="center"/>
    </xf>
    <xf numFmtId="3" fontId="49" fillId="0" borderId="43" xfId="0" applyNumberFormat="1" applyFont="1" applyFill="1" applyBorder="1" applyAlignment="1">
      <alignment vertical="center"/>
    </xf>
    <xf numFmtId="3" fontId="0" fillId="0" borderId="0" xfId="0" applyNumberFormat="1" applyBorder="1" applyAlignment="1">
      <alignment/>
    </xf>
    <xf numFmtId="3" fontId="28" fillId="0" borderId="40" xfId="0" applyNumberFormat="1" applyFont="1" applyBorder="1" applyAlignment="1">
      <alignment horizontal="right" vertical="center"/>
    </xf>
    <xf numFmtId="3" fontId="28" fillId="0" borderId="118" xfId="0" applyNumberFormat="1" applyFont="1" applyBorder="1" applyAlignment="1">
      <alignment horizontal="right" vertical="center"/>
    </xf>
    <xf numFmtId="0" fontId="0" fillId="0" borderId="59" xfId="0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9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38" fillId="0" borderId="0" xfId="0" applyFont="1" applyBorder="1" applyAlignment="1">
      <alignment horizontal="right"/>
    </xf>
    <xf numFmtId="0" fontId="44" fillId="0" borderId="0" xfId="0" applyFont="1" applyBorder="1" applyAlignment="1">
      <alignment horizontal="center"/>
    </xf>
    <xf numFmtId="0" fontId="29" fillId="0" borderId="103" xfId="0" applyFont="1" applyBorder="1" applyAlignment="1">
      <alignment horizontal="center"/>
    </xf>
    <xf numFmtId="0" fontId="29" fillId="0" borderId="104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3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29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29" fillId="0" borderId="102" xfId="0" applyFont="1" applyBorder="1" applyAlignment="1">
      <alignment horizontal="center" vertical="center" wrapText="1"/>
    </xf>
    <xf numFmtId="0" fontId="29" fillId="0" borderId="166" xfId="0" applyFont="1" applyBorder="1" applyAlignment="1">
      <alignment horizontal="center" vertical="center" wrapText="1"/>
    </xf>
    <xf numFmtId="0" fontId="29" fillId="0" borderId="10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28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/>
    </xf>
    <xf numFmtId="0" fontId="29" fillId="0" borderId="13" xfId="0" applyFont="1" applyBorder="1" applyAlignment="1">
      <alignment vertical="center"/>
    </xf>
    <xf numFmtId="0" fontId="27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1" fillId="0" borderId="2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7" xfId="0" applyFont="1" applyBorder="1" applyAlignment="1">
      <alignment/>
    </xf>
    <xf numFmtId="0" fontId="23" fillId="0" borderId="27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23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39" fillId="0" borderId="0" xfId="0" applyFont="1" applyFill="1" applyBorder="1" applyAlignment="1">
      <alignment horizontal="justify" wrapText="1"/>
    </xf>
    <xf numFmtId="0" fontId="29" fillId="0" borderId="0" xfId="54" applyFont="1" applyBorder="1" applyAlignment="1" applyProtection="1">
      <alignment horizontal="center"/>
      <protection/>
    </xf>
    <xf numFmtId="0" fontId="29" fillId="0" borderId="13" xfId="54" applyFont="1" applyBorder="1" applyAlignment="1" applyProtection="1">
      <alignment horizontal="center"/>
      <protection/>
    </xf>
    <xf numFmtId="0" fontId="45" fillId="0" borderId="0" xfId="54" applyFont="1" applyBorder="1" applyAlignment="1" applyProtection="1">
      <alignment horizontal="center"/>
      <protection/>
    </xf>
    <xf numFmtId="0" fontId="46" fillId="0" borderId="0" xfId="54" applyFont="1" applyBorder="1" applyAlignment="1" applyProtection="1">
      <alignment horizontal="center"/>
      <protection/>
    </xf>
    <xf numFmtId="0" fontId="48" fillId="0" borderId="0" xfId="0" applyFont="1" applyBorder="1" applyAlignment="1">
      <alignment horizontal="right"/>
    </xf>
    <xf numFmtId="0" fontId="29" fillId="0" borderId="21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166" fontId="28" fillId="0" borderId="10" xfId="40" applyNumberFormat="1" applyFont="1" applyFill="1" applyBorder="1" applyAlignment="1" applyProtection="1">
      <alignment horizontal="center" vertical="center"/>
      <protection/>
    </xf>
    <xf numFmtId="166" fontId="28" fillId="0" borderId="11" xfId="40" applyNumberFormat="1" applyFont="1" applyFill="1" applyBorder="1" applyAlignment="1" applyProtection="1">
      <alignment horizontal="center" vertical="center"/>
      <protection/>
    </xf>
    <xf numFmtId="166" fontId="28" fillId="0" borderId="12" xfId="40" applyNumberFormat="1" applyFont="1" applyFill="1" applyBorder="1" applyAlignment="1" applyProtection="1">
      <alignment horizontal="center" vertical="center"/>
      <protection/>
    </xf>
    <xf numFmtId="166" fontId="27" fillId="0" borderId="13" xfId="4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1" fillId="0" borderId="0" xfId="0" applyFont="1" applyBorder="1" applyAlignment="1">
      <alignment horizontal="justify"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7" fillId="0" borderId="27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49" fillId="0" borderId="0" xfId="0" applyFont="1" applyFill="1" applyBorder="1" applyAlignment="1">
      <alignment horizontal="justify" vertical="center"/>
    </xf>
    <xf numFmtId="0" fontId="0" fillId="0" borderId="0" xfId="0" applyFill="1" applyBorder="1" applyAlignment="1">
      <alignment wrapText="1"/>
    </xf>
    <xf numFmtId="0" fontId="2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9" fillId="0" borderId="64" xfId="0" applyFont="1" applyBorder="1" applyAlignment="1">
      <alignment vertical="center"/>
    </xf>
    <xf numFmtId="0" fontId="29" fillId="0" borderId="129" xfId="0" applyFont="1" applyBorder="1" applyAlignment="1">
      <alignment vertical="center"/>
    </xf>
    <xf numFmtId="0" fontId="29" fillId="0" borderId="147" xfId="0" applyFont="1" applyBorder="1" applyAlignment="1">
      <alignment vertical="center"/>
    </xf>
    <xf numFmtId="0" fontId="28" fillId="0" borderId="109" xfId="0" applyFont="1" applyBorder="1" applyAlignment="1">
      <alignment vertical="center"/>
    </xf>
    <xf numFmtId="3" fontId="28" fillId="0" borderId="94" xfId="0" applyNumberFormat="1" applyFont="1" applyBorder="1" applyAlignment="1">
      <alignment horizontal="right" vertical="center"/>
    </xf>
    <xf numFmtId="0" fontId="28" fillId="0" borderId="122" xfId="0" applyFont="1" applyBorder="1" applyAlignment="1">
      <alignment vertical="center"/>
    </xf>
    <xf numFmtId="3" fontId="28" fillId="0" borderId="125" xfId="0" applyNumberFormat="1" applyFont="1" applyBorder="1" applyAlignment="1">
      <alignment horizontal="right" vertical="center"/>
    </xf>
    <xf numFmtId="0" fontId="27" fillId="0" borderId="174" xfId="0" applyFont="1" applyBorder="1" applyAlignment="1">
      <alignment horizontal="left" vertical="center" wrapText="1"/>
    </xf>
    <xf numFmtId="0" fontId="27" fillId="0" borderId="175" xfId="0" applyFont="1" applyBorder="1" applyAlignment="1">
      <alignment horizontal="left" vertical="center" wrapText="1"/>
    </xf>
    <xf numFmtId="3" fontId="27" fillId="0" borderId="176" xfId="0" applyNumberFormat="1" applyFont="1" applyBorder="1" applyAlignment="1">
      <alignment horizontal="right" vertical="center"/>
    </xf>
    <xf numFmtId="0" fontId="27" fillId="0" borderId="135" xfId="0" applyFont="1" applyBorder="1" applyAlignment="1">
      <alignment horizontal="left" vertical="center" wrapText="1"/>
    </xf>
    <xf numFmtId="3" fontId="28" fillId="0" borderId="109" xfId="0" applyNumberFormat="1" applyFont="1" applyBorder="1" applyAlignment="1">
      <alignment horizontal="center" vertical="center"/>
    </xf>
    <xf numFmtId="3" fontId="28" fillId="0" borderId="122" xfId="0" applyNumberFormat="1" applyFont="1" applyBorder="1" applyAlignment="1">
      <alignment horizontal="center" vertical="center"/>
    </xf>
    <xf numFmtId="3" fontId="27" fillId="0" borderId="83" xfId="0" applyNumberFormat="1" applyFont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imÓd7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162</xdr:row>
      <xdr:rowOff>38100</xdr:rowOff>
    </xdr:from>
    <xdr:to>
      <xdr:col>2</xdr:col>
      <xdr:colOff>180975</xdr:colOff>
      <xdr:row>163</xdr:row>
      <xdr:rowOff>76200</xdr:rowOff>
    </xdr:to>
    <xdr:sp>
      <xdr:nvSpPr>
        <xdr:cNvPr id="1" name="AutoShape 7"/>
        <xdr:cNvSpPr>
          <a:spLocks/>
        </xdr:cNvSpPr>
      </xdr:nvSpPr>
      <xdr:spPr>
        <a:xfrm>
          <a:off x="4448175" y="31041975"/>
          <a:ext cx="123825" cy="200025"/>
        </a:xfrm>
        <a:prstGeom prst="righ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kumentumok\intinormat200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</sheetNames>
    <sheetDataSet>
      <sheetData sheetId="0"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2">
          <cell r="G12">
            <v>0</v>
          </cell>
        </row>
        <row r="16">
          <cell r="G16">
            <v>0</v>
          </cell>
        </row>
        <row r="17">
          <cell r="G17">
            <v>0</v>
          </cell>
        </row>
        <row r="22">
          <cell r="G22">
            <v>0</v>
          </cell>
        </row>
        <row r="23">
          <cell r="G23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95">
          <cell r="G95">
            <v>0</v>
          </cell>
        </row>
        <row r="96">
          <cell r="G96">
            <v>0</v>
          </cell>
        </row>
        <row r="99">
          <cell r="G99">
            <v>0</v>
          </cell>
        </row>
        <row r="100">
          <cell r="G100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8">
          <cell r="G158">
            <v>0</v>
          </cell>
        </row>
        <row r="159">
          <cell r="G159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1">
          <cell r="G211">
            <v>0</v>
          </cell>
        </row>
        <row r="212">
          <cell r="G212">
            <v>0</v>
          </cell>
        </row>
        <row r="215">
          <cell r="G215">
            <v>0</v>
          </cell>
        </row>
        <row r="216">
          <cell r="G216">
            <v>0</v>
          </cell>
        </row>
        <row r="243">
          <cell r="G243">
            <v>0</v>
          </cell>
        </row>
        <row r="248">
          <cell r="G248">
            <v>0</v>
          </cell>
        </row>
        <row r="249">
          <cell r="G2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0">
      <selection activeCell="A29" sqref="A1:D29"/>
    </sheetView>
  </sheetViews>
  <sheetFormatPr defaultColWidth="9.140625" defaultRowHeight="12.75"/>
  <cols>
    <col min="1" max="1" width="48.7109375" style="0" customWidth="1"/>
    <col min="2" max="2" width="19.00390625" style="0" customWidth="1"/>
    <col min="3" max="3" width="38.421875" style="0" customWidth="1"/>
    <col min="4" max="4" width="21.140625" style="0" customWidth="1"/>
  </cols>
  <sheetData>
    <row r="1" ht="12.75">
      <c r="D1" s="1" t="s">
        <v>0</v>
      </c>
    </row>
    <row r="2" spans="1:4" s="2" customFormat="1" ht="15">
      <c r="A2" s="1174" t="s">
        <v>1</v>
      </c>
      <c r="B2" s="1174"/>
      <c r="C2" s="1174"/>
      <c r="D2" s="1174"/>
    </row>
    <row r="3" spans="1:4" s="2" customFormat="1" ht="15">
      <c r="A3" s="1174" t="s">
        <v>2</v>
      </c>
      <c r="B3" s="1174"/>
      <c r="C3" s="1174"/>
      <c r="D3" s="1174"/>
    </row>
    <row r="4" spans="1:4" ht="15.75">
      <c r="A4" s="1175" t="s">
        <v>3</v>
      </c>
      <c r="B4" s="1175"/>
      <c r="C4" s="1175" t="s">
        <v>4</v>
      </c>
      <c r="D4" s="1175"/>
    </row>
    <row r="5" spans="1:4" s="4" customFormat="1" ht="15.75">
      <c r="A5" s="3" t="s">
        <v>5</v>
      </c>
      <c r="B5" s="3" t="s">
        <v>6</v>
      </c>
      <c r="C5" s="3" t="s">
        <v>5</v>
      </c>
      <c r="D5" s="3" t="s">
        <v>6</v>
      </c>
    </row>
    <row r="6" spans="1:4" s="4" customFormat="1" ht="15">
      <c r="A6" s="5" t="s">
        <v>7</v>
      </c>
      <c r="B6" s="6">
        <f>'2_sz_ melléklet'!D6</f>
        <v>1470954</v>
      </c>
      <c r="C6" s="5" t="s">
        <v>8</v>
      </c>
      <c r="D6" s="7">
        <f>'1_a_sz_ melléklet'!D15</f>
        <v>3858877</v>
      </c>
    </row>
    <row r="7" spans="1:4" s="4" customFormat="1" ht="15">
      <c r="A7" s="5" t="s">
        <v>9</v>
      </c>
      <c r="B7" s="6">
        <f>'2_a_d_sz_ melléklet'!D10</f>
        <v>4573</v>
      </c>
      <c r="C7" s="5"/>
      <c r="D7" s="7"/>
    </row>
    <row r="8" spans="1:4" s="4" customFormat="1" ht="7.5" customHeight="1">
      <c r="A8" s="5"/>
      <c r="B8" s="6"/>
      <c r="C8" s="8"/>
      <c r="D8" s="9"/>
    </row>
    <row r="9" spans="1:4" s="4" customFormat="1" ht="25.5">
      <c r="A9" s="10" t="s">
        <v>10</v>
      </c>
      <c r="B9" s="6">
        <f>'2_sz_ melléklet'!D13</f>
        <v>2591678.137</v>
      </c>
      <c r="C9" s="5" t="s">
        <v>11</v>
      </c>
      <c r="D9" s="7">
        <f>'1_a_sz_ melléklet'!D22</f>
        <v>553658</v>
      </c>
    </row>
    <row r="10" spans="1:4" s="4" customFormat="1" ht="7.5" customHeight="1">
      <c r="A10" s="5"/>
      <c r="B10" s="6"/>
      <c r="C10" s="8"/>
      <c r="D10" s="7"/>
    </row>
    <row r="11" spans="1:4" s="4" customFormat="1" ht="25.5">
      <c r="A11" s="5" t="s">
        <v>12</v>
      </c>
      <c r="B11" s="6">
        <f>'2_sz_ melléklet'!D27</f>
        <v>184959</v>
      </c>
      <c r="C11" s="10" t="s">
        <v>13</v>
      </c>
      <c r="D11" s="7">
        <f>'1_a_sz_ melléklet'!D27</f>
        <v>110702</v>
      </c>
    </row>
    <row r="12" spans="1:4" s="4" customFormat="1" ht="15">
      <c r="A12" s="5" t="s">
        <v>14</v>
      </c>
      <c r="B12" s="6">
        <f>'2_i_j_sz_ mell_'!E73</f>
        <v>8063</v>
      </c>
      <c r="C12" s="10"/>
      <c r="D12" s="9"/>
    </row>
    <row r="13" spans="1:4" s="4" customFormat="1" ht="9.75" customHeight="1">
      <c r="A13" s="5"/>
      <c r="B13" s="6"/>
      <c r="C13" s="8"/>
      <c r="D13" s="9"/>
    </row>
    <row r="14" spans="1:4" s="4" customFormat="1" ht="46.5" customHeight="1">
      <c r="A14" s="10" t="s">
        <v>15</v>
      </c>
      <c r="B14" s="6">
        <f>'2_sz_ melléklet'!D34</f>
        <v>279516</v>
      </c>
      <c r="C14" s="10" t="s">
        <v>16</v>
      </c>
      <c r="D14" s="7">
        <f>'1_a_sz_ melléklet'!D32</f>
        <v>327908</v>
      </c>
    </row>
    <row r="15" spans="1:4" s="4" customFormat="1" ht="8.25" customHeight="1">
      <c r="A15" s="5"/>
      <c r="B15" s="6"/>
      <c r="C15" s="8"/>
      <c r="D15" s="7"/>
    </row>
    <row r="16" spans="1:4" s="4" customFormat="1" ht="15">
      <c r="A16" s="5" t="s">
        <v>17</v>
      </c>
      <c r="B16" s="6">
        <f>'2_sz_ melléklet'!D38</f>
        <v>178373</v>
      </c>
      <c r="C16" s="5" t="s">
        <v>18</v>
      </c>
      <c r="D16" s="7">
        <f>'1_a_sz_ melléklet'!D37</f>
        <v>6000</v>
      </c>
    </row>
    <row r="17" spans="1:4" s="4" customFormat="1" ht="8.25" customHeight="1">
      <c r="A17" s="8"/>
      <c r="B17" s="6"/>
      <c r="C17" s="8"/>
      <c r="D17" s="9"/>
    </row>
    <row r="18" spans="1:4" s="4" customFormat="1" ht="15">
      <c r="A18" s="8"/>
      <c r="B18" s="6"/>
      <c r="C18" s="5" t="s">
        <v>19</v>
      </c>
      <c r="D18" s="7">
        <f>D19+D20</f>
        <v>88361</v>
      </c>
    </row>
    <row r="19" spans="1:4" s="4" customFormat="1" ht="15">
      <c r="A19" s="8"/>
      <c r="B19" s="6"/>
      <c r="C19" s="8" t="s">
        <v>20</v>
      </c>
      <c r="D19" s="9">
        <f>'1_a_sz_ melléklet'!D40</f>
        <v>2600</v>
      </c>
    </row>
    <row r="20" spans="1:4" s="4" customFormat="1" ht="15">
      <c r="A20" s="8"/>
      <c r="B20" s="6"/>
      <c r="C20" s="8" t="s">
        <v>21</v>
      </c>
      <c r="D20" s="9">
        <f>'1_a_sz_ melléklet'!D41</f>
        <v>85761</v>
      </c>
    </row>
    <row r="21" spans="1:4" s="11" customFormat="1" ht="14.25">
      <c r="A21" s="8"/>
      <c r="B21" s="6"/>
      <c r="C21" s="8"/>
      <c r="D21" s="9"/>
    </row>
    <row r="22" spans="1:4" s="4" customFormat="1" ht="15">
      <c r="A22" s="12"/>
      <c r="B22" s="13"/>
      <c r="C22" s="12"/>
      <c r="D22" s="14"/>
    </row>
    <row r="23" spans="1:4" s="18" customFormat="1" ht="15.75">
      <c r="A23" s="15" t="s">
        <v>22</v>
      </c>
      <c r="B23" s="16">
        <f>B16+B14+B11+B9+B6</f>
        <v>4705480.137</v>
      </c>
      <c r="C23" s="15" t="s">
        <v>23</v>
      </c>
      <c r="D23" s="17">
        <f>D18+D14+D11+D9+D6+D16</f>
        <v>4945506</v>
      </c>
    </row>
    <row r="24" spans="1:4" ht="12.75">
      <c r="A24" s="19"/>
      <c r="B24" s="20"/>
      <c r="C24" s="19"/>
      <c r="D24" s="21"/>
    </row>
    <row r="25" spans="1:4" s="22" customFormat="1" ht="15">
      <c r="A25" s="5" t="s">
        <v>24</v>
      </c>
      <c r="B25" s="6">
        <f>B26+B27</f>
        <v>253754.8629999999</v>
      </c>
      <c r="C25" s="5" t="s">
        <v>25</v>
      </c>
      <c r="D25" s="7">
        <f>D26+D27</f>
        <v>13729</v>
      </c>
    </row>
    <row r="26" spans="1:4" s="22" customFormat="1" ht="15">
      <c r="A26" s="23" t="s">
        <v>26</v>
      </c>
      <c r="B26" s="13">
        <f>'2_sz_ melléklet'!D44</f>
        <v>227406.8629999999</v>
      </c>
      <c r="C26" s="23" t="s">
        <v>26</v>
      </c>
      <c r="D26" s="24">
        <f>'1_a_sz_ melléklet'!D47</f>
        <v>0</v>
      </c>
    </row>
    <row r="27" spans="1:4" s="22" customFormat="1" ht="15">
      <c r="A27" s="23" t="s">
        <v>27</v>
      </c>
      <c r="B27" s="13">
        <f>'2_sz_ melléklet'!D45</f>
        <v>26348</v>
      </c>
      <c r="C27" s="23" t="s">
        <v>28</v>
      </c>
      <c r="D27" s="24">
        <f>'1_a_sz_ melléklet'!D48</f>
        <v>13729</v>
      </c>
    </row>
    <row r="28" spans="1:4" ht="12.75">
      <c r="A28" s="12"/>
      <c r="B28" s="25"/>
      <c r="C28" s="12"/>
      <c r="D28" s="14"/>
    </row>
    <row r="29" spans="1:4" s="18" customFormat="1" ht="15.75">
      <c r="A29" s="15" t="s">
        <v>29</v>
      </c>
      <c r="B29" s="16">
        <f>B25+B23</f>
        <v>4959235</v>
      </c>
      <c r="C29" s="15" t="s">
        <v>30</v>
      </c>
      <c r="D29" s="17">
        <f>D23+D25</f>
        <v>4959235</v>
      </c>
    </row>
  </sheetData>
  <sheetProtection/>
  <mergeCells count="4">
    <mergeCell ref="A2:D2"/>
    <mergeCell ref="A3:D3"/>
    <mergeCell ref="A4:B4"/>
    <mergeCell ref="C4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Footer>&amp;RKészült:&amp;D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144"/>
  <sheetViews>
    <sheetView zoomScalePageLayoutView="0" workbookViewId="0" topLeftCell="A136">
      <selection activeCell="A144" sqref="A1:B144"/>
    </sheetView>
  </sheetViews>
  <sheetFormatPr defaultColWidth="9.140625" defaultRowHeight="12.75"/>
  <cols>
    <col min="1" max="1" width="65.28125" style="0" customWidth="1"/>
    <col min="2" max="2" width="19.00390625" style="0" customWidth="1"/>
    <col min="3" max="3" width="13.8515625" style="0" customWidth="1"/>
  </cols>
  <sheetData>
    <row r="1" ht="12.75">
      <c r="B1" s="462" t="s">
        <v>1060</v>
      </c>
    </row>
    <row r="2" ht="9" customHeight="1">
      <c r="B2" s="462"/>
    </row>
    <row r="3" spans="1:2" s="770" customFormat="1" ht="15.75">
      <c r="A3" s="1176" t="s">
        <v>1061</v>
      </c>
      <c r="B3" s="1176"/>
    </row>
    <row r="4" spans="1:2" ht="11.25" customHeight="1">
      <c r="A4" s="27"/>
      <c r="B4" s="27"/>
    </row>
    <row r="5" ht="13.5" thickBot="1">
      <c r="B5" s="369" t="s">
        <v>33</v>
      </c>
    </row>
    <row r="6" spans="1:2" ht="26.25" thickBot="1">
      <c r="A6" s="1149" t="s">
        <v>357</v>
      </c>
      <c r="B6" s="1150" t="s">
        <v>178</v>
      </c>
    </row>
    <row r="7" spans="1:2" ht="12.75">
      <c r="A7" s="1147" t="s">
        <v>1062</v>
      </c>
      <c r="B7" s="1148">
        <f>17389*1.057</f>
        <v>18380.173</v>
      </c>
    </row>
    <row r="8" spans="1:2" ht="15.75" customHeight="1">
      <c r="A8" s="1038" t="s">
        <v>822</v>
      </c>
      <c r="B8" s="1037">
        <f>17.389*500</f>
        <v>8694.5</v>
      </c>
    </row>
    <row r="9" spans="1:2" ht="15.75" customHeight="1">
      <c r="A9" s="1040" t="s">
        <v>823</v>
      </c>
      <c r="B9" s="1037">
        <f>12*300</f>
        <v>3600</v>
      </c>
    </row>
    <row r="10" spans="1:2" ht="16.5" customHeight="1">
      <c r="A10" s="1036" t="s">
        <v>1063</v>
      </c>
      <c r="B10" s="1037">
        <f>16000*2</f>
        <v>32000</v>
      </c>
    </row>
    <row r="11" spans="1:2" ht="18" customHeight="1">
      <c r="A11" s="1146" t="s">
        <v>1064</v>
      </c>
      <c r="B11" s="1145">
        <f>56*540.15</f>
        <v>30248.399999999998</v>
      </c>
    </row>
    <row r="12" spans="1:2" ht="15" customHeight="1">
      <c r="A12" s="1146" t="s">
        <v>1065</v>
      </c>
      <c r="B12" s="1145">
        <f>19*65</f>
        <v>1235</v>
      </c>
    </row>
    <row r="13" spans="1:2" ht="24" customHeight="1">
      <c r="A13" s="1039" t="s">
        <v>835</v>
      </c>
      <c r="B13" s="1142">
        <v>30770</v>
      </c>
    </row>
    <row r="14" spans="1:2" ht="24" customHeight="1">
      <c r="A14" s="1039" t="s">
        <v>836</v>
      </c>
      <c r="B14" s="1142">
        <v>37230</v>
      </c>
    </row>
    <row r="15" spans="1:2" ht="24" customHeight="1">
      <c r="A15" s="1039" t="s">
        <v>837</v>
      </c>
      <c r="B15" s="1142">
        <v>30903</v>
      </c>
    </row>
    <row r="16" spans="1:2" ht="24" customHeight="1">
      <c r="A16" s="1040" t="s">
        <v>846</v>
      </c>
      <c r="B16" s="1037">
        <f>22610</f>
        <v>22610</v>
      </c>
    </row>
    <row r="17" spans="1:2" ht="24" customHeight="1">
      <c r="A17" s="1040" t="s">
        <v>847</v>
      </c>
      <c r="B17" s="1037">
        <v>14450</v>
      </c>
    </row>
    <row r="18" spans="1:2" ht="24" customHeight="1">
      <c r="A18" s="1040" t="s">
        <v>848</v>
      </c>
      <c r="B18" s="1037">
        <v>21760</v>
      </c>
    </row>
    <row r="19" spans="1:2" ht="24" customHeight="1">
      <c r="A19" s="1040" t="s">
        <v>849</v>
      </c>
      <c r="B19" s="1037">
        <v>11007</v>
      </c>
    </row>
    <row r="20" spans="1:2" ht="24" customHeight="1">
      <c r="A20" s="1040" t="s">
        <v>850</v>
      </c>
      <c r="B20" s="1037">
        <v>6350</v>
      </c>
    </row>
    <row r="21" spans="1:2" ht="24" customHeight="1">
      <c r="A21" s="1040" t="s">
        <v>851</v>
      </c>
      <c r="B21" s="1037">
        <v>9906</v>
      </c>
    </row>
    <row r="22" spans="1:2" ht="24" customHeight="1">
      <c r="A22" s="1036" t="s">
        <v>866</v>
      </c>
      <c r="B22" s="1037">
        <v>34850</v>
      </c>
    </row>
    <row r="23" spans="1:2" ht="25.5" customHeight="1">
      <c r="A23" s="1036" t="s">
        <v>867</v>
      </c>
      <c r="B23" s="1037">
        <v>48620</v>
      </c>
    </row>
    <row r="24" spans="1:2" ht="24" customHeight="1">
      <c r="A24" s="1036" t="s">
        <v>868</v>
      </c>
      <c r="B24" s="1037">
        <v>16172</v>
      </c>
    </row>
    <row r="25" spans="1:2" ht="18.75" customHeight="1">
      <c r="A25" s="1036" t="s">
        <v>869</v>
      </c>
      <c r="B25" s="1037">
        <v>9821</v>
      </c>
    </row>
    <row r="26" spans="1:2" ht="18.75" customHeight="1">
      <c r="A26" s="1036" t="s">
        <v>870</v>
      </c>
      <c r="B26" s="1037">
        <v>13123</v>
      </c>
    </row>
    <row r="27" spans="1:2" ht="24" customHeight="1">
      <c r="A27" s="1039" t="s">
        <v>880</v>
      </c>
      <c r="B27" s="1037">
        <v>320</v>
      </c>
    </row>
    <row r="28" spans="1:2" ht="24" customHeight="1">
      <c r="A28" s="1039" t="s">
        <v>881</v>
      </c>
      <c r="B28" s="1037">
        <v>159</v>
      </c>
    </row>
    <row r="29" spans="1:2" ht="24" customHeight="1">
      <c r="A29" s="1039" t="s">
        <v>882</v>
      </c>
      <c r="B29" s="1037">
        <v>1024</v>
      </c>
    </row>
    <row r="30" spans="1:2" ht="24" customHeight="1">
      <c r="A30" s="1039" t="s">
        <v>883</v>
      </c>
      <c r="B30" s="1037">
        <v>382</v>
      </c>
    </row>
    <row r="31" spans="1:2" ht="24" customHeight="1">
      <c r="A31" s="1039" t="s">
        <v>884</v>
      </c>
      <c r="B31" s="1037">
        <v>3584</v>
      </c>
    </row>
    <row r="32" spans="1:2" ht="24" customHeight="1">
      <c r="A32" s="1039" t="s">
        <v>885</v>
      </c>
      <c r="B32" s="1037">
        <v>1593</v>
      </c>
    </row>
    <row r="33" spans="1:2" ht="24" customHeight="1">
      <c r="A33" s="1039" t="s">
        <v>886</v>
      </c>
      <c r="B33" s="1037">
        <v>1147</v>
      </c>
    </row>
    <row r="34" spans="1:2" ht="24" customHeight="1" thickBot="1">
      <c r="A34" s="1144" t="s">
        <v>887</v>
      </c>
      <c r="B34" s="1140">
        <v>2592</v>
      </c>
    </row>
    <row r="35" spans="1:2" ht="24" customHeight="1">
      <c r="A35" s="37"/>
      <c r="B35" s="72"/>
    </row>
    <row r="36" spans="1:2" ht="15.75" customHeight="1">
      <c r="A36" s="1186">
        <v>2</v>
      </c>
      <c r="B36" s="1186"/>
    </row>
    <row r="37" ht="15.75" customHeight="1">
      <c r="B37" s="462" t="s">
        <v>1060</v>
      </c>
    </row>
    <row r="38" ht="9.75" customHeight="1"/>
    <row r="39" spans="1:2" ht="16.5" customHeight="1">
      <c r="A39" s="1176" t="s">
        <v>1061</v>
      </c>
      <c r="B39" s="1176"/>
    </row>
    <row r="40" spans="1:2" ht="13.5" customHeight="1">
      <c r="A40" s="27"/>
      <c r="B40" s="27"/>
    </row>
    <row r="41" ht="12" customHeight="1" thickBot="1">
      <c r="B41" s="369" t="s">
        <v>33</v>
      </c>
    </row>
    <row r="42" spans="1:2" ht="24" customHeight="1" thickBot="1">
      <c r="A42" s="1149" t="s">
        <v>357</v>
      </c>
      <c r="B42" s="1152" t="s">
        <v>178</v>
      </c>
    </row>
    <row r="43" spans="1:2" ht="18" customHeight="1">
      <c r="A43" s="1151" t="s">
        <v>895</v>
      </c>
      <c r="B43" s="1148">
        <v>105740</v>
      </c>
    </row>
    <row r="44" spans="1:2" ht="16.5" customHeight="1">
      <c r="A44" s="1038" t="s">
        <v>896</v>
      </c>
      <c r="B44" s="1037">
        <v>53933</v>
      </c>
    </row>
    <row r="45" spans="1:2" ht="16.5" customHeight="1">
      <c r="A45" s="1038" t="s">
        <v>897</v>
      </c>
      <c r="B45" s="1037">
        <v>95710</v>
      </c>
    </row>
    <row r="46" spans="1:2" ht="16.5" customHeight="1">
      <c r="A46" s="1038" t="s">
        <v>898</v>
      </c>
      <c r="B46" s="1037">
        <v>20320</v>
      </c>
    </row>
    <row r="47" spans="1:2" ht="16.5" customHeight="1">
      <c r="A47" s="1038" t="s">
        <v>899</v>
      </c>
      <c r="B47" s="1037">
        <v>26501</v>
      </c>
    </row>
    <row r="48" spans="1:2" ht="16.5" customHeight="1">
      <c r="A48" s="1039" t="s">
        <v>903</v>
      </c>
      <c r="B48" s="1037">
        <f>38420</f>
        <v>38420</v>
      </c>
    </row>
    <row r="49" spans="1:2" ht="15" customHeight="1">
      <c r="A49" s="1039" t="s">
        <v>904</v>
      </c>
      <c r="B49" s="1037">
        <v>3910</v>
      </c>
    </row>
    <row r="50" spans="1:2" ht="15.75" customHeight="1">
      <c r="A50" s="1039" t="s">
        <v>905</v>
      </c>
      <c r="B50" s="1037">
        <f>25061-1778</f>
        <v>23283</v>
      </c>
    </row>
    <row r="51" spans="1:2" ht="18.75" customHeight="1">
      <c r="A51" s="1038" t="s">
        <v>907</v>
      </c>
      <c r="B51" s="1037">
        <v>5627</v>
      </c>
    </row>
    <row r="52" spans="1:2" s="661" customFormat="1" ht="18" customHeight="1">
      <c r="A52" s="1038" t="s">
        <v>908</v>
      </c>
      <c r="B52" s="1037">
        <v>2609</v>
      </c>
    </row>
    <row r="53" spans="1:2" ht="17.25" customHeight="1">
      <c r="A53" s="1038" t="s">
        <v>909</v>
      </c>
      <c r="B53" s="1037">
        <v>672</v>
      </c>
    </row>
    <row r="54" spans="1:2" ht="18" customHeight="1">
      <c r="A54" s="1038" t="s">
        <v>910</v>
      </c>
      <c r="B54" s="1037">
        <v>671</v>
      </c>
    </row>
    <row r="55" spans="1:2" ht="16.5" customHeight="1">
      <c r="A55" s="1036" t="s">
        <v>911</v>
      </c>
      <c r="B55" s="1037">
        <v>4809</v>
      </c>
    </row>
    <row r="56" spans="1:2" ht="16.5" customHeight="1">
      <c r="A56" s="1038" t="s">
        <v>912</v>
      </c>
      <c r="B56" s="1037">
        <v>2177</v>
      </c>
    </row>
    <row r="57" spans="1:2" ht="16.5" customHeight="1">
      <c r="A57" s="1036" t="s">
        <v>913</v>
      </c>
      <c r="B57" s="1037">
        <v>2494</v>
      </c>
    </row>
    <row r="58" spans="1:2" ht="16.5" customHeight="1">
      <c r="A58" s="1036" t="s">
        <v>914</v>
      </c>
      <c r="B58" s="1037">
        <v>1244</v>
      </c>
    </row>
    <row r="59" spans="1:2" ht="16.5" customHeight="1">
      <c r="A59" s="1036" t="s">
        <v>915</v>
      </c>
      <c r="B59" s="1037">
        <v>1882</v>
      </c>
    </row>
    <row r="60" spans="1:2" ht="16.5" customHeight="1">
      <c r="A60" s="1036" t="s">
        <v>916</v>
      </c>
      <c r="B60" s="1037">
        <v>742</v>
      </c>
    </row>
    <row r="61" spans="1:2" ht="16.5" customHeight="1">
      <c r="A61" s="1036" t="s">
        <v>917</v>
      </c>
      <c r="B61" s="1037">
        <v>96</v>
      </c>
    </row>
    <row r="62" spans="1:2" ht="16.5" customHeight="1">
      <c r="A62" s="1040" t="s">
        <v>924</v>
      </c>
      <c r="B62" s="1037">
        <v>8840</v>
      </c>
    </row>
    <row r="63" spans="1:2" ht="16.5" customHeight="1">
      <c r="A63" s="1141" t="s">
        <v>925</v>
      </c>
      <c r="B63" s="1037">
        <v>1870</v>
      </c>
    </row>
    <row r="64" spans="1:2" ht="16.5" customHeight="1">
      <c r="A64" s="1141" t="s">
        <v>926</v>
      </c>
      <c r="B64" s="1037">
        <v>4403</v>
      </c>
    </row>
    <row r="65" spans="1:2" ht="16.5" customHeight="1">
      <c r="A65" s="1141" t="s">
        <v>927</v>
      </c>
      <c r="B65" s="1037">
        <v>931</v>
      </c>
    </row>
    <row r="66" spans="1:2" ht="16.5" customHeight="1">
      <c r="A66" s="1040" t="s">
        <v>928</v>
      </c>
      <c r="B66" s="1037">
        <v>8364</v>
      </c>
    </row>
    <row r="67" spans="1:2" ht="16.5" customHeight="1">
      <c r="A67" s="1040" t="s">
        <v>929</v>
      </c>
      <c r="B67" s="1037">
        <v>3977</v>
      </c>
    </row>
    <row r="68" spans="1:2" ht="15.75" customHeight="1">
      <c r="A68" s="1040" t="s">
        <v>930</v>
      </c>
      <c r="B68" s="1037">
        <v>1840</v>
      </c>
    </row>
    <row r="69" spans="1:2" ht="15.75" customHeight="1">
      <c r="A69" s="1040" t="s">
        <v>931</v>
      </c>
      <c r="B69" s="1037">
        <v>874</v>
      </c>
    </row>
    <row r="70" spans="1:2" ht="17.25" customHeight="1">
      <c r="A70" s="1036" t="s">
        <v>932</v>
      </c>
      <c r="B70" s="1037">
        <v>6290</v>
      </c>
    </row>
    <row r="71" spans="1:2" ht="16.5" customHeight="1">
      <c r="A71" s="1036" t="s">
        <v>933</v>
      </c>
      <c r="B71" s="1037">
        <v>3133</v>
      </c>
    </row>
    <row r="72" spans="1:2" ht="16.5" customHeight="1">
      <c r="A72" s="1038" t="s">
        <v>934</v>
      </c>
      <c r="B72" s="1037">
        <v>8928</v>
      </c>
    </row>
    <row r="73" spans="1:2" ht="16.5" customHeight="1">
      <c r="A73" s="1038" t="s">
        <v>935</v>
      </c>
      <c r="B73" s="1142">
        <f>177*72*4/12</f>
        <v>4248</v>
      </c>
    </row>
    <row r="74" spans="1:2" ht="16.5" customHeight="1">
      <c r="A74" s="1036" t="s">
        <v>937</v>
      </c>
      <c r="B74" s="1037">
        <v>6120</v>
      </c>
    </row>
    <row r="75" spans="1:2" ht="16.5" customHeight="1">
      <c r="A75" s="1036" t="s">
        <v>938</v>
      </c>
      <c r="B75" s="1037">
        <v>1530</v>
      </c>
    </row>
    <row r="76" spans="1:2" ht="16.5" customHeight="1">
      <c r="A76" s="1036" t="s">
        <v>939</v>
      </c>
      <c r="B76" s="1037">
        <v>2964</v>
      </c>
    </row>
    <row r="77" spans="1:2" ht="16.5" customHeight="1" thickBot="1">
      <c r="A77" s="1143" t="s">
        <v>940</v>
      </c>
      <c r="B77" s="1140">
        <v>677</v>
      </c>
    </row>
    <row r="78" spans="1:2" ht="16.5" customHeight="1">
      <c r="A78" s="1186">
        <v>3</v>
      </c>
      <c r="B78" s="1186"/>
    </row>
    <row r="79" ht="16.5" customHeight="1">
      <c r="B79" s="462" t="s">
        <v>1060</v>
      </c>
    </row>
    <row r="80" ht="16.5" customHeight="1"/>
    <row r="81" spans="1:2" ht="16.5" customHeight="1">
      <c r="A81" s="1176" t="s">
        <v>1061</v>
      </c>
      <c r="B81" s="1176"/>
    </row>
    <row r="82" spans="1:2" ht="16.5" customHeight="1">
      <c r="A82" s="27"/>
      <c r="B82" s="27"/>
    </row>
    <row r="83" ht="16.5" customHeight="1">
      <c r="B83" s="369" t="s">
        <v>33</v>
      </c>
    </row>
    <row r="84" spans="1:2" ht="25.5" customHeight="1">
      <c r="A84" s="1034" t="s">
        <v>357</v>
      </c>
      <c r="B84" s="1035" t="s">
        <v>178</v>
      </c>
    </row>
    <row r="85" spans="1:2" ht="16.5" customHeight="1">
      <c r="A85" s="1036" t="s">
        <v>943</v>
      </c>
      <c r="B85" s="1037">
        <f>10678-8914</f>
        <v>1764</v>
      </c>
    </row>
    <row r="86" spans="1:2" ht="16.5" customHeight="1">
      <c r="A86" s="1036" t="s">
        <v>944</v>
      </c>
      <c r="B86" s="1037">
        <f>5213-4624</f>
        <v>589</v>
      </c>
    </row>
    <row r="87" spans="1:2" ht="16.5" customHeight="1">
      <c r="A87" s="1038" t="s">
        <v>945</v>
      </c>
      <c r="B87" s="1037">
        <v>10855</v>
      </c>
    </row>
    <row r="88" spans="1:2" ht="16.5" customHeight="1">
      <c r="A88" s="1038" t="s">
        <v>946</v>
      </c>
      <c r="B88" s="1037">
        <v>17745</v>
      </c>
    </row>
    <row r="89" spans="1:2" ht="16.5" customHeight="1">
      <c r="A89" s="1038" t="s">
        <v>948</v>
      </c>
      <c r="B89" s="1037">
        <v>4225</v>
      </c>
    </row>
    <row r="90" spans="1:2" ht="16.5" customHeight="1">
      <c r="A90" s="1038" t="s">
        <v>949</v>
      </c>
      <c r="B90" s="1037">
        <v>910</v>
      </c>
    </row>
    <row r="91" spans="1:2" ht="16.5" customHeight="1">
      <c r="A91" s="1038" t="s">
        <v>950</v>
      </c>
      <c r="B91" s="1037">
        <v>2990</v>
      </c>
    </row>
    <row r="92" spans="1:2" ht="16.5" customHeight="1">
      <c r="A92" s="1039" t="s">
        <v>951</v>
      </c>
      <c r="B92" s="1037">
        <v>660</v>
      </c>
    </row>
    <row r="93" spans="1:2" ht="16.5" customHeight="1">
      <c r="A93" s="1036" t="s">
        <v>962</v>
      </c>
      <c r="B93" s="1037">
        <v>10812</v>
      </c>
    </row>
    <row r="94" spans="1:2" ht="16.5" customHeight="1">
      <c r="A94" s="1036" t="s">
        <v>963</v>
      </c>
      <c r="B94" s="1037">
        <v>5556</v>
      </c>
    </row>
    <row r="95" spans="1:2" ht="16.5" customHeight="1">
      <c r="A95" s="1036" t="s">
        <v>965</v>
      </c>
      <c r="B95" s="1037">
        <v>1620</v>
      </c>
    </row>
    <row r="96" spans="1:2" ht="16.5" customHeight="1">
      <c r="A96" s="1036" t="s">
        <v>966</v>
      </c>
      <c r="B96" s="1037">
        <v>630</v>
      </c>
    </row>
    <row r="97" spans="1:2" ht="16.5" customHeight="1">
      <c r="A97" s="1036" t="s">
        <v>967</v>
      </c>
      <c r="B97" s="1037">
        <v>2070</v>
      </c>
    </row>
    <row r="98" spans="1:2" ht="16.5" customHeight="1">
      <c r="A98" s="1038" t="s">
        <v>968</v>
      </c>
      <c r="B98" s="1037">
        <v>728</v>
      </c>
    </row>
    <row r="99" spans="1:2" ht="16.5" customHeight="1">
      <c r="A99" s="1038" t="s">
        <v>969</v>
      </c>
      <c r="B99" s="1037">
        <v>613</v>
      </c>
    </row>
    <row r="100" spans="1:2" ht="16.5" customHeight="1">
      <c r="A100" s="1038" t="s">
        <v>970</v>
      </c>
      <c r="B100" s="1037">
        <v>713</v>
      </c>
    </row>
    <row r="101" spans="1:2" ht="16.5" customHeight="1">
      <c r="A101" s="1040" t="s">
        <v>971</v>
      </c>
      <c r="B101" s="1037">
        <f>1061*17.389</f>
        <v>18449.729</v>
      </c>
    </row>
    <row r="102" spans="1:2" ht="21" customHeight="1">
      <c r="A102" s="1036" t="s">
        <v>972</v>
      </c>
      <c r="B102" s="1037">
        <v>151</v>
      </c>
    </row>
    <row r="103" spans="1:2" ht="16.5" customHeight="1">
      <c r="A103" s="1038" t="s">
        <v>973</v>
      </c>
      <c r="B103" s="1037"/>
    </row>
    <row r="104" spans="1:2" ht="16.5" customHeight="1">
      <c r="A104" s="1036" t="s">
        <v>974</v>
      </c>
      <c r="B104" s="1037">
        <v>3300</v>
      </c>
    </row>
    <row r="105" spans="1:2" ht="17.25" customHeight="1">
      <c r="A105" s="1038" t="s">
        <v>975</v>
      </c>
      <c r="B105" s="1041">
        <v>12774</v>
      </c>
    </row>
    <row r="106" spans="1:2" ht="17.25" customHeight="1">
      <c r="A106" s="1038" t="s">
        <v>976</v>
      </c>
      <c r="B106" s="1041">
        <v>12133</v>
      </c>
    </row>
    <row r="107" spans="1:2" ht="16.5" customHeight="1">
      <c r="A107" s="1038" t="s">
        <v>977</v>
      </c>
      <c r="B107" s="1041">
        <v>3146</v>
      </c>
    </row>
    <row r="108" spans="1:2" ht="16.5" customHeight="1">
      <c r="A108" s="1038" t="s">
        <v>978</v>
      </c>
      <c r="B108" s="1041">
        <v>4410</v>
      </c>
    </row>
    <row r="109" spans="1:2" ht="16.5" customHeight="1">
      <c r="A109" s="1038" t="s">
        <v>979</v>
      </c>
      <c r="B109" s="1037">
        <v>116680</v>
      </c>
    </row>
    <row r="110" spans="1:2" ht="24.75" customHeight="1">
      <c r="A110" s="1042" t="s">
        <v>984</v>
      </c>
      <c r="B110" s="1037">
        <v>6374</v>
      </c>
    </row>
    <row r="111" spans="1:2" ht="26.25" customHeight="1">
      <c r="A111" s="1042" t="s">
        <v>985</v>
      </c>
      <c r="B111" s="1037">
        <v>7182</v>
      </c>
    </row>
    <row r="112" spans="1:2" ht="21" customHeight="1">
      <c r="A112" s="1042" t="s">
        <v>986</v>
      </c>
      <c r="B112" s="1037">
        <v>640</v>
      </c>
    </row>
    <row r="113" spans="1:2" ht="16.5" customHeight="1">
      <c r="A113" s="1038" t="s">
        <v>992</v>
      </c>
      <c r="B113" s="1037">
        <v>12270</v>
      </c>
    </row>
    <row r="114" spans="1:2" ht="16.5" customHeight="1">
      <c r="A114" s="1036" t="s">
        <v>1003</v>
      </c>
      <c r="B114" s="1037">
        <f>1704+1100-29</f>
        <v>2775</v>
      </c>
    </row>
    <row r="115" spans="1:2" ht="16.5" customHeight="1">
      <c r="A115" s="1089" t="s">
        <v>1006</v>
      </c>
      <c r="B115" s="1090">
        <f>17.389*515</f>
        <v>8955.335</v>
      </c>
    </row>
    <row r="116" spans="1:2" ht="16.5" customHeight="1">
      <c r="A116" s="1088" t="s">
        <v>1221</v>
      </c>
      <c r="B116" s="1087">
        <v>2637</v>
      </c>
    </row>
    <row r="117" spans="1:2" ht="16.5" customHeight="1" thickBot="1">
      <c r="A117" s="1043" t="s">
        <v>1222</v>
      </c>
      <c r="B117" s="1044">
        <v>972</v>
      </c>
    </row>
    <row r="118" spans="1:2" ht="16.5" customHeight="1" thickBot="1">
      <c r="A118" s="1045" t="s">
        <v>1066</v>
      </c>
      <c r="B118" s="1046">
        <f>SUM(B7:B117)</f>
        <v>1143689.137</v>
      </c>
    </row>
    <row r="119" spans="1:2" ht="16.5" customHeight="1">
      <c r="A119" s="1176"/>
      <c r="B119" s="1176"/>
    </row>
    <row r="120" spans="1:2" ht="16.5" customHeight="1">
      <c r="A120" s="37"/>
      <c r="B120" s="462"/>
    </row>
    <row r="121" ht="16.5" customHeight="1">
      <c r="B121" s="462" t="s">
        <v>1067</v>
      </c>
    </row>
    <row r="122" ht="16.5" customHeight="1"/>
    <row r="123" spans="1:2" ht="16.5" customHeight="1">
      <c r="A123" s="1176" t="s">
        <v>1068</v>
      </c>
      <c r="B123" s="1176"/>
    </row>
    <row r="124" ht="16.5" customHeight="1"/>
    <row r="125" ht="16.5" customHeight="1" thickBot="1">
      <c r="B125" s="369" t="s">
        <v>33</v>
      </c>
    </row>
    <row r="126" spans="1:2" ht="25.5" customHeight="1" thickBot="1">
      <c r="A126" s="1034" t="s">
        <v>357</v>
      </c>
      <c r="B126" s="1035" t="s">
        <v>178</v>
      </c>
    </row>
    <row r="127" spans="1:2" ht="16.5" customHeight="1">
      <c r="A127" s="1132" t="s">
        <v>1069</v>
      </c>
      <c r="B127" s="1133"/>
    </row>
    <row r="128" spans="1:2" ht="16.5" customHeight="1">
      <c r="A128" s="1010" t="s">
        <v>1070</v>
      </c>
      <c r="B128" s="1134"/>
    </row>
    <row r="129" spans="1:2" ht="16.5" customHeight="1">
      <c r="A129" s="1010" t="s">
        <v>1071</v>
      </c>
      <c r="B129" s="1134">
        <f>8*970</f>
        <v>7760</v>
      </c>
    </row>
    <row r="130" spans="1:2" ht="24" customHeight="1">
      <c r="A130" s="1135" t="s">
        <v>1072</v>
      </c>
      <c r="B130" s="1134">
        <v>3502</v>
      </c>
    </row>
    <row r="131" spans="1:2" ht="24" customHeight="1">
      <c r="A131" s="1135" t="s">
        <v>1013</v>
      </c>
      <c r="B131" s="1134">
        <f>707+479-4</f>
        <v>1182</v>
      </c>
    </row>
    <row r="132" spans="1:2" ht="24" customHeight="1" thickBot="1">
      <c r="A132" s="1010" t="s">
        <v>1073</v>
      </c>
      <c r="B132" s="1134">
        <v>150</v>
      </c>
    </row>
    <row r="133" spans="1:2" ht="24" customHeight="1" thickBot="1">
      <c r="A133" s="1136" t="s">
        <v>449</v>
      </c>
      <c r="B133" s="1137">
        <f>SUM(B128:B132)</f>
        <v>12594</v>
      </c>
    </row>
    <row r="134" spans="1:2" ht="24" customHeight="1">
      <c r="A134" s="1138" t="s">
        <v>1014</v>
      </c>
      <c r="B134" s="1037"/>
    </row>
    <row r="135" spans="1:2" ht="24" customHeight="1">
      <c r="A135" s="1036" t="s">
        <v>1074</v>
      </c>
      <c r="B135" s="1037"/>
    </row>
    <row r="136" spans="1:2" ht="24" customHeight="1">
      <c r="A136" s="1036" t="s">
        <v>1075</v>
      </c>
      <c r="B136" s="1037">
        <v>259313</v>
      </c>
    </row>
    <row r="137" spans="1:2" ht="24" customHeight="1">
      <c r="A137" s="1036" t="s">
        <v>506</v>
      </c>
      <c r="B137" s="1037"/>
    </row>
    <row r="138" spans="1:2" ht="24" customHeight="1">
      <c r="A138" s="1036" t="s">
        <v>1076</v>
      </c>
      <c r="B138" s="1037">
        <v>5304</v>
      </c>
    </row>
    <row r="139" spans="1:2" ht="24" customHeight="1">
      <c r="A139" s="1036" t="s">
        <v>1077</v>
      </c>
      <c r="B139" s="1037">
        <v>12024</v>
      </c>
    </row>
    <row r="140" spans="1:2" ht="24" customHeight="1">
      <c r="A140" s="1036" t="s">
        <v>1019</v>
      </c>
      <c r="B140" s="1037"/>
    </row>
    <row r="141" spans="1:2" ht="24" customHeight="1">
      <c r="A141" s="1036" t="s">
        <v>1078</v>
      </c>
      <c r="B141" s="1037">
        <f>3*500</f>
        <v>1500</v>
      </c>
    </row>
    <row r="142" spans="1:2" ht="24" customHeight="1">
      <c r="A142" s="1036" t="s">
        <v>1079</v>
      </c>
      <c r="B142" s="1037">
        <v>0</v>
      </c>
    </row>
    <row r="143" spans="1:2" ht="24" customHeight="1">
      <c r="A143" s="1138" t="s">
        <v>449</v>
      </c>
      <c r="B143" s="1037">
        <f>SUM(B136:B142)</f>
        <v>278141</v>
      </c>
    </row>
    <row r="144" spans="1:2" ht="24" customHeight="1" thickBot="1">
      <c r="A144" s="1139" t="s">
        <v>1080</v>
      </c>
      <c r="B144" s="1140">
        <f>B143+B133</f>
        <v>290735</v>
      </c>
    </row>
    <row r="145" ht="15.75" customHeight="1"/>
    <row r="146" ht="15.75" customHeight="1"/>
    <row r="154" ht="19.5" customHeight="1"/>
    <row r="155" ht="21" customHeight="1"/>
    <row r="156" ht="18" customHeight="1"/>
    <row r="157" ht="16.5" customHeight="1"/>
    <row r="158" ht="15" customHeight="1"/>
    <row r="159" ht="18" customHeight="1"/>
    <row r="160" ht="19.5" customHeight="1"/>
  </sheetData>
  <sheetProtection/>
  <mergeCells count="7">
    <mergeCell ref="A123:B123"/>
    <mergeCell ref="A3:B3"/>
    <mergeCell ref="A36:B36"/>
    <mergeCell ref="A39:B39"/>
    <mergeCell ref="A78:B78"/>
    <mergeCell ref="A81:B81"/>
    <mergeCell ref="A119:B119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9"/>
  <sheetViews>
    <sheetView zoomScalePageLayoutView="0" workbookViewId="0" topLeftCell="A1">
      <selection activeCell="A143" sqref="A1:D143"/>
    </sheetView>
  </sheetViews>
  <sheetFormatPr defaultColWidth="9.140625" defaultRowHeight="12.75"/>
  <cols>
    <col min="1" max="1" width="48.28125" style="0" customWidth="1"/>
    <col min="2" max="2" width="12.140625" style="0" customWidth="1"/>
    <col min="3" max="3" width="13.57421875" style="0" customWidth="1"/>
    <col min="4" max="4" width="13.8515625" style="0" customWidth="1"/>
  </cols>
  <sheetData>
    <row r="1" spans="1:4" ht="14.25">
      <c r="A1" s="1177" t="s">
        <v>304</v>
      </c>
      <c r="B1" s="1177"/>
      <c r="C1" s="1177"/>
      <c r="D1" s="1177"/>
    </row>
    <row r="2" ht="15.75">
      <c r="A2" s="29"/>
    </row>
    <row r="3" spans="1:4" ht="15.75">
      <c r="A3" s="1176" t="s">
        <v>305</v>
      </c>
      <c r="B3" s="1176"/>
      <c r="C3" s="1176"/>
      <c r="D3" s="1176"/>
    </row>
    <row r="4" spans="1:4" ht="15.75">
      <c r="A4" s="27"/>
      <c r="B4" s="28"/>
      <c r="C4" s="28"/>
      <c r="D4" s="28"/>
    </row>
    <row r="5" spans="1:4" ht="13.5" thickBot="1">
      <c r="A5" s="1183" t="s">
        <v>210</v>
      </c>
      <c r="B5" s="1183"/>
      <c r="C5" s="1183"/>
      <c r="D5" s="1183"/>
    </row>
    <row r="6" spans="1:4" ht="15.75">
      <c r="A6" s="835" t="s">
        <v>306</v>
      </c>
      <c r="B6" s="836"/>
      <c r="C6" s="1187" t="s">
        <v>212</v>
      </c>
      <c r="D6" s="1188"/>
    </row>
    <row r="7" spans="1:4" ht="13.5" thickBot="1">
      <c r="A7" s="837"/>
      <c r="B7" s="339"/>
      <c r="C7" s="1189" t="s">
        <v>39</v>
      </c>
      <c r="D7" s="1190"/>
    </row>
    <row r="8" spans="1:4" ht="12.75">
      <c r="A8" s="991" t="s">
        <v>1177</v>
      </c>
      <c r="B8" s="992"/>
      <c r="C8" s="340"/>
      <c r="D8" s="839">
        <v>571</v>
      </c>
    </row>
    <row r="9" spans="1:4" ht="12.75">
      <c r="A9" s="1033" t="s">
        <v>1178</v>
      </c>
      <c r="B9" s="922"/>
      <c r="C9" s="945"/>
      <c r="D9" s="946">
        <f>179+179</f>
        <v>358</v>
      </c>
    </row>
    <row r="10" spans="1:4" ht="12.75">
      <c r="A10" s="838" t="s">
        <v>1255</v>
      </c>
      <c r="B10" s="37"/>
      <c r="C10" s="945"/>
      <c r="D10" s="946">
        <v>6</v>
      </c>
    </row>
    <row r="11" spans="1:4" ht="12.75">
      <c r="A11" s="841" t="s">
        <v>1179</v>
      </c>
      <c r="B11" s="341"/>
      <c r="C11" s="342"/>
      <c r="D11" s="840">
        <v>571</v>
      </c>
    </row>
    <row r="12" spans="1:4" ht="12.75">
      <c r="A12" s="927" t="s">
        <v>1137</v>
      </c>
      <c r="B12" s="341"/>
      <c r="C12" s="342"/>
      <c r="D12" s="840"/>
    </row>
    <row r="13" spans="1:4" ht="12.75">
      <c r="A13" s="838" t="s">
        <v>1121</v>
      </c>
      <c r="B13" s="37"/>
      <c r="C13" s="342"/>
      <c r="D13" s="840">
        <f>30286+10075+20165+810</f>
        <v>61336</v>
      </c>
    </row>
    <row r="14" spans="1:4" ht="12.75">
      <c r="A14" s="841" t="s">
        <v>1124</v>
      </c>
      <c r="B14" s="341"/>
      <c r="C14" s="342"/>
      <c r="D14" s="840">
        <v>24475</v>
      </c>
    </row>
    <row r="15" spans="1:4" ht="12.75">
      <c r="A15" s="849" t="s">
        <v>1127</v>
      </c>
      <c r="B15" s="341"/>
      <c r="C15" s="342"/>
      <c r="D15" s="840">
        <f>8232+7835+7841+8700</f>
        <v>32608</v>
      </c>
    </row>
    <row r="16" spans="1:4" ht="12.75">
      <c r="A16" s="849" t="s">
        <v>1144</v>
      </c>
      <c r="B16" s="925"/>
      <c r="C16" s="919"/>
      <c r="D16" s="920">
        <v>6593</v>
      </c>
    </row>
    <row r="17" spans="1:4" ht="12.75">
      <c r="A17" s="849" t="s">
        <v>1138</v>
      </c>
      <c r="B17" s="925"/>
      <c r="C17" s="919"/>
      <c r="D17" s="920">
        <v>4995</v>
      </c>
    </row>
    <row r="18" spans="1:4" ht="12.75">
      <c r="A18" s="849" t="s">
        <v>1139</v>
      </c>
      <c r="B18" s="925"/>
      <c r="C18" s="919"/>
      <c r="D18" s="920">
        <f>654+870</f>
        <v>1524</v>
      </c>
    </row>
    <row r="19" spans="1:4" ht="12.75">
      <c r="A19" s="849" t="s">
        <v>1143</v>
      </c>
      <c r="B19" s="925"/>
      <c r="C19" s="919"/>
      <c r="D19" s="920">
        <f>2206+1354</f>
        <v>3560</v>
      </c>
    </row>
    <row r="20" spans="1:4" ht="12.75">
      <c r="A20" s="849" t="s">
        <v>1200</v>
      </c>
      <c r="B20" s="925"/>
      <c r="C20" s="919"/>
      <c r="D20" s="920">
        <v>9461</v>
      </c>
    </row>
    <row r="21" spans="1:4" ht="12.75">
      <c r="A21" s="849" t="s">
        <v>1140</v>
      </c>
      <c r="B21" s="925"/>
      <c r="C21" s="919"/>
      <c r="D21" s="920">
        <v>2882</v>
      </c>
    </row>
    <row r="22" spans="1:4" ht="12.75">
      <c r="A22" s="849" t="s">
        <v>1203</v>
      </c>
      <c r="B22" s="925"/>
      <c r="C22" s="919"/>
      <c r="D22" s="920">
        <v>4000</v>
      </c>
    </row>
    <row r="23" spans="1:4" ht="12.75">
      <c r="A23" s="849" t="s">
        <v>1141</v>
      </c>
      <c r="B23" s="921"/>
      <c r="C23" s="919"/>
      <c r="D23" s="920">
        <f>80+460</f>
        <v>540</v>
      </c>
    </row>
    <row r="24" spans="1:4" ht="12.75">
      <c r="A24" s="849" t="s">
        <v>1142</v>
      </c>
      <c r="B24" s="922"/>
      <c r="C24" s="919"/>
      <c r="D24" s="920">
        <f>559+1830</f>
        <v>2389</v>
      </c>
    </row>
    <row r="25" spans="1:4" ht="12.75">
      <c r="A25" s="927" t="s">
        <v>1283</v>
      </c>
      <c r="B25" s="922"/>
      <c r="C25" s="919"/>
      <c r="D25" s="920">
        <v>8825</v>
      </c>
    </row>
    <row r="26" spans="1:4" ht="12.75">
      <c r="A26" s="1033" t="s">
        <v>1284</v>
      </c>
      <c r="B26" s="922"/>
      <c r="C26" s="919"/>
      <c r="D26" s="920">
        <v>2525</v>
      </c>
    </row>
    <row r="27" spans="1:4" ht="12.75">
      <c r="A27" s="838" t="s">
        <v>1173</v>
      </c>
      <c r="B27" s="922"/>
      <c r="C27" s="919"/>
      <c r="D27" s="920">
        <f>3244-30</f>
        <v>3214</v>
      </c>
    </row>
    <row r="28" spans="1:4" ht="12.75">
      <c r="A28" s="927" t="s">
        <v>1147</v>
      </c>
      <c r="B28" s="922"/>
      <c r="C28" s="919"/>
      <c r="D28" s="920">
        <v>32227</v>
      </c>
    </row>
    <row r="29" spans="1:4" ht="12.75">
      <c r="A29" s="1033"/>
      <c r="B29" s="922"/>
      <c r="C29" s="919"/>
      <c r="D29" s="920"/>
    </row>
    <row r="30" spans="1:4" ht="12.75">
      <c r="A30" s="1033"/>
      <c r="B30" s="922"/>
      <c r="C30" s="919"/>
      <c r="D30" s="920"/>
    </row>
    <row r="31" spans="1:4" ht="12.75">
      <c r="A31" s="1033"/>
      <c r="B31" s="922"/>
      <c r="C31" s="919"/>
      <c r="D31" s="920"/>
    </row>
    <row r="32" spans="1:4" ht="13.5" thickBot="1">
      <c r="A32" s="838"/>
      <c r="B32" s="37"/>
      <c r="C32" s="343"/>
      <c r="D32" s="842"/>
    </row>
    <row r="33" spans="1:4" ht="13.5" thickBot="1">
      <c r="A33" s="829" t="s">
        <v>307</v>
      </c>
      <c r="B33" s="344"/>
      <c r="C33" s="345"/>
      <c r="D33" s="843">
        <f>SUM(D8:D32)</f>
        <v>202660</v>
      </c>
    </row>
    <row r="34" spans="1:4" ht="13.5" thickBot="1">
      <c r="A34" s="829" t="s">
        <v>308</v>
      </c>
      <c r="B34" s="344"/>
      <c r="C34" s="345"/>
      <c r="D34" s="843">
        <f>278524+237-200-3242+2451+4426-28437-899+1</f>
        <v>252861</v>
      </c>
    </row>
    <row r="35" spans="1:4" ht="13.5" thickBot="1">
      <c r="A35" s="844" t="s">
        <v>1125</v>
      </c>
      <c r="B35" s="845"/>
      <c r="C35" s="833"/>
      <c r="D35" s="834">
        <f>20000-14790+23756</f>
        <v>28966</v>
      </c>
    </row>
    <row r="36" spans="1:4" ht="12.75">
      <c r="A36" s="323"/>
      <c r="B36" s="37"/>
      <c r="C36" s="346"/>
      <c r="D36" s="346"/>
    </row>
    <row r="38" spans="1:4" ht="14.25">
      <c r="A38" s="1177" t="s">
        <v>309</v>
      </c>
      <c r="B38" s="1177"/>
      <c r="C38" s="1177"/>
      <c r="D38" s="1177"/>
    </row>
    <row r="40" spans="1:4" ht="15.75">
      <c r="A40" s="1176" t="s">
        <v>310</v>
      </c>
      <c r="B40" s="1176"/>
      <c r="C40" s="1176"/>
      <c r="D40" s="1176"/>
    </row>
    <row r="41" ht="15.75">
      <c r="A41" s="29"/>
    </row>
    <row r="42" spans="1:4" ht="12.75">
      <c r="A42" s="1184" t="s">
        <v>311</v>
      </c>
      <c r="B42" s="1184"/>
      <c r="C42" s="1184"/>
      <c r="D42" s="1184"/>
    </row>
    <row r="43" spans="1:4" ht="15.75">
      <c r="A43" s="327" t="s">
        <v>306</v>
      </c>
      <c r="B43" s="338"/>
      <c r="C43" s="1191" t="s">
        <v>212</v>
      </c>
      <c r="D43" s="1191"/>
    </row>
    <row r="44" spans="1:4" ht="12.75">
      <c r="A44" s="250"/>
      <c r="B44" s="339"/>
      <c r="C44" s="1189" t="s">
        <v>39</v>
      </c>
      <c r="D44" s="1189"/>
    </row>
    <row r="45" spans="1:4" ht="12.75">
      <c r="A45" s="194" t="s">
        <v>312</v>
      </c>
      <c r="B45" s="37"/>
      <c r="C45" s="144"/>
      <c r="D45" s="347"/>
    </row>
    <row r="46" spans="1:4" ht="12.75">
      <c r="A46" s="88" t="s">
        <v>313</v>
      </c>
      <c r="B46" s="341"/>
      <c r="C46" s="147"/>
      <c r="D46" s="348">
        <v>0</v>
      </c>
    </row>
    <row r="47" spans="1:4" ht="12.75">
      <c r="A47" s="88" t="s">
        <v>314</v>
      </c>
      <c r="B47" s="341"/>
      <c r="C47" s="147"/>
      <c r="D47" s="348"/>
    </row>
    <row r="48" spans="1:4" ht="12.75">
      <c r="A48" s="1130" t="s">
        <v>1276</v>
      </c>
      <c r="B48" s="349"/>
      <c r="C48" s="1192">
        <v>4313</v>
      </c>
      <c r="D48" s="1192"/>
    </row>
    <row r="49" spans="1:4" ht="12.75">
      <c r="A49" s="1131" t="s">
        <v>1274</v>
      </c>
      <c r="B49" s="921"/>
      <c r="C49" s="1194">
        <v>2180</v>
      </c>
      <c r="D49" s="1195"/>
    </row>
    <row r="50" spans="1:4" ht="13.5" thickBot="1">
      <c r="A50" s="194" t="s">
        <v>1275</v>
      </c>
      <c r="B50" s="37"/>
      <c r="C50" s="1193">
        <v>4458</v>
      </c>
      <c r="D50" s="1193"/>
    </row>
    <row r="51" spans="1:4" ht="13.5" thickBot="1">
      <c r="A51" s="90" t="s">
        <v>315</v>
      </c>
      <c r="B51" s="344"/>
      <c r="C51" s="350"/>
      <c r="D51" s="351">
        <f>SUM(C46:D50)</f>
        <v>10951</v>
      </c>
    </row>
    <row r="52" spans="1:4" ht="12.75">
      <c r="A52" s="323"/>
      <c r="B52" s="37"/>
      <c r="C52" s="1170"/>
      <c r="D52" s="858"/>
    </row>
    <row r="53" spans="1:4" ht="12.75">
      <c r="A53" s="323"/>
      <c r="B53" s="37"/>
      <c r="C53" s="1170"/>
      <c r="D53" s="858"/>
    </row>
    <row r="54" spans="1:4" ht="12.75">
      <c r="A54" s="323"/>
      <c r="B54" s="37"/>
      <c r="C54" s="1170"/>
      <c r="D54" s="858"/>
    </row>
    <row r="55" spans="1:4" ht="12.75">
      <c r="A55" s="323"/>
      <c r="B55" s="37"/>
      <c r="C55" s="1170"/>
      <c r="D55" s="858"/>
    </row>
    <row r="56" spans="1:4" ht="12.75">
      <c r="A56" s="323"/>
      <c r="B56" s="37"/>
      <c r="C56" s="346"/>
      <c r="D56" s="346"/>
    </row>
    <row r="57" spans="1:4" ht="14.25">
      <c r="A57" s="26"/>
      <c r="B57" s="26"/>
      <c r="C57" s="26"/>
      <c r="D57" s="26" t="s">
        <v>316</v>
      </c>
    </row>
    <row r="58" spans="1:4" ht="15.75">
      <c r="A58" s="1176" t="s">
        <v>317</v>
      </c>
      <c r="B58" s="1176"/>
      <c r="C58" s="1176"/>
      <c r="D58" s="1176"/>
    </row>
    <row r="59" spans="1:4" ht="8.25" customHeight="1">
      <c r="A59" s="27"/>
      <c r="B59" s="27"/>
      <c r="C59" s="27"/>
      <c r="D59" s="27"/>
    </row>
    <row r="60" spans="1:4" ht="13.5" thickBot="1">
      <c r="A60" s="1000"/>
      <c r="B60" s="1000"/>
      <c r="C60" s="1000"/>
      <c r="D60" s="1000" t="s">
        <v>311</v>
      </c>
    </row>
    <row r="61" spans="1:4" ht="15.75">
      <c r="A61" s="835" t="s">
        <v>306</v>
      </c>
      <c r="B61" s="1001" t="s">
        <v>318</v>
      </c>
      <c r="C61" s="836" t="s">
        <v>319</v>
      </c>
      <c r="D61" s="1002" t="s">
        <v>212</v>
      </c>
    </row>
    <row r="62" spans="1:4" ht="13.5" thickBot="1">
      <c r="A62" s="838"/>
      <c r="B62" s="50" t="s">
        <v>39</v>
      </c>
      <c r="C62" s="323" t="s">
        <v>39</v>
      </c>
      <c r="D62" s="1003" t="s">
        <v>39</v>
      </c>
    </row>
    <row r="63" spans="1:4" s="228" customFormat="1" ht="13.5" thickBot="1">
      <c r="A63" s="1004" t="s">
        <v>320</v>
      </c>
      <c r="B63" s="817">
        <f>SUM(B64:B67)</f>
        <v>300720</v>
      </c>
      <c r="C63" s="818">
        <f>C68</f>
        <v>222443</v>
      </c>
      <c r="D63" s="819">
        <f>SUM(B63:C63)</f>
        <v>523163</v>
      </c>
    </row>
    <row r="64" spans="1:4" s="37" customFormat="1" ht="12.75">
      <c r="A64" s="1005" t="s">
        <v>321</v>
      </c>
      <c r="B64" s="48">
        <f>298559+6954-12955</f>
        <v>292558</v>
      </c>
      <c r="C64" s="48"/>
      <c r="D64" s="1006">
        <f aca="true" t="shared" si="0" ref="D64:D139">SUM(B64:C64)</f>
        <v>292558</v>
      </c>
    </row>
    <row r="65" spans="1:4" s="37" customFormat="1" ht="12.75">
      <c r="A65" s="841" t="s">
        <v>1130</v>
      </c>
      <c r="B65" s="243">
        <f>2835+902+2792+1633</f>
        <v>8162</v>
      </c>
      <c r="C65" s="243"/>
      <c r="D65" s="1007">
        <f t="shared" si="0"/>
        <v>8162</v>
      </c>
    </row>
    <row r="66" spans="1:4" s="37" customFormat="1" ht="12.75">
      <c r="A66" s="826" t="s">
        <v>322</v>
      </c>
      <c r="B66" s="39"/>
      <c r="C66" s="39"/>
      <c r="D66" s="1007">
        <f t="shared" si="0"/>
        <v>0</v>
      </c>
    </row>
    <row r="67" spans="1:4" s="37" customFormat="1" ht="13.5" thickBot="1">
      <c r="A67" s="826" t="s">
        <v>323</v>
      </c>
      <c r="B67" s="55"/>
      <c r="C67" s="39"/>
      <c r="D67" s="1013">
        <f t="shared" si="0"/>
        <v>0</v>
      </c>
    </row>
    <row r="68" spans="1:4" s="228" customFormat="1" ht="13.5" thickBot="1">
      <c r="A68" s="1008" t="s">
        <v>324</v>
      </c>
      <c r="B68" s="60"/>
      <c r="C68" s="60">
        <f>SUM(C97:C125)+C96</f>
        <v>222443</v>
      </c>
      <c r="D68" s="996">
        <f t="shared" si="0"/>
        <v>222443</v>
      </c>
    </row>
    <row r="69" spans="1:4" ht="12.75">
      <c r="A69" s="1009" t="s">
        <v>325</v>
      </c>
      <c r="B69" s="49"/>
      <c r="C69" s="48">
        <f>30000+6614</f>
        <v>36614</v>
      </c>
      <c r="D69" s="1006">
        <f t="shared" si="0"/>
        <v>36614</v>
      </c>
    </row>
    <row r="70" spans="1:4" ht="12.75">
      <c r="A70" s="1010" t="s">
        <v>326</v>
      </c>
      <c r="B70" s="40"/>
      <c r="C70" s="39">
        <v>4000</v>
      </c>
      <c r="D70" s="1007">
        <f t="shared" si="0"/>
        <v>4000</v>
      </c>
    </row>
    <row r="71" spans="1:4" ht="12.75">
      <c r="A71" s="1010" t="s">
        <v>327</v>
      </c>
      <c r="B71" s="40"/>
      <c r="C71" s="39">
        <v>800</v>
      </c>
      <c r="D71" s="1007">
        <f t="shared" si="0"/>
        <v>800</v>
      </c>
    </row>
    <row r="72" spans="1:4" ht="12.75">
      <c r="A72" s="1011" t="s">
        <v>328</v>
      </c>
      <c r="B72" s="40"/>
      <c r="C72" s="39">
        <v>1501</v>
      </c>
      <c r="D72" s="1007">
        <f t="shared" si="0"/>
        <v>1501</v>
      </c>
    </row>
    <row r="73" spans="1:4" ht="12.75">
      <c r="A73" s="1011" t="s">
        <v>329</v>
      </c>
      <c r="B73" s="40"/>
      <c r="C73" s="39">
        <f>4000-2338</f>
        <v>1662</v>
      </c>
      <c r="D73" s="1007">
        <f t="shared" si="0"/>
        <v>1662</v>
      </c>
    </row>
    <row r="74" spans="1:4" ht="12.75">
      <c r="A74" s="1012" t="s">
        <v>330</v>
      </c>
      <c r="B74" s="42"/>
      <c r="C74" s="58">
        <f>11000-3980</f>
        <v>7020</v>
      </c>
      <c r="D74" s="1013">
        <f t="shared" si="0"/>
        <v>7020</v>
      </c>
    </row>
    <row r="75" spans="1:4" ht="12.75">
      <c r="A75" s="1012" t="s">
        <v>331</v>
      </c>
      <c r="B75" s="42"/>
      <c r="C75" s="58">
        <v>26342</v>
      </c>
      <c r="D75" s="1013">
        <f t="shared" si="0"/>
        <v>26342</v>
      </c>
    </row>
    <row r="76" spans="1:4" ht="12.75">
      <c r="A76" s="1019" t="s">
        <v>1267</v>
      </c>
      <c r="B76" s="42"/>
      <c r="C76" s="58">
        <v>187</v>
      </c>
      <c r="D76" s="1013">
        <f t="shared" si="0"/>
        <v>187</v>
      </c>
    </row>
    <row r="77" spans="1:4" ht="12.75">
      <c r="A77" s="1019" t="s">
        <v>1273</v>
      </c>
      <c r="B77" s="42"/>
      <c r="C77" s="58">
        <f>357+10260</f>
        <v>10617</v>
      </c>
      <c r="D77" s="1013">
        <f t="shared" si="0"/>
        <v>10617</v>
      </c>
    </row>
    <row r="78" spans="1:4" ht="12.75">
      <c r="A78" s="1019" t="s">
        <v>1278</v>
      </c>
      <c r="B78" s="42"/>
      <c r="C78" s="58">
        <v>5139</v>
      </c>
      <c r="D78" s="1013">
        <f t="shared" si="0"/>
        <v>5139</v>
      </c>
    </row>
    <row r="79" spans="1:4" ht="12.75">
      <c r="A79" s="1019" t="s">
        <v>1260</v>
      </c>
      <c r="B79" s="42"/>
      <c r="C79" s="58">
        <v>8291</v>
      </c>
      <c r="D79" s="1013">
        <f t="shared" si="0"/>
        <v>8291</v>
      </c>
    </row>
    <row r="80" spans="1:4" ht="12.75">
      <c r="A80" s="1019" t="s">
        <v>1261</v>
      </c>
      <c r="B80" s="42"/>
      <c r="C80" s="58">
        <v>8</v>
      </c>
      <c r="D80" s="1013">
        <f t="shared" si="0"/>
        <v>8</v>
      </c>
    </row>
    <row r="81" spans="1:4" ht="12.75">
      <c r="A81" s="1011" t="s">
        <v>332</v>
      </c>
      <c r="B81" s="40"/>
      <c r="C81" s="39">
        <v>0</v>
      </c>
      <c r="D81" s="1007">
        <f t="shared" si="0"/>
        <v>0</v>
      </c>
    </row>
    <row r="82" spans="1:4" ht="12.75">
      <c r="A82" s="1014" t="s">
        <v>1123</v>
      </c>
      <c r="B82" s="852"/>
      <c r="C82" s="851">
        <f>3503+106+43</f>
        <v>3652</v>
      </c>
      <c r="D82" s="1015">
        <f t="shared" si="0"/>
        <v>3652</v>
      </c>
    </row>
    <row r="83" spans="1:4" ht="12.75">
      <c r="A83" s="1016" t="s">
        <v>1210</v>
      </c>
      <c r="B83" s="923"/>
      <c r="C83" s="924">
        <v>29871</v>
      </c>
      <c r="D83" s="1017">
        <f t="shared" si="0"/>
        <v>29871</v>
      </c>
    </row>
    <row r="84" spans="1:4" ht="12.75">
      <c r="A84" s="1016" t="s">
        <v>1145</v>
      </c>
      <c r="B84" s="923"/>
      <c r="C84" s="924">
        <v>100</v>
      </c>
      <c r="D84" s="1017">
        <f t="shared" si="0"/>
        <v>100</v>
      </c>
    </row>
    <row r="85" spans="1:4" ht="12.75">
      <c r="A85" s="1016" t="s">
        <v>1264</v>
      </c>
      <c r="B85" s="923"/>
      <c r="C85" s="924">
        <f>333+6249+438</f>
        <v>7020</v>
      </c>
      <c r="D85" s="1017">
        <f t="shared" si="0"/>
        <v>7020</v>
      </c>
    </row>
    <row r="86" spans="1:4" ht="12.75">
      <c r="A86" s="1016" t="s">
        <v>1265</v>
      </c>
      <c r="B86" s="923"/>
      <c r="C86" s="924">
        <v>5867</v>
      </c>
      <c r="D86" s="1017">
        <f t="shared" si="0"/>
        <v>5867</v>
      </c>
    </row>
    <row r="87" spans="1:4" ht="12.75">
      <c r="A87" s="1016" t="s">
        <v>1266</v>
      </c>
      <c r="B87" s="923"/>
      <c r="C87" s="924">
        <v>4380</v>
      </c>
      <c r="D87" s="1017">
        <f t="shared" si="0"/>
        <v>4380</v>
      </c>
    </row>
    <row r="88" spans="1:4" ht="12.75">
      <c r="A88" s="1016" t="s">
        <v>1161</v>
      </c>
      <c r="B88" s="923"/>
      <c r="C88" s="924">
        <v>200</v>
      </c>
      <c r="D88" s="1017">
        <f t="shared" si="0"/>
        <v>200</v>
      </c>
    </row>
    <row r="89" spans="1:4" ht="12.75">
      <c r="A89" s="1016" t="s">
        <v>1162</v>
      </c>
      <c r="B89" s="923"/>
      <c r="C89" s="924">
        <f>1523+337</f>
        <v>1860</v>
      </c>
      <c r="D89" s="1017">
        <f t="shared" si="0"/>
        <v>1860</v>
      </c>
    </row>
    <row r="90" spans="1:4" ht="12.75">
      <c r="A90" s="1016" t="s">
        <v>1263</v>
      </c>
      <c r="B90" s="923"/>
      <c r="C90" s="924">
        <v>1400</v>
      </c>
      <c r="D90" s="1017">
        <f t="shared" si="0"/>
        <v>1400</v>
      </c>
    </row>
    <row r="91" spans="1:4" ht="12.75">
      <c r="A91" s="1016" t="s">
        <v>1270</v>
      </c>
      <c r="B91" s="923"/>
      <c r="C91" s="924">
        <v>190</v>
      </c>
      <c r="D91" s="1017">
        <f t="shared" si="0"/>
        <v>190</v>
      </c>
    </row>
    <row r="92" spans="1:4" ht="12.75">
      <c r="A92" s="1016" t="s">
        <v>1271</v>
      </c>
      <c r="B92" s="923"/>
      <c r="C92" s="924">
        <v>1527</v>
      </c>
      <c r="D92" s="1017">
        <f t="shared" si="0"/>
        <v>1527</v>
      </c>
    </row>
    <row r="93" spans="1:4" ht="12.75">
      <c r="A93" s="1065" t="s">
        <v>1216</v>
      </c>
      <c r="B93" s="923"/>
      <c r="C93" s="924">
        <v>39258</v>
      </c>
      <c r="D93" s="1017">
        <f t="shared" si="0"/>
        <v>39258</v>
      </c>
    </row>
    <row r="94" spans="1:4" ht="12.75">
      <c r="A94" s="1016" t="s">
        <v>1212</v>
      </c>
      <c r="B94" s="923"/>
      <c r="C94" s="924">
        <f>4574+2344</f>
        <v>6918</v>
      </c>
      <c r="D94" s="1017">
        <f t="shared" si="0"/>
        <v>6918</v>
      </c>
    </row>
    <row r="95" spans="1:4" ht="12.75">
      <c r="A95" s="1016" t="s">
        <v>1251</v>
      </c>
      <c r="B95" s="923"/>
      <c r="C95" s="924">
        <v>1000</v>
      </c>
      <c r="D95" s="1017">
        <f t="shared" si="0"/>
        <v>1000</v>
      </c>
    </row>
    <row r="96" spans="1:4" ht="12.75">
      <c r="A96" s="915" t="s">
        <v>1131</v>
      </c>
      <c r="B96" s="916"/>
      <c r="C96" s="917">
        <f>SUM(C69:C95)</f>
        <v>205424</v>
      </c>
      <c r="D96" s="1018">
        <f>SUM(D69:D95)</f>
        <v>205424</v>
      </c>
    </row>
    <row r="97" spans="1:4" ht="12.75">
      <c r="A97" s="1027" t="s">
        <v>1190</v>
      </c>
      <c r="B97" s="859"/>
      <c r="C97" s="82">
        <v>355</v>
      </c>
      <c r="D97" s="1013">
        <f t="shared" si="0"/>
        <v>355</v>
      </c>
    </row>
    <row r="98" spans="1:4" ht="12.75">
      <c r="A98" s="1019" t="s">
        <v>1090</v>
      </c>
      <c r="B98" s="42"/>
      <c r="C98" s="58">
        <f>850+87+214</f>
        <v>1151</v>
      </c>
      <c r="D98" s="1013">
        <f t="shared" si="0"/>
        <v>1151</v>
      </c>
    </row>
    <row r="99" spans="1:4" ht="12.75">
      <c r="A99" s="1019" t="s">
        <v>1191</v>
      </c>
      <c r="B99" s="42"/>
      <c r="C99" s="58">
        <f>327+163</f>
        <v>490</v>
      </c>
      <c r="D99" s="1013">
        <f t="shared" si="0"/>
        <v>490</v>
      </c>
    </row>
    <row r="100" spans="1:4" ht="12.75">
      <c r="A100" s="1019" t="s">
        <v>1192</v>
      </c>
      <c r="B100" s="42"/>
      <c r="C100" s="58">
        <f>280</f>
        <v>280</v>
      </c>
      <c r="D100" s="1013">
        <f t="shared" si="0"/>
        <v>280</v>
      </c>
    </row>
    <row r="101" spans="1:4" ht="12.75">
      <c r="A101" s="1019" t="s">
        <v>1091</v>
      </c>
      <c r="B101" s="42"/>
      <c r="C101" s="58">
        <f>6351+1030</f>
        <v>7381</v>
      </c>
      <c r="D101" s="1013">
        <f t="shared" si="0"/>
        <v>7381</v>
      </c>
    </row>
    <row r="102" spans="1:4" ht="12.75">
      <c r="A102" s="1014" t="s">
        <v>1101</v>
      </c>
      <c r="B102" s="852"/>
      <c r="C102" s="851">
        <v>1178</v>
      </c>
      <c r="D102" s="1015">
        <f t="shared" si="0"/>
        <v>1178</v>
      </c>
    </row>
    <row r="103" spans="1:4" ht="12.75">
      <c r="A103" s="1020" t="s">
        <v>1102</v>
      </c>
      <c r="B103" s="72"/>
      <c r="C103" s="64">
        <v>325</v>
      </c>
      <c r="D103" s="1021">
        <f t="shared" si="0"/>
        <v>325</v>
      </c>
    </row>
    <row r="104" spans="1:4" ht="12.75">
      <c r="A104" s="1019" t="s">
        <v>1103</v>
      </c>
      <c r="B104" s="42"/>
      <c r="C104" s="58">
        <v>484</v>
      </c>
      <c r="D104" s="1013">
        <f t="shared" si="0"/>
        <v>484</v>
      </c>
    </row>
    <row r="105" spans="1:4" ht="12.75">
      <c r="A105" s="1019" t="s">
        <v>1104</v>
      </c>
      <c r="B105" s="42"/>
      <c r="C105" s="58">
        <v>8</v>
      </c>
      <c r="D105" s="1013">
        <f t="shared" si="0"/>
        <v>8</v>
      </c>
    </row>
    <row r="106" spans="1:4" ht="12.75">
      <c r="A106" s="1019" t="s">
        <v>1105</v>
      </c>
      <c r="B106" s="42"/>
      <c r="C106" s="58">
        <v>120</v>
      </c>
      <c r="D106" s="1013">
        <f t="shared" si="0"/>
        <v>120</v>
      </c>
    </row>
    <row r="107" spans="1:4" ht="12.75">
      <c r="A107" s="1019" t="s">
        <v>1188</v>
      </c>
      <c r="B107" s="42"/>
      <c r="C107" s="58">
        <v>600</v>
      </c>
      <c r="D107" s="1013">
        <f>SUM(B107:C107)</f>
        <v>600</v>
      </c>
    </row>
    <row r="108" spans="1:4" ht="12.75">
      <c r="A108" s="1019" t="s">
        <v>1187</v>
      </c>
      <c r="B108" s="42"/>
      <c r="C108" s="58">
        <v>50</v>
      </c>
      <c r="D108" s="1013">
        <f>SUM(B108:C108)</f>
        <v>50</v>
      </c>
    </row>
    <row r="109" spans="1:4" ht="12.75">
      <c r="A109" s="1019" t="s">
        <v>1185</v>
      </c>
      <c r="B109" s="42"/>
      <c r="C109" s="58">
        <v>69</v>
      </c>
      <c r="D109" s="1013">
        <f>SUM(B109:C109)</f>
        <v>69</v>
      </c>
    </row>
    <row r="110" spans="1:4" ht="12.75">
      <c r="A110" s="1019" t="s">
        <v>1186</v>
      </c>
      <c r="B110" s="42"/>
      <c r="C110" s="58">
        <v>615</v>
      </c>
      <c r="D110" s="1013">
        <f>SUM(B110:C110)</f>
        <v>615</v>
      </c>
    </row>
    <row r="111" spans="1:4" ht="12.75">
      <c r="A111" s="1019" t="s">
        <v>1171</v>
      </c>
      <c r="B111" s="42"/>
      <c r="C111" s="58">
        <v>190</v>
      </c>
      <c r="D111" s="1013">
        <f t="shared" si="0"/>
        <v>190</v>
      </c>
    </row>
    <row r="112" spans="1:4" ht="13.5" thickBot="1">
      <c r="A112" s="1081" t="s">
        <v>1106</v>
      </c>
      <c r="B112" s="1082"/>
      <c r="C112" s="1083">
        <v>3723</v>
      </c>
      <c r="D112" s="1084">
        <f t="shared" si="0"/>
        <v>3723</v>
      </c>
    </row>
    <row r="113" spans="1:4" ht="12.75">
      <c r="A113" s="1080"/>
      <c r="B113" s="72"/>
      <c r="C113" s="72"/>
      <c r="D113" s="1068"/>
    </row>
    <row r="114" spans="1:4" ht="12.75">
      <c r="A114" s="1080"/>
      <c r="B114" s="72"/>
      <c r="C114" s="72"/>
      <c r="D114" s="1068"/>
    </row>
    <row r="115" spans="1:4" ht="12.75">
      <c r="A115" s="1182">
        <v>2</v>
      </c>
      <c r="B115" s="1182"/>
      <c r="C115" s="1182"/>
      <c r="D115" s="1182"/>
    </row>
    <row r="116" spans="1:4" ht="12.75">
      <c r="A116" s="1080"/>
      <c r="B116" s="72"/>
      <c r="C116" s="72"/>
      <c r="D116" s="1068"/>
    </row>
    <row r="117" spans="1:4" ht="14.25">
      <c r="A117" s="26"/>
      <c r="B117" s="26"/>
      <c r="C117" s="26"/>
      <c r="D117" s="26" t="s">
        <v>316</v>
      </c>
    </row>
    <row r="118" spans="1:4" ht="14.25">
      <c r="A118" s="26"/>
      <c r="B118" s="26"/>
      <c r="C118" s="26"/>
      <c r="D118" s="26"/>
    </row>
    <row r="120" spans="1:4" ht="15.75">
      <c r="A120" s="1176" t="s">
        <v>317</v>
      </c>
      <c r="B120" s="1176"/>
      <c r="C120" s="1176"/>
      <c r="D120" s="1176"/>
    </row>
    <row r="121" spans="1:4" ht="15.75">
      <c r="A121" s="27"/>
      <c r="B121" s="27"/>
      <c r="C121" s="27"/>
      <c r="D121" s="27"/>
    </row>
    <row r="122" spans="1:4" ht="15.75">
      <c r="A122" s="27"/>
      <c r="B122" s="27"/>
      <c r="C122" s="27"/>
      <c r="D122" s="27"/>
    </row>
    <row r="123" spans="1:4" ht="13.5" thickBot="1">
      <c r="A123" s="1000"/>
      <c r="B123" s="1000"/>
      <c r="C123" s="1000"/>
      <c r="D123" s="1000" t="s">
        <v>311</v>
      </c>
    </row>
    <row r="124" spans="1:4" ht="15.75">
      <c r="A124" s="835" t="s">
        <v>306</v>
      </c>
      <c r="B124" s="1001" t="s">
        <v>318</v>
      </c>
      <c r="C124" s="836" t="s">
        <v>319</v>
      </c>
      <c r="D124" s="1002" t="s">
        <v>212</v>
      </c>
    </row>
    <row r="125" spans="1:4" ht="13.5" thickBot="1">
      <c r="A125" s="838"/>
      <c r="B125" s="50" t="s">
        <v>39</v>
      </c>
      <c r="C125" s="323" t="s">
        <v>39</v>
      </c>
      <c r="D125" s="1003" t="s">
        <v>39</v>
      </c>
    </row>
    <row r="126" spans="1:4" s="91" customFormat="1" ht="13.5" thickBot="1">
      <c r="A126" s="1128" t="s">
        <v>333</v>
      </c>
      <c r="B126" s="1129"/>
      <c r="C126" s="818">
        <f>SUM(C127:C139)</f>
        <v>79965</v>
      </c>
      <c r="D126" s="819">
        <f t="shared" si="0"/>
        <v>79965</v>
      </c>
    </row>
    <row r="127" spans="1:4" ht="12.75">
      <c r="A127" s="849" t="s">
        <v>180</v>
      </c>
      <c r="B127" s="48"/>
      <c r="C127" s="131"/>
      <c r="D127" s="1069">
        <f t="shared" si="0"/>
        <v>0</v>
      </c>
    </row>
    <row r="128" spans="1:4" ht="12.75">
      <c r="A128" s="841" t="s">
        <v>1277</v>
      </c>
      <c r="B128" s="39"/>
      <c r="C128" s="55">
        <f>4924-706</f>
        <v>4218</v>
      </c>
      <c r="D128" s="866">
        <f t="shared" si="0"/>
        <v>4218</v>
      </c>
    </row>
    <row r="129" spans="1:4" ht="12.75">
      <c r="A129" s="826" t="s">
        <v>334</v>
      </c>
      <c r="B129" s="39"/>
      <c r="C129" s="55">
        <f>76499-72462</f>
        <v>4037</v>
      </c>
      <c r="D129" s="866">
        <f t="shared" si="0"/>
        <v>4037</v>
      </c>
    </row>
    <row r="130" spans="1:4" ht="12.75">
      <c r="A130" s="827" t="s">
        <v>335</v>
      </c>
      <c r="B130" s="58"/>
      <c r="C130" s="149">
        <f>19588-7084</f>
        <v>12504</v>
      </c>
      <c r="D130" s="1022">
        <f t="shared" si="0"/>
        <v>12504</v>
      </c>
    </row>
    <row r="131" spans="1:4" ht="12.75">
      <c r="A131" s="1023" t="s">
        <v>336</v>
      </c>
      <c r="B131" s="234"/>
      <c r="C131" s="357">
        <f>9707-368</f>
        <v>9339</v>
      </c>
      <c r="D131" s="1022">
        <f t="shared" si="0"/>
        <v>9339</v>
      </c>
    </row>
    <row r="132" spans="1:4" ht="12.75">
      <c r="A132" s="1023" t="s">
        <v>337</v>
      </c>
      <c r="B132" s="234"/>
      <c r="C132" s="357">
        <f>19710-9875</f>
        <v>9835</v>
      </c>
      <c r="D132" s="1022">
        <f t="shared" si="0"/>
        <v>9835</v>
      </c>
    </row>
    <row r="133" spans="1:4" ht="12.75">
      <c r="A133" s="1023" t="s">
        <v>338</v>
      </c>
      <c r="B133" s="234"/>
      <c r="C133" s="357">
        <f>19250-7872</f>
        <v>11378</v>
      </c>
      <c r="D133" s="1022">
        <f t="shared" si="0"/>
        <v>11378</v>
      </c>
    </row>
    <row r="134" spans="1:4" ht="12.75">
      <c r="A134" s="1023" t="s">
        <v>339</v>
      </c>
      <c r="B134" s="234"/>
      <c r="C134" s="357">
        <v>9655</v>
      </c>
      <c r="D134" s="1022">
        <f t="shared" si="0"/>
        <v>9655</v>
      </c>
    </row>
    <row r="135" spans="1:4" ht="12.75">
      <c r="A135" s="1023" t="s">
        <v>340</v>
      </c>
      <c r="B135" s="234"/>
      <c r="C135" s="357">
        <v>2500</v>
      </c>
      <c r="D135" s="1022">
        <f t="shared" si="0"/>
        <v>2500</v>
      </c>
    </row>
    <row r="136" spans="1:4" ht="12.75">
      <c r="A136" s="1110" t="s">
        <v>1250</v>
      </c>
      <c r="B136" s="234"/>
      <c r="C136" s="357">
        <v>10822</v>
      </c>
      <c r="D136" s="1022">
        <f t="shared" si="0"/>
        <v>10822</v>
      </c>
    </row>
    <row r="137" spans="1:4" ht="12.75">
      <c r="A137" s="1065" t="s">
        <v>1215</v>
      </c>
      <c r="B137" s="234"/>
      <c r="C137" s="357">
        <v>2925</v>
      </c>
      <c r="D137" s="1022">
        <f t="shared" si="0"/>
        <v>2925</v>
      </c>
    </row>
    <row r="138" spans="1:4" ht="12.75">
      <c r="A138" s="1118" t="s">
        <v>1259</v>
      </c>
      <c r="B138" s="234"/>
      <c r="C138" s="357">
        <v>2242</v>
      </c>
      <c r="D138" s="1022">
        <f t="shared" si="0"/>
        <v>2242</v>
      </c>
    </row>
    <row r="139" spans="1:4" ht="13.5" thickBot="1">
      <c r="A139" s="1085" t="s">
        <v>1213</v>
      </c>
      <c r="B139" s="1024"/>
      <c r="C139" s="1025">
        <v>510</v>
      </c>
      <c r="D139" s="1026">
        <f t="shared" si="0"/>
        <v>510</v>
      </c>
    </row>
  </sheetData>
  <sheetProtection/>
  <mergeCells count="16">
    <mergeCell ref="C43:D43"/>
    <mergeCell ref="C44:D44"/>
    <mergeCell ref="C48:D48"/>
    <mergeCell ref="C50:D50"/>
    <mergeCell ref="A115:D115"/>
    <mergeCell ref="A120:D120"/>
    <mergeCell ref="A58:D58"/>
    <mergeCell ref="C49:D49"/>
    <mergeCell ref="A40:D40"/>
    <mergeCell ref="A42:D42"/>
    <mergeCell ref="A1:D1"/>
    <mergeCell ref="A3:D3"/>
    <mergeCell ref="A5:D5"/>
    <mergeCell ref="C6:D6"/>
    <mergeCell ref="C7:D7"/>
    <mergeCell ref="A38:D38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8"/>
  <sheetViews>
    <sheetView zoomScalePageLayoutView="0" workbookViewId="0" topLeftCell="A70">
      <selection activeCell="F81" sqref="F81"/>
    </sheetView>
  </sheetViews>
  <sheetFormatPr defaultColWidth="9.140625" defaultRowHeight="12.75"/>
  <cols>
    <col min="1" max="1" width="29.7109375" style="0" customWidth="1"/>
    <col min="2" max="2" width="13.57421875" style="0" customWidth="1"/>
    <col min="3" max="3" width="12.8515625" style="0" customWidth="1"/>
    <col min="4" max="5" width="12.7109375" style="0" customWidth="1"/>
  </cols>
  <sheetData>
    <row r="1" spans="4:5" ht="12.75">
      <c r="D1" s="1196" t="s">
        <v>341</v>
      </c>
      <c r="E1" s="1196"/>
    </row>
    <row r="3" spans="1:5" ht="15.75">
      <c r="A3" s="1176" t="s">
        <v>342</v>
      </c>
      <c r="B3" s="1176"/>
      <c r="C3" s="1176"/>
      <c r="D3" s="1176"/>
      <c r="E3" s="1176"/>
    </row>
    <row r="6" spans="4:5" ht="12.75">
      <c r="D6" s="1196" t="s">
        <v>33</v>
      </c>
      <c r="E6" s="1196"/>
    </row>
    <row r="7" spans="1:5" ht="12.75">
      <c r="A7" s="1197" t="s">
        <v>343</v>
      </c>
      <c r="B7" s="1199" t="s">
        <v>344</v>
      </c>
      <c r="C7" s="1201" t="s">
        <v>345</v>
      </c>
      <c r="D7" s="1201"/>
      <c r="E7" s="1202"/>
    </row>
    <row r="8" spans="1:5" ht="13.5" thickBot="1">
      <c r="A8" s="1198"/>
      <c r="B8" s="1200"/>
      <c r="C8" s="359" t="s">
        <v>346</v>
      </c>
      <c r="D8" s="360" t="s">
        <v>347</v>
      </c>
      <c r="E8" s="820" t="s">
        <v>348</v>
      </c>
    </row>
    <row r="9" spans="1:5" ht="13.5" thickBot="1">
      <c r="A9" s="1057" t="s">
        <v>349</v>
      </c>
      <c r="B9" s="1058" t="s">
        <v>82</v>
      </c>
      <c r="C9" s="1059">
        <v>600</v>
      </c>
      <c r="D9" s="1060"/>
      <c r="E9" s="1061">
        <f aca="true" t="shared" si="0" ref="E9:E15">SUM(C9:D9)</f>
        <v>600</v>
      </c>
    </row>
    <row r="10" spans="1:5" ht="13.5" thickBot="1">
      <c r="A10" s="823" t="s">
        <v>1209</v>
      </c>
      <c r="B10" s="1101" t="s">
        <v>82</v>
      </c>
      <c r="C10" s="1055">
        <v>350</v>
      </c>
      <c r="D10" s="1056"/>
      <c r="E10" s="1061">
        <f t="shared" si="0"/>
        <v>350</v>
      </c>
    </row>
    <row r="11" spans="1:5" ht="13.5" thickBot="1">
      <c r="A11" s="821" t="s">
        <v>350</v>
      </c>
      <c r="B11" s="359"/>
      <c r="C11" s="361">
        <f>SUM(C9:C10)</f>
        <v>950</v>
      </c>
      <c r="D11" s="361">
        <f>SUM(D9:D10)</f>
        <v>0</v>
      </c>
      <c r="E11" s="822">
        <f t="shared" si="0"/>
        <v>950</v>
      </c>
    </row>
    <row r="12" spans="1:5" ht="12.75">
      <c r="A12" s="1057" t="s">
        <v>351</v>
      </c>
      <c r="B12" s="1102" t="s">
        <v>1238</v>
      </c>
      <c r="C12" s="1153">
        <v>0</v>
      </c>
      <c r="D12" s="1154">
        <v>879</v>
      </c>
      <c r="E12" s="1155">
        <f t="shared" si="0"/>
        <v>879</v>
      </c>
    </row>
    <row r="13" spans="1:5" ht="12.75">
      <c r="A13" s="823" t="s">
        <v>1279</v>
      </c>
      <c r="B13" s="1102" t="s">
        <v>1238</v>
      </c>
      <c r="C13" s="362"/>
      <c r="D13" s="363">
        <v>1230</v>
      </c>
      <c r="E13" s="1156">
        <f t="shared" si="0"/>
        <v>1230</v>
      </c>
    </row>
    <row r="14" spans="1:5" ht="25.5">
      <c r="A14" s="824" t="s">
        <v>1189</v>
      </c>
      <c r="B14" s="1102" t="s">
        <v>1239</v>
      </c>
      <c r="C14" s="364"/>
      <c r="D14" s="365">
        <v>32</v>
      </c>
      <c r="E14" s="1086">
        <f t="shared" si="0"/>
        <v>32</v>
      </c>
    </row>
    <row r="15" spans="1:5" ht="12.75">
      <c r="A15" s="824" t="s">
        <v>1237</v>
      </c>
      <c r="B15" s="1102" t="s">
        <v>1238</v>
      </c>
      <c r="C15" s="364"/>
      <c r="D15" s="365">
        <f>577+417</f>
        <v>994</v>
      </c>
      <c r="E15" s="1086">
        <f t="shared" si="0"/>
        <v>994</v>
      </c>
    </row>
    <row r="16" spans="1:5" ht="12.75">
      <c r="A16" s="826"/>
      <c r="B16" s="1102"/>
      <c r="C16" s="364"/>
      <c r="D16" s="365"/>
      <c r="E16" s="825"/>
    </row>
    <row r="17" spans="1:5" ht="12.75">
      <c r="A17" s="826"/>
      <c r="B17" s="1102"/>
      <c r="C17" s="364"/>
      <c r="D17" s="365"/>
      <c r="E17" s="825"/>
    </row>
    <row r="18" spans="1:5" ht="12.75">
      <c r="A18" s="826"/>
      <c r="B18" s="1102"/>
      <c r="C18" s="364"/>
      <c r="D18" s="365"/>
      <c r="E18" s="825"/>
    </row>
    <row r="19" spans="1:5" ht="12.75">
      <c r="A19" s="826"/>
      <c r="B19" s="1102"/>
      <c r="C19" s="364"/>
      <c r="D19" s="365"/>
      <c r="E19" s="825"/>
    </row>
    <row r="20" spans="1:5" ht="13.5" thickBot="1">
      <c r="A20" s="827"/>
      <c r="B20" s="1103"/>
      <c r="C20" s="1104"/>
      <c r="D20" s="1105"/>
      <c r="E20" s="828"/>
    </row>
    <row r="21" spans="1:5" ht="16.5" thickBot="1">
      <c r="A21" s="829" t="s">
        <v>352</v>
      </c>
      <c r="B21" s="366"/>
      <c r="C21" s="367">
        <f>SUM(C12:C20)</f>
        <v>0</v>
      </c>
      <c r="D21" s="412">
        <f>SUM(D12:D20)</f>
        <v>3135</v>
      </c>
      <c r="E21" s="1158">
        <f>SUM(E12:E20)</f>
        <v>3135</v>
      </c>
    </row>
    <row r="22" spans="1:5" ht="16.5" thickBot="1">
      <c r="A22" s="830" t="s">
        <v>353</v>
      </c>
      <c r="B22" s="831"/>
      <c r="C22" s="1157">
        <f>SUM(C11:C20)</f>
        <v>950</v>
      </c>
      <c r="D22" s="1159">
        <f>SUM(D11:D20)</f>
        <v>3135</v>
      </c>
      <c r="E22" s="1046">
        <f>SUM(E11:E20)</f>
        <v>4085</v>
      </c>
    </row>
    <row r="24" spans="3:5" ht="12.75">
      <c r="C24" s="1196" t="s">
        <v>354</v>
      </c>
      <c r="D24" s="1196"/>
      <c r="E24" s="1196"/>
    </row>
    <row r="25" spans="3:5" ht="12.75">
      <c r="C25" s="369"/>
      <c r="D25" s="369"/>
      <c r="E25" s="369"/>
    </row>
    <row r="27" spans="1:5" ht="15.75">
      <c r="A27" s="1176" t="s">
        <v>355</v>
      </c>
      <c r="B27" s="1176"/>
      <c r="C27" s="1176"/>
      <c r="D27" s="1176"/>
      <c r="E27" s="1176"/>
    </row>
    <row r="28" spans="1:5" ht="15.75">
      <c r="A28" s="1176" t="s">
        <v>356</v>
      </c>
      <c r="B28" s="1176"/>
      <c r="C28" s="1176"/>
      <c r="D28" s="1176"/>
      <c r="E28" s="1176"/>
    </row>
    <row r="29" spans="1:5" ht="15.75">
      <c r="A29" s="27"/>
      <c r="B29" s="27"/>
      <c r="C29" s="27"/>
      <c r="D29" s="27"/>
      <c r="E29" s="27"/>
    </row>
    <row r="31" spans="4:5" ht="12.75">
      <c r="D31" s="1203" t="s">
        <v>33</v>
      </c>
      <c r="E31" s="1203"/>
    </row>
    <row r="32" spans="1:5" s="4" customFormat="1" ht="15.75">
      <c r="A32" s="370" t="s">
        <v>357</v>
      </c>
      <c r="B32" s="371"/>
      <c r="C32" s="372"/>
      <c r="D32" s="1204" t="s">
        <v>178</v>
      </c>
      <c r="E32" s="1204"/>
    </row>
    <row r="33" spans="1:5" ht="15.75">
      <c r="A33" s="373" t="s">
        <v>358</v>
      </c>
      <c r="B33" s="374"/>
      <c r="C33" s="375"/>
      <c r="D33" s="376"/>
      <c r="E33" s="377">
        <f>167000</f>
        <v>167000</v>
      </c>
    </row>
    <row r="34" spans="1:5" ht="15">
      <c r="A34" s="88" t="s">
        <v>359</v>
      </c>
      <c r="B34" s="37"/>
      <c r="C34" s="378"/>
      <c r="D34" s="379"/>
      <c r="E34" s="380">
        <v>5000</v>
      </c>
    </row>
    <row r="35" spans="1:5" ht="32.25" customHeight="1">
      <c r="A35" s="1205" t="s">
        <v>360</v>
      </c>
      <c r="B35" s="1205"/>
      <c r="C35" s="1205"/>
      <c r="D35" s="381"/>
      <c r="E35" s="382">
        <f>SUM(E33:E34)</f>
        <v>172000</v>
      </c>
    </row>
    <row r="38" spans="3:5" ht="12.75">
      <c r="C38" s="1196" t="s">
        <v>361</v>
      </c>
      <c r="D38" s="1196"/>
      <c r="E38" s="1196"/>
    </row>
    <row r="40" spans="1:5" ht="15.75">
      <c r="A40" s="1176" t="s">
        <v>362</v>
      </c>
      <c r="B40" s="1176"/>
      <c r="C40" s="1176"/>
      <c r="D40" s="1176"/>
      <c r="E40" s="1176"/>
    </row>
    <row r="41" spans="1:5" ht="15.75">
      <c r="A41" s="1176"/>
      <c r="B41" s="1176"/>
      <c r="C41" s="1176"/>
      <c r="D41" s="1176"/>
      <c r="E41" s="1176"/>
    </row>
    <row r="43" spans="4:5" ht="12.75">
      <c r="D43" s="1203" t="s">
        <v>33</v>
      </c>
      <c r="E43" s="1203"/>
    </row>
    <row r="44" spans="1:5" ht="13.5" thickBot="1">
      <c r="A44" s="383" t="s">
        <v>357</v>
      </c>
      <c r="B44" s="384"/>
      <c r="C44" s="385"/>
      <c r="D44" s="383" t="s">
        <v>178</v>
      </c>
      <c r="E44" s="385"/>
    </row>
    <row r="45" spans="1:5" ht="15">
      <c r="A45" s="386" t="s">
        <v>363</v>
      </c>
      <c r="B45" s="387"/>
      <c r="C45" s="388"/>
      <c r="D45" s="389"/>
      <c r="E45" s="397">
        <v>0</v>
      </c>
    </row>
    <row r="46" spans="1:5" ht="15">
      <c r="A46" s="390" t="s">
        <v>364</v>
      </c>
      <c r="B46" s="1124"/>
      <c r="C46" s="1125"/>
      <c r="D46" s="1126"/>
      <c r="E46" s="1172">
        <v>0</v>
      </c>
    </row>
    <row r="47" spans="1:5" ht="15.75" thickBot="1">
      <c r="A47" s="703" t="s">
        <v>1269</v>
      </c>
      <c r="B47" s="391"/>
      <c r="C47" s="392"/>
      <c r="D47" s="1123"/>
      <c r="E47" s="1171">
        <v>811</v>
      </c>
    </row>
    <row r="48" spans="1:5" ht="28.5" customHeight="1" thickBot="1">
      <c r="A48" s="1205" t="s">
        <v>365</v>
      </c>
      <c r="B48" s="1205"/>
      <c r="C48" s="1205"/>
      <c r="D48" s="393"/>
      <c r="E48" s="382">
        <f>SUM(E45:E47)</f>
        <v>811</v>
      </c>
    </row>
    <row r="51" spans="1:5" ht="12.75">
      <c r="A51" s="1206">
        <v>2</v>
      </c>
      <c r="B51" s="1206"/>
      <c r="C51" s="1206"/>
      <c r="D51" s="1206"/>
      <c r="E51" s="1206"/>
    </row>
    <row r="54" spans="3:5" ht="12.75">
      <c r="C54" s="1196" t="s">
        <v>366</v>
      </c>
      <c r="D54" s="1196"/>
      <c r="E54" s="1196"/>
    </row>
    <row r="56" spans="1:5" ht="15.75">
      <c r="A56" s="1176" t="s">
        <v>367</v>
      </c>
      <c r="B56" s="1176"/>
      <c r="C56" s="1176"/>
      <c r="D56" s="1176"/>
      <c r="E56" s="1176"/>
    </row>
    <row r="57" spans="1:5" ht="15.75">
      <c r="A57" s="27"/>
      <c r="B57" s="27"/>
      <c r="C57" s="27"/>
      <c r="D57" s="27"/>
      <c r="E57" s="27"/>
    </row>
    <row r="58" ht="12.75">
      <c r="E58" t="s">
        <v>368</v>
      </c>
    </row>
    <row r="59" spans="1:5" ht="26.25">
      <c r="A59" s="1207" t="s">
        <v>357</v>
      </c>
      <c r="B59" s="1207"/>
      <c r="C59" s="86" t="s">
        <v>369</v>
      </c>
      <c r="D59" s="86" t="s">
        <v>370</v>
      </c>
      <c r="E59" s="394" t="s">
        <v>178</v>
      </c>
    </row>
    <row r="60" spans="1:5" ht="12.75">
      <c r="A60" s="1208" t="s">
        <v>371</v>
      </c>
      <c r="B60" s="1208"/>
      <c r="C60" s="48">
        <v>0</v>
      </c>
      <c r="D60" s="48">
        <v>7000</v>
      </c>
      <c r="E60" s="94">
        <f>SUM(C60:D60)</f>
        <v>7000</v>
      </c>
    </row>
    <row r="61" spans="1:5" ht="12.75">
      <c r="A61" s="1209" t="s">
        <v>372</v>
      </c>
      <c r="B61" s="1209"/>
      <c r="C61" s="39">
        <v>0</v>
      </c>
      <c r="D61" s="39"/>
      <c r="E61" s="94">
        <f>SUM(C61:D61)</f>
        <v>0</v>
      </c>
    </row>
    <row r="62" spans="1:5" ht="12.75">
      <c r="A62" s="1212" t="s">
        <v>1160</v>
      </c>
      <c r="B62" s="1213"/>
      <c r="C62" s="58"/>
      <c r="D62" s="58">
        <v>550</v>
      </c>
      <c r="E62" s="851">
        <v>550</v>
      </c>
    </row>
    <row r="63" spans="1:5" ht="12.75">
      <c r="A63" s="1077" t="s">
        <v>1220</v>
      </c>
      <c r="B63" s="1078"/>
      <c r="C63" s="58"/>
      <c r="D63" s="58">
        <v>119</v>
      </c>
      <c r="E63" s="1079">
        <v>119</v>
      </c>
    </row>
    <row r="64" spans="1:5" ht="13.5" thickBot="1">
      <c r="A64" s="1210" t="s">
        <v>373</v>
      </c>
      <c r="B64" s="1210"/>
      <c r="C64" s="58">
        <f>266+46</f>
        <v>312</v>
      </c>
      <c r="D64" s="58"/>
      <c r="E64" s="53">
        <f>SUM(C64:D64)</f>
        <v>312</v>
      </c>
    </row>
    <row r="65" spans="1:19" s="229" customFormat="1" ht="13.5" thickBot="1">
      <c r="A65" s="1211" t="s">
        <v>84</v>
      </c>
      <c r="B65" s="1211"/>
      <c r="C65" s="16">
        <f>SUM(C60:C64)</f>
        <v>312</v>
      </c>
      <c r="D65" s="16">
        <f>SUM(D60:D64)</f>
        <v>7669</v>
      </c>
      <c r="E65" s="16">
        <f>SUM(E60:E64)</f>
        <v>7981</v>
      </c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</row>
    <row r="66" spans="1:19" s="91" customFormat="1" ht="12.75">
      <c r="A66" s="1214" t="s">
        <v>1262</v>
      </c>
      <c r="B66" s="1214"/>
      <c r="C66" s="334"/>
      <c r="D66" s="82">
        <v>82</v>
      </c>
      <c r="E66" s="871">
        <f>D66+C66</f>
        <v>82</v>
      </c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</row>
    <row r="67" spans="1:19" s="91" customFormat="1" ht="12.75">
      <c r="A67" s="1210"/>
      <c r="B67" s="1210"/>
      <c r="C67" s="13"/>
      <c r="D67" s="25"/>
      <c r="E67" s="355">
        <f>D67+C67</f>
        <v>0</v>
      </c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</row>
    <row r="68" spans="1:19" s="91" customFormat="1" ht="12.75">
      <c r="A68" s="1210"/>
      <c r="B68" s="1210"/>
      <c r="C68" s="13"/>
      <c r="D68" s="25"/>
      <c r="E68" s="353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</row>
    <row r="69" spans="1:19" s="91" customFormat="1" ht="12.75">
      <c r="A69" s="1210"/>
      <c r="B69" s="1210"/>
      <c r="C69" s="13"/>
      <c r="D69" s="25"/>
      <c r="E69" s="353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</row>
    <row r="70" spans="1:19" s="91" customFormat="1" ht="12.75">
      <c r="A70" s="1215"/>
      <c r="B70" s="1215"/>
      <c r="C70" s="13"/>
      <c r="D70" s="25"/>
      <c r="E70" s="353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</row>
    <row r="71" spans="1:19" s="229" customFormat="1" ht="12.75">
      <c r="A71" s="1211" t="s">
        <v>374</v>
      </c>
      <c r="B71" s="1211"/>
      <c r="C71" s="60"/>
      <c r="D71" s="817">
        <f>SUM(D66:D70)</f>
        <v>82</v>
      </c>
      <c r="E71" s="1119">
        <f>D71+C71</f>
        <v>82</v>
      </c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</row>
    <row r="72" spans="1:5" ht="12.75">
      <c r="A72" s="1214"/>
      <c r="B72" s="1214"/>
      <c r="C72" s="64"/>
      <c r="D72" s="64"/>
      <c r="E72" s="53"/>
    </row>
    <row r="73" spans="1:6" ht="27" customHeight="1">
      <c r="A73" s="1216" t="s">
        <v>375</v>
      </c>
      <c r="B73" s="1216"/>
      <c r="C73" s="60">
        <f>C65+C71</f>
        <v>312</v>
      </c>
      <c r="D73" s="817">
        <f>D71+D65</f>
        <v>7751</v>
      </c>
      <c r="E73" s="819">
        <f>E71+E65</f>
        <v>8063</v>
      </c>
      <c r="F73" s="91"/>
    </row>
    <row r="74" spans="1:5" ht="27" customHeight="1">
      <c r="A74" s="396"/>
      <c r="B74" s="396"/>
      <c r="C74" s="37"/>
      <c r="D74" s="37"/>
      <c r="E74" s="37"/>
    </row>
    <row r="75" spans="1:5" ht="27" customHeight="1">
      <c r="A75" s="396"/>
      <c r="B75" s="396"/>
      <c r="C75" s="37"/>
      <c r="D75" s="37"/>
      <c r="E75" s="37"/>
    </row>
    <row r="76" spans="1:2" ht="12.75">
      <c r="A76" s="1217"/>
      <c r="B76" s="1217"/>
    </row>
    <row r="77" spans="3:5" ht="12.75">
      <c r="C77" s="1196" t="s">
        <v>376</v>
      </c>
      <c r="D77" s="1196"/>
      <c r="E77" s="1196"/>
    </row>
    <row r="78" spans="3:5" ht="12.75">
      <c r="C78" s="369"/>
      <c r="D78" s="369"/>
      <c r="E78" s="369"/>
    </row>
    <row r="80" spans="1:5" ht="18">
      <c r="A80" s="1218" t="s">
        <v>377</v>
      </c>
      <c r="B80" s="1218"/>
      <c r="C80" s="1218"/>
      <c r="D80" s="1218"/>
      <c r="E80" s="1218"/>
    </row>
    <row r="81" spans="1:5" ht="15.75">
      <c r="A81" s="1176"/>
      <c r="B81" s="1176"/>
      <c r="C81" s="1176"/>
      <c r="D81" s="1176"/>
      <c r="E81" s="1176"/>
    </row>
    <row r="83" spans="4:5" ht="13.5" thickBot="1">
      <c r="D83" s="1196" t="s">
        <v>33</v>
      </c>
      <c r="E83" s="1196"/>
    </row>
    <row r="84" spans="1:5" ht="13.5" thickBot="1">
      <c r="A84" s="1255" t="s">
        <v>357</v>
      </c>
      <c r="B84" s="1256"/>
      <c r="C84" s="1256"/>
      <c r="D84" s="1255" t="s">
        <v>178</v>
      </c>
      <c r="E84" s="1257"/>
    </row>
    <row r="85" spans="1:5" ht="15">
      <c r="A85" s="1258" t="s">
        <v>378</v>
      </c>
      <c r="B85" s="387"/>
      <c r="C85" s="387"/>
      <c r="D85" s="1266"/>
      <c r="E85" s="1259">
        <f>'2_m_n_sz_ melléklet'!B21</f>
        <v>0</v>
      </c>
    </row>
    <row r="86" spans="1:5" ht="15">
      <c r="A86" s="1260" t="s">
        <v>379</v>
      </c>
      <c r="B86" s="1124"/>
      <c r="C86" s="1124"/>
      <c r="D86" s="1267"/>
      <c r="E86" s="1261">
        <f>'2_m_n_sz_ melléklet'!B44</f>
        <v>4500</v>
      </c>
    </row>
    <row r="87" spans="1:5" ht="15.75" thickBot="1">
      <c r="A87" s="838" t="s">
        <v>1295</v>
      </c>
      <c r="B87" s="37"/>
      <c r="C87" s="37"/>
      <c r="D87" s="838"/>
      <c r="E87" s="1261">
        <f>246000+29016</f>
        <v>275016</v>
      </c>
    </row>
    <row r="88" spans="1:5" ht="16.5" thickBot="1">
      <c r="A88" s="1262" t="s">
        <v>380</v>
      </c>
      <c r="B88" s="1263"/>
      <c r="C88" s="1265"/>
      <c r="D88" s="1268"/>
      <c r="E88" s="1264">
        <f>SUM(E85:E87)</f>
        <v>279516</v>
      </c>
    </row>
  </sheetData>
  <sheetProtection/>
  <mergeCells count="40">
    <mergeCell ref="D83:E83"/>
    <mergeCell ref="A88:C88"/>
    <mergeCell ref="A72:B72"/>
    <mergeCell ref="A73:B73"/>
    <mergeCell ref="A76:B76"/>
    <mergeCell ref="C77:E77"/>
    <mergeCell ref="A80:E80"/>
    <mergeCell ref="A81:E81"/>
    <mergeCell ref="A66:B66"/>
    <mergeCell ref="A67:B67"/>
    <mergeCell ref="A68:B68"/>
    <mergeCell ref="A69:B69"/>
    <mergeCell ref="A70:B70"/>
    <mergeCell ref="A71:B71"/>
    <mergeCell ref="A56:E56"/>
    <mergeCell ref="A59:B59"/>
    <mergeCell ref="A60:B60"/>
    <mergeCell ref="A61:B61"/>
    <mergeCell ref="A64:B64"/>
    <mergeCell ref="A65:B65"/>
    <mergeCell ref="A62:B62"/>
    <mergeCell ref="C38:E38"/>
    <mergeCell ref="A40:E40"/>
    <mergeCell ref="A41:E41"/>
    <mergeCell ref="D43:E43"/>
    <mergeCell ref="A48:C48"/>
    <mergeCell ref="C54:E54"/>
    <mergeCell ref="A51:E51"/>
    <mergeCell ref="C24:E24"/>
    <mergeCell ref="A27:E27"/>
    <mergeCell ref="A28:E28"/>
    <mergeCell ref="D31:E31"/>
    <mergeCell ref="D32:E32"/>
    <mergeCell ref="A35:C35"/>
    <mergeCell ref="D1:E1"/>
    <mergeCell ref="A3:E3"/>
    <mergeCell ref="D6:E6"/>
    <mergeCell ref="A7:A8"/>
    <mergeCell ref="B7:B8"/>
    <mergeCell ref="C7:E7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selection activeCell="A92" sqref="A1:E92"/>
    </sheetView>
  </sheetViews>
  <sheetFormatPr defaultColWidth="9.140625" defaultRowHeight="12.75"/>
  <cols>
    <col min="1" max="1" width="39.8515625" style="0" customWidth="1"/>
    <col min="2" max="2" width="13.7109375" style="0" customWidth="1"/>
    <col min="3" max="3" width="12.8515625" style="0" customWidth="1"/>
    <col min="4" max="4" width="12.421875" style="0" customWidth="1"/>
  </cols>
  <sheetData>
    <row r="1" spans="3:4" ht="12.75">
      <c r="C1" s="1196" t="s">
        <v>381</v>
      </c>
      <c r="D1" s="1196"/>
    </row>
    <row r="2" spans="3:4" ht="12.75">
      <c r="C2" s="369"/>
      <c r="D2" s="369"/>
    </row>
    <row r="4" spans="1:4" ht="15.75">
      <c r="A4" s="1176" t="s">
        <v>382</v>
      </c>
      <c r="B4" s="1176"/>
      <c r="C4" s="1176"/>
      <c r="D4" s="1176"/>
    </row>
    <row r="5" spans="1:4" ht="15.75">
      <c r="A5" s="1176" t="s">
        <v>383</v>
      </c>
      <c r="B5" s="1176"/>
      <c r="C5" s="1176"/>
      <c r="D5" s="1176"/>
    </row>
    <row r="6" spans="1:4" ht="15.75">
      <c r="A6" s="27"/>
      <c r="B6" s="27"/>
      <c r="C6" s="27"/>
      <c r="D6" s="27"/>
    </row>
    <row r="8" ht="12.75">
      <c r="C8" s="369" t="s">
        <v>33</v>
      </c>
    </row>
    <row r="9" spans="1:4" ht="24">
      <c r="A9" s="383" t="s">
        <v>357</v>
      </c>
      <c r="B9" s="85" t="s">
        <v>82</v>
      </c>
      <c r="C9" s="85" t="s">
        <v>83</v>
      </c>
      <c r="D9" s="85" t="s">
        <v>384</v>
      </c>
    </row>
    <row r="10" spans="1:4" ht="15" customHeight="1">
      <c r="A10" s="319" t="s">
        <v>385</v>
      </c>
      <c r="B10" s="182">
        <v>0</v>
      </c>
      <c r="C10" s="398">
        <v>0</v>
      </c>
      <c r="D10" s="69">
        <f>SUM(B10:C10)</f>
        <v>0</v>
      </c>
    </row>
    <row r="11" spans="1:4" ht="15" customHeight="1">
      <c r="A11" s="71" t="s">
        <v>273</v>
      </c>
      <c r="B11" s="329">
        <f>24606+1670</f>
        <v>26276</v>
      </c>
      <c r="C11" s="399">
        <v>990</v>
      </c>
      <c r="D11" s="39">
        <f>SUM(B11:C11)</f>
        <v>27266</v>
      </c>
    </row>
    <row r="12" spans="1:4" ht="15" customHeight="1">
      <c r="A12" s="88" t="s">
        <v>386</v>
      </c>
      <c r="B12" s="39"/>
      <c r="C12" s="56"/>
      <c r="D12" s="39">
        <f>SUM(B12:C12)</f>
        <v>0</v>
      </c>
    </row>
    <row r="13" spans="1:4" ht="15" customHeight="1">
      <c r="A13" s="400" t="s">
        <v>275</v>
      </c>
      <c r="B13" s="64">
        <f>400+130</f>
        <v>530</v>
      </c>
      <c r="C13" s="53">
        <v>10</v>
      </c>
      <c r="D13" s="39">
        <f>SUM(B13:C13)</f>
        <v>540</v>
      </c>
    </row>
    <row r="14" spans="1:4" ht="15" customHeight="1">
      <c r="A14" s="295" t="s">
        <v>387</v>
      </c>
      <c r="B14" s="39"/>
      <c r="C14" s="56">
        <f>'2_a_d_sz_ melléklet'!B18</f>
        <v>60</v>
      </c>
      <c r="D14" s="94">
        <f>SUM(B14:C14)</f>
        <v>60</v>
      </c>
    </row>
    <row r="15" spans="1:4" s="91" customFormat="1" ht="15" customHeight="1">
      <c r="A15" s="90" t="s">
        <v>388</v>
      </c>
      <c r="B15" s="368">
        <f>SUM(B10:B14)</f>
        <v>26806</v>
      </c>
      <c r="C15" s="401">
        <f>SUM(C10:C14)</f>
        <v>1060</v>
      </c>
      <c r="D15" s="401">
        <f>SUM(D10:D14)</f>
        <v>27866</v>
      </c>
    </row>
    <row r="16" spans="1:4" ht="15" customHeight="1">
      <c r="A16" s="402"/>
      <c r="B16" s="329"/>
      <c r="C16" s="403"/>
      <c r="D16" s="404"/>
    </row>
    <row r="17" spans="1:4" ht="15" customHeight="1">
      <c r="A17" s="291" t="s">
        <v>245</v>
      </c>
      <c r="B17" s="405">
        <f>'2_f_h_sz_ melléklet'!B64+'2_f_h_sz_ melléklet'!B65</f>
        <v>300720</v>
      </c>
      <c r="C17" s="405">
        <v>0</v>
      </c>
      <c r="D17" s="406">
        <f>SUM(B17:C17)</f>
        <v>300720</v>
      </c>
    </row>
    <row r="18" spans="1:4" ht="15" customHeight="1">
      <c r="A18" s="95" t="s">
        <v>246</v>
      </c>
      <c r="B18" s="407">
        <f>'2_f_h_sz_ melléklet'!B64</f>
        <v>292558</v>
      </c>
      <c r="C18" s="407">
        <v>0</v>
      </c>
      <c r="D18" s="406">
        <f>SUM(B18:C18)</f>
        <v>292558</v>
      </c>
    </row>
    <row r="19" spans="1:4" ht="15" customHeight="1">
      <c r="A19" s="95" t="s">
        <v>247</v>
      </c>
      <c r="B19" s="407">
        <v>0</v>
      </c>
      <c r="C19" s="407">
        <v>0</v>
      </c>
      <c r="D19" s="406">
        <f>SUM(B19:C19)</f>
        <v>0</v>
      </c>
    </row>
    <row r="20" spans="1:4" ht="15" customHeight="1">
      <c r="A20" s="1053" t="s">
        <v>246</v>
      </c>
      <c r="B20" s="1054">
        <v>0</v>
      </c>
      <c r="C20" s="1054">
        <v>0</v>
      </c>
      <c r="D20" s="406">
        <f>SUM(B20:C20)</f>
        <v>0</v>
      </c>
    </row>
    <row r="21" spans="1:4" ht="15" customHeight="1" thickBot="1">
      <c r="A21" s="1050" t="s">
        <v>1208</v>
      </c>
      <c r="B21" s="1051">
        <v>5784</v>
      </c>
      <c r="C21" s="1052">
        <v>52904</v>
      </c>
      <c r="D21" s="406">
        <f>SUM(B21:C21)</f>
        <v>58688</v>
      </c>
    </row>
    <row r="22" spans="1:4" s="91" customFormat="1" ht="15" customHeight="1" thickBot="1">
      <c r="A22" s="90" t="s">
        <v>317</v>
      </c>
      <c r="B22" s="368">
        <f>B17+B19+B21</f>
        <v>306504</v>
      </c>
      <c r="C22" s="368">
        <f>C17+C19+C21</f>
        <v>52904</v>
      </c>
      <c r="D22" s="401">
        <f>C22+B22</f>
        <v>359408</v>
      </c>
    </row>
    <row r="23" spans="1:4" ht="15" customHeight="1">
      <c r="A23" s="402"/>
      <c r="B23" s="406"/>
      <c r="C23" s="409"/>
      <c r="D23" s="409"/>
    </row>
    <row r="24" spans="1:4" ht="15" customHeight="1">
      <c r="A24" s="88" t="s">
        <v>389</v>
      </c>
      <c r="B24" s="329">
        <f>'2_i_j_sz_ mell_'!C9+'2_i_j_sz_ mell_'!C10</f>
        <v>950</v>
      </c>
      <c r="C24" s="399">
        <v>0</v>
      </c>
      <c r="D24" s="399">
        <f>SUM(B24:C24)</f>
        <v>950</v>
      </c>
    </row>
    <row r="25" spans="1:4" ht="15" customHeight="1">
      <c r="A25" s="89" t="s">
        <v>390</v>
      </c>
      <c r="B25" s="48">
        <f>'2_i_j_sz_ mell_'!C64</f>
        <v>312</v>
      </c>
      <c r="C25" s="409"/>
      <c r="D25" s="399">
        <f>SUM(B25:C25)</f>
        <v>312</v>
      </c>
    </row>
    <row r="26" spans="1:4" ht="15" customHeight="1">
      <c r="A26" s="90" t="s">
        <v>391</v>
      </c>
      <c r="B26" s="368">
        <f>SUM(B24:B25)</f>
        <v>1262</v>
      </c>
      <c r="C26" s="368">
        <f>SUM(C24:C25)</f>
        <v>0</v>
      </c>
      <c r="D26" s="368">
        <f>SUM(D24:D25)</f>
        <v>1262</v>
      </c>
    </row>
    <row r="27" spans="1:4" ht="15" customHeight="1">
      <c r="A27" s="402"/>
      <c r="B27" s="410"/>
      <c r="C27" s="409"/>
      <c r="D27" s="409"/>
    </row>
    <row r="28" spans="1:4" ht="15" customHeight="1">
      <c r="A28" s="88" t="s">
        <v>257</v>
      </c>
      <c r="B28" s="39">
        <v>0</v>
      </c>
      <c r="C28" s="56">
        <v>0</v>
      </c>
      <c r="D28" s="56">
        <f>SUM(B28:C28)</f>
        <v>0</v>
      </c>
    </row>
    <row r="29" spans="1:4" ht="15" customHeight="1">
      <c r="A29" s="88" t="s">
        <v>392</v>
      </c>
      <c r="B29" s="39">
        <v>0</v>
      </c>
      <c r="C29" s="56">
        <v>0</v>
      </c>
      <c r="D29" s="56">
        <f>SUM(B29:C29)</f>
        <v>0</v>
      </c>
    </row>
    <row r="30" spans="1:4" s="91" customFormat="1" ht="30" customHeight="1">
      <c r="A30" s="307" t="s">
        <v>393</v>
      </c>
      <c r="B30" s="368">
        <f>SUM(B28:B29)</f>
        <v>0</v>
      </c>
      <c r="C30" s="368">
        <f>SUM(C28:C29)</f>
        <v>0</v>
      </c>
      <c r="D30" s="368">
        <f>SUM(D28:D29)</f>
        <v>0</v>
      </c>
    </row>
    <row r="31" spans="1:4" ht="15" customHeight="1">
      <c r="A31" s="66"/>
      <c r="B31" s="411"/>
      <c r="C31" s="412"/>
      <c r="D31" s="411"/>
    </row>
    <row r="32" spans="1:4" ht="15" customHeight="1">
      <c r="A32" s="88" t="s">
        <v>394</v>
      </c>
      <c r="B32" s="39">
        <f>B33+B34</f>
        <v>24119</v>
      </c>
      <c r="C32" s="55">
        <f>C33+C34</f>
        <v>990</v>
      </c>
      <c r="D32" s="39">
        <f>D33+D34</f>
        <v>25109</v>
      </c>
    </row>
    <row r="33" spans="1:4" ht="15" customHeight="1">
      <c r="A33" s="88" t="s">
        <v>395</v>
      </c>
      <c r="B33" s="48">
        <f>29353-5784</f>
        <v>23569</v>
      </c>
      <c r="C33" s="131">
        <f>17843+15483+10000+354-42690</f>
        <v>990</v>
      </c>
      <c r="D33" s="48">
        <f>SUM(B33:C33)</f>
        <v>24559</v>
      </c>
    </row>
    <row r="34" spans="1:4" ht="15" customHeight="1">
      <c r="A34" s="88" t="s">
        <v>396</v>
      </c>
      <c r="B34" s="39">
        <v>550</v>
      </c>
      <c r="C34" s="55">
        <f>5998+227+3989-10214</f>
        <v>0</v>
      </c>
      <c r="D34" s="39">
        <f>SUM(B34:C34)</f>
        <v>550</v>
      </c>
    </row>
    <row r="35" spans="1:4" ht="15" customHeight="1">
      <c r="A35" s="358"/>
      <c r="B35" s="63"/>
      <c r="C35" s="165"/>
      <c r="D35" s="63"/>
    </row>
    <row r="36" spans="1:4" ht="15" customHeight="1">
      <c r="A36" s="101" t="s">
        <v>397</v>
      </c>
      <c r="B36" s="368">
        <f>B32</f>
        <v>24119</v>
      </c>
      <c r="C36" s="368">
        <f>SUM(C32)</f>
        <v>990</v>
      </c>
      <c r="D36" s="368">
        <f>SUM(D32)</f>
        <v>25109</v>
      </c>
    </row>
    <row r="37" spans="1:4" ht="15" customHeight="1">
      <c r="A37" s="413"/>
      <c r="B37" s="414"/>
      <c r="C37" s="414"/>
      <c r="D37" s="414"/>
    </row>
    <row r="38" spans="1:4" ht="15" customHeight="1">
      <c r="A38" s="90" t="s">
        <v>398</v>
      </c>
      <c r="B38" s="368">
        <f>B36+B30+B26+B22+B15</f>
        <v>358691</v>
      </c>
      <c r="C38" s="368">
        <f>C36+C30+C26+C22+C15</f>
        <v>54954</v>
      </c>
      <c r="D38" s="368">
        <f>D36+D30+D26+D22+D15</f>
        <v>413645</v>
      </c>
    </row>
    <row r="39" spans="1:4" ht="15" customHeight="1">
      <c r="A39" s="101"/>
      <c r="B39" s="368"/>
      <c r="C39" s="415"/>
      <c r="D39" s="415"/>
    </row>
    <row r="40" spans="1:4" ht="15" customHeight="1">
      <c r="A40" s="184" t="s">
        <v>264</v>
      </c>
      <c r="B40" s="74">
        <f>B41+B42</f>
        <v>0</v>
      </c>
      <c r="C40" s="74">
        <f>C41+C42</f>
        <v>0</v>
      </c>
      <c r="D40" s="74">
        <f>D41+D42</f>
        <v>0</v>
      </c>
    </row>
    <row r="41" spans="1:4" ht="15" customHeight="1">
      <c r="A41" s="311" t="s">
        <v>265</v>
      </c>
      <c r="B41" s="64">
        <v>0</v>
      </c>
      <c r="C41" s="72">
        <v>0</v>
      </c>
      <c r="D41" s="403">
        <f>SUM(B41:C41)</f>
        <v>0</v>
      </c>
    </row>
    <row r="42" spans="1:4" ht="15" customHeight="1">
      <c r="A42" s="88" t="s">
        <v>266</v>
      </c>
      <c r="B42" s="39">
        <v>0</v>
      </c>
      <c r="C42" s="40">
        <v>0</v>
      </c>
      <c r="D42" s="406">
        <f>SUM(B42:C42)</f>
        <v>0</v>
      </c>
    </row>
    <row r="43" spans="1:4" ht="15" customHeight="1">
      <c r="A43" s="413"/>
      <c r="B43" s="416"/>
      <c r="C43" s="417"/>
      <c r="D43" s="418"/>
    </row>
    <row r="44" spans="1:4" s="91" customFormat="1" ht="15" customHeight="1">
      <c r="A44" s="90" t="s">
        <v>399</v>
      </c>
      <c r="B44" s="368">
        <f>2000+4118+182+565-906</f>
        <v>5959</v>
      </c>
      <c r="C44" s="401">
        <f>279485+3267+3137</f>
        <v>285889</v>
      </c>
      <c r="D44" s="419">
        <f>B44+C44</f>
        <v>291848</v>
      </c>
    </row>
    <row r="45" spans="1:4" ht="15" customHeight="1">
      <c r="A45" s="413"/>
      <c r="B45" s="414"/>
      <c r="C45" s="414"/>
      <c r="D45" s="414"/>
    </row>
    <row r="46" spans="1:4" ht="15" customHeight="1" thickBot="1">
      <c r="A46" s="90" t="s">
        <v>400</v>
      </c>
      <c r="B46" s="368">
        <f>B44+B40+B38</f>
        <v>364650</v>
      </c>
      <c r="C46" s="401">
        <f>C44+C40+C38</f>
        <v>340843</v>
      </c>
      <c r="D46" s="401">
        <f>D44+D40+D38</f>
        <v>705493</v>
      </c>
    </row>
    <row r="47" spans="1:4" ht="15" customHeight="1">
      <c r="A47" s="323"/>
      <c r="B47" s="744"/>
      <c r="C47" s="744"/>
      <c r="D47" s="744"/>
    </row>
    <row r="48" spans="1:5" ht="12.75">
      <c r="A48" s="1182">
        <v>2</v>
      </c>
      <c r="B48" s="1182"/>
      <c r="C48" s="1182"/>
      <c r="D48" s="1182"/>
      <c r="E48" s="1182"/>
    </row>
    <row r="49" spans="3:4" ht="12.75">
      <c r="C49" s="1196" t="s">
        <v>381</v>
      </c>
      <c r="D49" s="1196"/>
    </row>
    <row r="51" spans="1:4" ht="15.75">
      <c r="A51" s="1176" t="s">
        <v>382</v>
      </c>
      <c r="B51" s="1176"/>
      <c r="C51" s="1176"/>
      <c r="D51" s="1176"/>
    </row>
    <row r="52" spans="1:4" ht="15.75">
      <c r="A52" s="1176" t="s">
        <v>383</v>
      </c>
      <c r="B52" s="1176"/>
      <c r="C52" s="1176"/>
      <c r="D52" s="1176"/>
    </row>
    <row r="54" ht="12.75">
      <c r="C54" s="369" t="s">
        <v>33</v>
      </c>
    </row>
    <row r="55" spans="1:4" ht="48">
      <c r="A55" s="383" t="s">
        <v>357</v>
      </c>
      <c r="B55" s="85" t="s">
        <v>401</v>
      </c>
      <c r="C55" s="420" t="s">
        <v>402</v>
      </c>
      <c r="D55" s="421" t="s">
        <v>403</v>
      </c>
    </row>
    <row r="56" spans="1:4" ht="15" customHeight="1">
      <c r="A56" s="319" t="s">
        <v>385</v>
      </c>
      <c r="B56" s="182">
        <f>5400+1144+71</f>
        <v>6615</v>
      </c>
      <c r="C56" s="398">
        <v>0</v>
      </c>
      <c r="D56" s="69">
        <f>SUM(B56:C56)</f>
        <v>6615</v>
      </c>
    </row>
    <row r="57" spans="1:4" ht="15" customHeight="1">
      <c r="A57" s="71" t="s">
        <v>273</v>
      </c>
      <c r="B57" s="329">
        <f>9600+10+540+60+50+50+50+50+5+120+120+160+120+160+40+50+1610+5-1641+40-812+88+1164+274+274</f>
        <v>12187</v>
      </c>
      <c r="C57" s="399">
        <f>'2_l_sz_ melléklet'!F64</f>
        <v>147320</v>
      </c>
      <c r="D57" s="39">
        <f>SUM(B57:C57)</f>
        <v>159507</v>
      </c>
    </row>
    <row r="58" spans="1:4" ht="15" customHeight="1">
      <c r="A58" s="88" t="s">
        <v>386</v>
      </c>
      <c r="B58" s="39">
        <f>3000+2+1377+15+12+12+116+12+12+1+24+24+32+24+32+8+83+13+1-34+27936+2794+68+10609+59</f>
        <v>46232</v>
      </c>
      <c r="C58" s="399">
        <f>'2_l_sz_ melléklet'!F65</f>
        <v>27876</v>
      </c>
      <c r="D58" s="39">
        <f>SUM(B58:C58)</f>
        <v>74108</v>
      </c>
    </row>
    <row r="59" spans="1:4" ht="15" customHeight="1">
      <c r="A59" s="400" t="s">
        <v>275</v>
      </c>
      <c r="B59" s="64">
        <f>1600+8+11+26+18+5</f>
        <v>1668</v>
      </c>
      <c r="C59" s="399">
        <f>'2_l_sz_ melléklet'!F66</f>
        <v>960</v>
      </c>
      <c r="D59" s="39">
        <f>SUM(B59:C59)</f>
        <v>2628</v>
      </c>
    </row>
    <row r="60" spans="1:4" ht="15" customHeight="1">
      <c r="A60" s="295" t="s">
        <v>387</v>
      </c>
      <c r="B60" s="39">
        <f>'2_a_d_sz_ melléklet'!C22</f>
        <v>1325</v>
      </c>
      <c r="C60" s="399">
        <f>'2_l_sz_ melléklet'!F67</f>
        <v>3188</v>
      </c>
      <c r="D60" s="94">
        <f>SUM(B60:C60)</f>
        <v>4513</v>
      </c>
    </row>
    <row r="61" spans="1:4" ht="15" customHeight="1">
      <c r="A61" s="90" t="s">
        <v>388</v>
      </c>
      <c r="B61" s="368">
        <f>SUM(B56:B60)</f>
        <v>68027</v>
      </c>
      <c r="C61" s="401">
        <f>SUM(C56:C60)</f>
        <v>179344</v>
      </c>
      <c r="D61" s="401">
        <f>SUM(D56:D60)</f>
        <v>247371</v>
      </c>
    </row>
    <row r="62" spans="1:4" ht="15" customHeight="1">
      <c r="A62" s="402"/>
      <c r="B62" s="329"/>
      <c r="C62" s="403"/>
      <c r="D62" s="404"/>
    </row>
    <row r="63" spans="1:4" ht="15" customHeight="1">
      <c r="A63" s="291" t="s">
        <v>245</v>
      </c>
      <c r="B63" s="405">
        <f>'2_f_h_sz_ melléklet'!C96</f>
        <v>205424</v>
      </c>
      <c r="C63" s="405">
        <f>'2_l_sz_ melléklet'!F70</f>
        <v>17019</v>
      </c>
      <c r="D63" s="406">
        <f>SUM(B63:C63)</f>
        <v>222443</v>
      </c>
    </row>
    <row r="64" spans="1:4" ht="15" customHeight="1">
      <c r="A64" s="95" t="s">
        <v>246</v>
      </c>
      <c r="B64" s="407">
        <f>'2_f_h_sz_ melléklet'!C72</f>
        <v>1501</v>
      </c>
      <c r="C64" s="422">
        <f>'2_l_sz_ melléklet'!F71</f>
        <v>0</v>
      </c>
      <c r="D64" s="406">
        <f>SUM(B64:C64)</f>
        <v>1501</v>
      </c>
    </row>
    <row r="65" spans="1:4" ht="15" customHeight="1">
      <c r="A65" s="95" t="s">
        <v>247</v>
      </c>
      <c r="B65" s="407">
        <f>'2_f_h_sz_ melléklet'!C126</f>
        <v>79965</v>
      </c>
      <c r="C65" s="422">
        <f>'2_l_sz_ melléklet'!F72</f>
        <v>0</v>
      </c>
      <c r="D65" s="406">
        <f>SUM(B65:C65)</f>
        <v>79965</v>
      </c>
    </row>
    <row r="66" spans="1:4" ht="15" customHeight="1">
      <c r="A66" s="292" t="s">
        <v>246</v>
      </c>
      <c r="B66" s="408">
        <v>0</v>
      </c>
      <c r="C66" s="423">
        <f>'2_l_sz_ melléklet'!F73</f>
        <v>0</v>
      </c>
      <c r="D66" s="406">
        <f>SUM(B66:C66)</f>
        <v>0</v>
      </c>
    </row>
    <row r="67" spans="1:4" ht="15" customHeight="1">
      <c r="A67" s="90" t="s">
        <v>317</v>
      </c>
      <c r="B67" s="368">
        <f>B63+B65</f>
        <v>285389</v>
      </c>
      <c r="C67" s="401">
        <f>C63+C65</f>
        <v>17019</v>
      </c>
      <c r="D67" s="401">
        <f>C67+B67</f>
        <v>302408</v>
      </c>
    </row>
    <row r="68" spans="1:4" ht="15" customHeight="1">
      <c r="A68" s="402"/>
      <c r="B68" s="406"/>
      <c r="C68" s="409"/>
      <c r="D68" s="409"/>
    </row>
    <row r="69" spans="1:4" ht="15" customHeight="1">
      <c r="A69" s="88" t="s">
        <v>389</v>
      </c>
      <c r="B69" s="329">
        <f>'2_i_j_sz_ mell_'!D15+'2_i_j_sz_ mell_'!D13+'2_i_j_sz_ mell_'!D12</f>
        <v>3103</v>
      </c>
      <c r="C69" s="399">
        <f>'2_l_sz_ melléklet'!F76</f>
        <v>32</v>
      </c>
      <c r="D69" s="399">
        <f>SUM(B69:C69)</f>
        <v>3135</v>
      </c>
    </row>
    <row r="70" spans="1:4" ht="15" customHeight="1">
      <c r="A70" s="89" t="s">
        <v>390</v>
      </c>
      <c r="B70" s="48">
        <f>'2_i_j_sz_ mell_'!D66</f>
        <v>82</v>
      </c>
      <c r="C70" s="409">
        <f>'2_l_sz_ melléklet'!F77</f>
        <v>7669</v>
      </c>
      <c r="D70" s="399">
        <f>SUM(B70:C70)</f>
        <v>7751</v>
      </c>
    </row>
    <row r="71" spans="1:4" ht="15" customHeight="1">
      <c r="A71" s="90" t="s">
        <v>391</v>
      </c>
      <c r="B71" s="368">
        <f>SUM(B69:B70)</f>
        <v>3185</v>
      </c>
      <c r="C71" s="368">
        <f>SUM(C69:C70)</f>
        <v>7701</v>
      </c>
      <c r="D71" s="368">
        <f>SUM(D69:D70)</f>
        <v>10886</v>
      </c>
    </row>
    <row r="72" spans="1:4" ht="15" customHeight="1">
      <c r="A72" s="402"/>
      <c r="B72" s="410"/>
      <c r="C72" s="409"/>
      <c r="D72" s="409"/>
    </row>
    <row r="73" spans="1:4" ht="15" customHeight="1">
      <c r="A73" s="88" t="s">
        <v>257</v>
      </c>
      <c r="B73" s="39">
        <f>'2_m_n_sz_ melléklet'!B21</f>
        <v>0</v>
      </c>
      <c r="C73" s="56">
        <f>'2_l_sz_ melléklet'!F80</f>
        <v>0</v>
      </c>
      <c r="D73" s="56">
        <f>SUM(B73:C73)</f>
        <v>0</v>
      </c>
    </row>
    <row r="74" spans="1:4" ht="15" customHeight="1">
      <c r="A74" s="88" t="s">
        <v>258</v>
      </c>
      <c r="B74" s="39">
        <f>'2_m_n_sz_ melléklet'!B44</f>
        <v>4500</v>
      </c>
      <c r="C74" s="56"/>
      <c r="D74" s="56">
        <f>SUM(B74:C74)</f>
        <v>4500</v>
      </c>
    </row>
    <row r="75" spans="1:4" ht="15" customHeight="1">
      <c r="A75" s="88" t="s">
        <v>404</v>
      </c>
      <c r="B75" s="39">
        <f>'2_i_j_sz_ mell_'!E48</f>
        <v>811</v>
      </c>
      <c r="C75" s="56">
        <f>'2_l_sz_ melléklet'!F81</f>
        <v>0</v>
      </c>
      <c r="D75" s="59">
        <f>SUM(B75:C75)</f>
        <v>811</v>
      </c>
    </row>
    <row r="76" spans="1:4" ht="30" customHeight="1">
      <c r="A76" s="307" t="s">
        <v>393</v>
      </c>
      <c r="B76" s="368">
        <f>SUM(B73:B75)</f>
        <v>5311</v>
      </c>
      <c r="C76" s="367">
        <f>SUM(C73:C75)</f>
        <v>0</v>
      </c>
      <c r="D76" s="913">
        <f>SUM(D73:D75)</f>
        <v>5311</v>
      </c>
    </row>
    <row r="77" spans="1:4" ht="15" customHeight="1">
      <c r="A77" s="66"/>
      <c r="B77" s="411"/>
      <c r="C77" s="412"/>
      <c r="D77" s="431"/>
    </row>
    <row r="78" spans="1:4" ht="15" customHeight="1">
      <c r="A78" s="88" t="s">
        <v>394</v>
      </c>
      <c r="B78" s="39">
        <f>B79+B80</f>
        <v>113371</v>
      </c>
      <c r="C78" s="55">
        <f>'2_l_sz_ melléklet'!F84</f>
        <v>39893</v>
      </c>
      <c r="D78" s="39">
        <f>D79+D80</f>
        <v>153264</v>
      </c>
    </row>
    <row r="79" spans="1:4" ht="15" customHeight="1">
      <c r="A79" s="88" t="s">
        <v>395</v>
      </c>
      <c r="B79" s="48">
        <v>113371</v>
      </c>
      <c r="C79" s="55">
        <f>'2_l_sz_ melléklet'!F85</f>
        <v>29152</v>
      </c>
      <c r="D79" s="48">
        <f>SUM(B79:C79)</f>
        <v>142523</v>
      </c>
    </row>
    <row r="80" spans="1:4" ht="15" customHeight="1">
      <c r="A80" s="88" t="s">
        <v>396</v>
      </c>
      <c r="B80" s="39">
        <v>0</v>
      </c>
      <c r="C80" s="55">
        <f>'2_l_sz_ melléklet'!F86</f>
        <v>10741</v>
      </c>
      <c r="D80" s="39">
        <f>SUM(B80:C80)</f>
        <v>10741</v>
      </c>
    </row>
    <row r="81" spans="1:4" ht="15" customHeight="1">
      <c r="A81" s="358"/>
      <c r="B81" s="63"/>
      <c r="C81" s="165"/>
      <c r="D81" s="63"/>
    </row>
    <row r="82" spans="1:4" ht="15" customHeight="1">
      <c r="A82" s="101" t="s">
        <v>397</v>
      </c>
      <c r="B82" s="368">
        <f>B78</f>
        <v>113371</v>
      </c>
      <c r="C82" s="368">
        <f>SUM(C78)</f>
        <v>39893</v>
      </c>
      <c r="D82" s="368">
        <f>SUM(D78)</f>
        <v>153264</v>
      </c>
    </row>
    <row r="83" spans="1:4" ht="15" customHeight="1">
      <c r="A83" s="413"/>
      <c r="B83" s="414"/>
      <c r="C83" s="414"/>
      <c r="D83" s="414"/>
    </row>
    <row r="84" spans="1:4" ht="15" customHeight="1">
      <c r="A84" s="90" t="s">
        <v>398</v>
      </c>
      <c r="B84" s="368">
        <f>B82+B76+B71+B67+B61</f>
        <v>475283</v>
      </c>
      <c r="C84" s="368">
        <f>C82+C76+C71+C67+C61</f>
        <v>243957</v>
      </c>
      <c r="D84" s="368">
        <f>D82+D76+D71+D67+D61</f>
        <v>719240</v>
      </c>
    </row>
    <row r="85" spans="1:4" ht="6" customHeight="1">
      <c r="A85" s="101"/>
      <c r="B85" s="368"/>
      <c r="C85" s="415"/>
      <c r="D85" s="415"/>
    </row>
    <row r="86" spans="1:4" ht="15" customHeight="1">
      <c r="A86" s="184" t="s">
        <v>264</v>
      </c>
      <c r="B86" s="74">
        <f>B87+B88</f>
        <v>253754.8629999999</v>
      </c>
      <c r="C86" s="74">
        <f>C87+C88</f>
        <v>0</v>
      </c>
      <c r="D86" s="74">
        <f>D87+D88</f>
        <v>253754.8629999999</v>
      </c>
    </row>
    <row r="87" spans="1:4" ht="15" customHeight="1">
      <c r="A87" s="311" t="s">
        <v>265</v>
      </c>
      <c r="B87" s="64">
        <f>'7_sz_ melléklet'!B25</f>
        <v>227406.8629999999</v>
      </c>
      <c r="C87" s="72">
        <v>0</v>
      </c>
      <c r="D87" s="403">
        <f>SUM(B87:C87)</f>
        <v>227406.8629999999</v>
      </c>
    </row>
    <row r="88" spans="1:4" ht="15" customHeight="1">
      <c r="A88" s="88" t="s">
        <v>266</v>
      </c>
      <c r="B88" s="39">
        <f>'7_sz_ melléklet'!B49</f>
        <v>26348</v>
      </c>
      <c r="C88" s="40">
        <v>0</v>
      </c>
      <c r="D88" s="406">
        <f>SUM(B88:C88)</f>
        <v>26348</v>
      </c>
    </row>
    <row r="89" spans="1:4" ht="15" customHeight="1">
      <c r="A89" s="413"/>
      <c r="B89" s="416"/>
      <c r="C89" s="417"/>
      <c r="D89" s="418"/>
    </row>
    <row r="90" spans="1:4" ht="15" customHeight="1">
      <c r="A90" s="90" t="s">
        <v>399</v>
      </c>
      <c r="B90" s="368"/>
      <c r="C90" s="401">
        <f>'2_l_sz_ melléklet'!F96</f>
        <v>1665531</v>
      </c>
      <c r="D90" s="419">
        <f>B90+C90</f>
        <v>1665531</v>
      </c>
    </row>
    <row r="91" spans="1:4" ht="9" customHeight="1">
      <c r="A91" s="413"/>
      <c r="B91" s="414"/>
      <c r="C91" s="414"/>
      <c r="D91" s="414"/>
    </row>
    <row r="92" spans="1:4" ht="15" customHeight="1">
      <c r="A92" s="90" t="s">
        <v>400</v>
      </c>
      <c r="B92" s="368">
        <f>B90+B86+B84</f>
        <v>729037.8629999999</v>
      </c>
      <c r="C92" s="401">
        <f>C90+C86+C84</f>
        <v>1909488</v>
      </c>
      <c r="D92" s="401">
        <f>D90+D86+D84</f>
        <v>2638525.863</v>
      </c>
    </row>
    <row r="93" ht="15" customHeight="1"/>
  </sheetData>
  <sheetProtection/>
  <mergeCells count="7">
    <mergeCell ref="A52:D52"/>
    <mergeCell ref="C1:D1"/>
    <mergeCell ref="A4:D4"/>
    <mergeCell ref="A5:D5"/>
    <mergeCell ref="A48:E48"/>
    <mergeCell ref="C49:D49"/>
    <mergeCell ref="A51:D5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8"/>
  <sheetViews>
    <sheetView zoomScalePageLayoutView="0" workbookViewId="0" topLeftCell="A1">
      <selection activeCell="A153" sqref="A1:F153"/>
    </sheetView>
  </sheetViews>
  <sheetFormatPr defaultColWidth="9.140625" defaultRowHeight="12.75"/>
  <cols>
    <col min="1" max="1" width="37.57421875" style="0" customWidth="1"/>
    <col min="2" max="2" width="11.00390625" style="0" customWidth="1"/>
    <col min="3" max="3" width="11.140625" style="0" customWidth="1"/>
    <col min="4" max="4" width="9.8515625" style="0" customWidth="1"/>
  </cols>
  <sheetData>
    <row r="1" spans="4:5" ht="12.75">
      <c r="D1" s="1196" t="s">
        <v>405</v>
      </c>
      <c r="E1" s="1196"/>
    </row>
    <row r="2" spans="4:5" ht="12.75">
      <c r="D2" s="369"/>
      <c r="E2" s="369"/>
    </row>
    <row r="4" spans="1:6" ht="15.75">
      <c r="A4" s="1176" t="s">
        <v>406</v>
      </c>
      <c r="B4" s="1176"/>
      <c r="C4" s="1176"/>
      <c r="D4" s="1176"/>
      <c r="E4" s="1176"/>
      <c r="F4" s="1176"/>
    </row>
    <row r="5" spans="1:6" ht="15.75">
      <c r="A5" s="1176" t="s">
        <v>407</v>
      </c>
      <c r="B5" s="1176"/>
      <c r="C5" s="1176"/>
      <c r="D5" s="1176"/>
      <c r="E5" s="1176"/>
      <c r="F5" s="1176"/>
    </row>
    <row r="6" spans="1:5" ht="15.75">
      <c r="A6" s="27"/>
      <c r="B6" s="27"/>
      <c r="C6" s="27"/>
      <c r="D6" s="27"/>
      <c r="E6" s="27"/>
    </row>
    <row r="8" spans="4:5" ht="12.75">
      <c r="D8" s="369"/>
      <c r="E8" s="369" t="s">
        <v>33</v>
      </c>
    </row>
    <row r="9" spans="1:6" ht="32.25" customHeight="1">
      <c r="A9" s="383" t="s">
        <v>357</v>
      </c>
      <c r="B9" s="421" t="s">
        <v>106</v>
      </c>
      <c r="C9" s="85" t="s">
        <v>107</v>
      </c>
      <c r="D9" s="85" t="s">
        <v>108</v>
      </c>
      <c r="E9" s="85" t="s">
        <v>408</v>
      </c>
      <c r="F9" s="85" t="s">
        <v>110</v>
      </c>
    </row>
    <row r="10" spans="1:6" ht="12.75">
      <c r="A10" s="424" t="s">
        <v>385</v>
      </c>
      <c r="B10" s="425">
        <v>0</v>
      </c>
      <c r="C10" s="182">
        <v>0</v>
      </c>
      <c r="D10" s="398">
        <v>0</v>
      </c>
      <c r="E10" s="110">
        <v>0</v>
      </c>
      <c r="F10" s="110">
        <v>0</v>
      </c>
    </row>
    <row r="11" spans="1:6" ht="12.75">
      <c r="A11" s="38" t="s">
        <v>273</v>
      </c>
      <c r="B11" s="365"/>
      <c r="C11" s="329"/>
      <c r="D11" s="399">
        <v>5930</v>
      </c>
      <c r="E11" s="56">
        <v>318</v>
      </c>
      <c r="F11" s="56">
        <v>8</v>
      </c>
    </row>
    <row r="12" spans="1:6" ht="12.75">
      <c r="A12" s="8" t="s">
        <v>386</v>
      </c>
      <c r="B12" s="40"/>
      <c r="C12" s="39"/>
      <c r="D12" s="56">
        <v>2</v>
      </c>
      <c r="E12" s="56">
        <v>59</v>
      </c>
      <c r="F12" s="56">
        <v>2</v>
      </c>
    </row>
    <row r="13" spans="1:6" ht="12.75">
      <c r="A13" s="426" t="s">
        <v>275</v>
      </c>
      <c r="B13" s="72"/>
      <c r="C13" s="64"/>
      <c r="D13" s="53"/>
      <c r="E13" s="56"/>
      <c r="F13" s="56"/>
    </row>
    <row r="14" spans="1:6" ht="12.75">
      <c r="A14" s="234" t="s">
        <v>387</v>
      </c>
      <c r="B14" s="40">
        <v>0</v>
      </c>
      <c r="C14" s="39">
        <v>0</v>
      </c>
      <c r="D14" s="56">
        <f>'2_a_d_sz_ melléklet'!C33</f>
        <v>2138</v>
      </c>
      <c r="E14" s="56">
        <v>0</v>
      </c>
      <c r="F14" s="56">
        <v>0</v>
      </c>
    </row>
    <row r="15" spans="1:6" s="91" customFormat="1" ht="12.75">
      <c r="A15" s="43" t="s">
        <v>388</v>
      </c>
      <c r="B15" s="60">
        <f>SUM(B10:B14)</f>
        <v>0</v>
      </c>
      <c r="C15" s="60">
        <f>SUM(C10:C14)</f>
        <v>0</v>
      </c>
      <c r="D15" s="16">
        <f>SUM(D10:D14)</f>
        <v>8070</v>
      </c>
      <c r="E15" s="61">
        <f>SUM(E10:E14)</f>
        <v>377</v>
      </c>
      <c r="F15" s="61">
        <f>SUM(F10:F14)</f>
        <v>10</v>
      </c>
    </row>
    <row r="16" spans="1:6" ht="12.75">
      <c r="A16" s="402"/>
      <c r="B16" s="69"/>
      <c r="C16" s="365"/>
      <c r="D16" s="403"/>
      <c r="E16" s="404"/>
      <c r="F16" s="404"/>
    </row>
    <row r="17" spans="1:6" ht="12.75">
      <c r="A17" s="291" t="s">
        <v>245</v>
      </c>
      <c r="B17" s="427">
        <f>'2_f_h_sz_ melléklet'!C102</f>
        <v>1178</v>
      </c>
      <c r="C17" s="427">
        <v>0</v>
      </c>
      <c r="D17" s="427">
        <f>'2_f_h_sz_ melléklet'!C103+'2_f_h_sz_ melléklet'!C104+'2_f_h_sz_ melléklet'!C105+'2_f_h_sz_ melléklet'!C106+'2_f_h_sz_ melléklet'!C107+'2_f_h_sz_ melléklet'!C108+'2_f_h_sz_ melléklet'!C109+'2_f_h_sz_ melléklet'!C110+'2_f_h_sz_ melléklet'!C111</f>
        <v>2461</v>
      </c>
      <c r="E17" s="427">
        <f>'2_f_h_sz_ melléklet'!C112</f>
        <v>3723</v>
      </c>
      <c r="F17" s="427">
        <v>0</v>
      </c>
    </row>
    <row r="18" spans="1:6" ht="12.75">
      <c r="A18" s="95" t="s">
        <v>246</v>
      </c>
      <c r="B18" s="428">
        <v>0</v>
      </c>
      <c r="C18" s="428">
        <v>0</v>
      </c>
      <c r="D18" s="428">
        <v>0</v>
      </c>
      <c r="E18" s="428">
        <v>0</v>
      </c>
      <c r="F18" s="428">
        <v>0</v>
      </c>
    </row>
    <row r="19" spans="1:6" ht="12.75">
      <c r="A19" s="95" t="s">
        <v>247</v>
      </c>
      <c r="B19" s="428">
        <v>0</v>
      </c>
      <c r="C19" s="428">
        <v>0</v>
      </c>
      <c r="D19" s="428">
        <v>0</v>
      </c>
      <c r="E19" s="428">
        <v>0</v>
      </c>
      <c r="F19" s="428">
        <v>0</v>
      </c>
    </row>
    <row r="20" spans="1:6" ht="12.75">
      <c r="A20" s="292" t="s">
        <v>246</v>
      </c>
      <c r="B20" s="429">
        <v>0</v>
      </c>
      <c r="C20" s="429">
        <v>0</v>
      </c>
      <c r="D20" s="429">
        <v>0</v>
      </c>
      <c r="E20" s="429">
        <v>0</v>
      </c>
      <c r="F20" s="429">
        <v>0</v>
      </c>
    </row>
    <row r="21" spans="1:6" ht="12.75">
      <c r="A21" s="90" t="s">
        <v>317</v>
      </c>
      <c r="B21" s="16">
        <f>B17+B19</f>
        <v>1178</v>
      </c>
      <c r="C21" s="16">
        <f>C17+C19</f>
        <v>0</v>
      </c>
      <c r="D21" s="16">
        <f>D17+D19</f>
        <v>2461</v>
      </c>
      <c r="E21" s="16">
        <f>E17+E19</f>
        <v>3723</v>
      </c>
      <c r="F21" s="16">
        <f>F17+F19</f>
        <v>0</v>
      </c>
    </row>
    <row r="22" spans="1:6" ht="12.75">
      <c r="A22" s="402"/>
      <c r="B22" s="48"/>
      <c r="C22" s="409"/>
      <c r="D22" s="409"/>
      <c r="E22" s="409"/>
      <c r="F22" s="409"/>
    </row>
    <row r="23" spans="1:6" ht="12.75">
      <c r="A23" s="88" t="s">
        <v>389</v>
      </c>
      <c r="B23" s="39">
        <v>0</v>
      </c>
      <c r="C23" s="399">
        <v>0</v>
      </c>
      <c r="D23" s="399">
        <v>0</v>
      </c>
      <c r="E23" s="399">
        <v>0</v>
      </c>
      <c r="F23" s="399">
        <v>0</v>
      </c>
    </row>
    <row r="24" spans="1:6" ht="12.75">
      <c r="A24" s="95" t="s">
        <v>390</v>
      </c>
      <c r="B24" s="63">
        <v>0</v>
      </c>
      <c r="C24" s="53">
        <v>0</v>
      </c>
      <c r="D24" s="430">
        <f>'2_i_j_sz_ mell_'!D62+'2_i_j_sz_ mell_'!D63</f>
        <v>669</v>
      </c>
      <c r="E24" s="430">
        <v>0</v>
      </c>
      <c r="F24" s="430">
        <v>0</v>
      </c>
    </row>
    <row r="25" spans="1:6" ht="12.75">
      <c r="A25" s="43" t="s">
        <v>391</v>
      </c>
      <c r="B25" s="431">
        <f>B24+B23</f>
        <v>0</v>
      </c>
      <c r="C25" s="368">
        <f>C24+C23</f>
        <v>0</v>
      </c>
      <c r="D25" s="368">
        <f>D24+D23</f>
        <v>669</v>
      </c>
      <c r="E25" s="368">
        <f>E24+E23</f>
        <v>0</v>
      </c>
      <c r="F25" s="368">
        <f>F24+F23</f>
        <v>0</v>
      </c>
    </row>
    <row r="26" spans="1:6" ht="12.75">
      <c r="A26" s="402"/>
      <c r="B26" s="69"/>
      <c r="C26" s="432"/>
      <c r="D26" s="409"/>
      <c r="E26" s="409"/>
      <c r="F26" s="409"/>
    </row>
    <row r="27" spans="1:6" ht="12.75">
      <c r="A27" s="88" t="s">
        <v>257</v>
      </c>
      <c r="B27" s="39">
        <v>0</v>
      </c>
      <c r="C27" s="56">
        <v>0</v>
      </c>
      <c r="D27" s="56">
        <v>0</v>
      </c>
      <c r="E27" s="56">
        <v>0</v>
      </c>
      <c r="F27" s="56">
        <v>0</v>
      </c>
    </row>
    <row r="28" spans="1:6" ht="12.75">
      <c r="A28" s="88" t="s">
        <v>392</v>
      </c>
      <c r="B28" s="58">
        <v>0</v>
      </c>
      <c r="C28" s="56">
        <v>0</v>
      </c>
      <c r="D28" s="56">
        <v>0</v>
      </c>
      <c r="E28" s="56">
        <v>0</v>
      </c>
      <c r="F28" s="56">
        <v>0</v>
      </c>
    </row>
    <row r="29" spans="1:6" ht="30" customHeight="1">
      <c r="A29" s="317" t="s">
        <v>393</v>
      </c>
      <c r="B29" s="368">
        <f>B27+B28</f>
        <v>0</v>
      </c>
      <c r="C29" s="368">
        <f>C27+C28</f>
        <v>0</v>
      </c>
      <c r="D29" s="368">
        <f>D27+D28</f>
        <v>0</v>
      </c>
      <c r="E29" s="368">
        <f>E27+E28</f>
        <v>0</v>
      </c>
      <c r="F29" s="368">
        <f>F27+F28</f>
        <v>0</v>
      </c>
    </row>
    <row r="30" spans="1:6" ht="12.75">
      <c r="A30" s="33"/>
      <c r="B30" s="166"/>
      <c r="C30" s="411"/>
      <c r="D30" s="433"/>
      <c r="E30" s="411"/>
      <c r="F30" s="411"/>
    </row>
    <row r="31" spans="1:6" ht="12.75">
      <c r="A31" s="234" t="s">
        <v>394</v>
      </c>
      <c r="B31" s="40">
        <v>596</v>
      </c>
      <c r="C31" s="39">
        <f>C32+C33</f>
        <v>69</v>
      </c>
      <c r="D31" s="40">
        <v>17304</v>
      </c>
      <c r="E31" s="39">
        <v>2818</v>
      </c>
      <c r="F31" s="39">
        <f>F32+F33</f>
        <v>497</v>
      </c>
    </row>
    <row r="32" spans="1:6" ht="12.75">
      <c r="A32" s="8" t="s">
        <v>395</v>
      </c>
      <c r="B32" s="40">
        <v>596</v>
      </c>
      <c r="C32" s="39">
        <v>69</v>
      </c>
      <c r="D32" s="40">
        <v>16458</v>
      </c>
      <c r="E32" s="39">
        <v>2818</v>
      </c>
      <c r="F32" s="39">
        <v>497</v>
      </c>
    </row>
    <row r="33" spans="1:6" ht="12.75">
      <c r="A33" s="8" t="s">
        <v>396</v>
      </c>
      <c r="B33" s="40">
        <v>0</v>
      </c>
      <c r="C33" s="39">
        <v>0</v>
      </c>
      <c r="D33" s="40">
        <v>846</v>
      </c>
      <c r="E33" s="39">
        <v>0</v>
      </c>
      <c r="F33" s="39">
        <v>0</v>
      </c>
    </row>
    <row r="34" spans="1:6" ht="12.75">
      <c r="A34" s="244"/>
      <c r="B34" s="354"/>
      <c r="C34" s="63"/>
      <c r="D34" s="354"/>
      <c r="E34" s="63"/>
      <c r="F34" s="63"/>
    </row>
    <row r="35" spans="1:6" ht="12.75">
      <c r="A35" s="35" t="s">
        <v>397</v>
      </c>
      <c r="B35" s="368">
        <f>B31</f>
        <v>596</v>
      </c>
      <c r="C35" s="368">
        <f>C31</f>
        <v>69</v>
      </c>
      <c r="D35" s="368">
        <f>D31</f>
        <v>17304</v>
      </c>
      <c r="E35" s="368">
        <f>E31</f>
        <v>2818</v>
      </c>
      <c r="F35" s="368">
        <f>F31</f>
        <v>497</v>
      </c>
    </row>
    <row r="36" spans="1:6" ht="12.75">
      <c r="A36" s="434"/>
      <c r="B36" s="69"/>
      <c r="C36" s="414"/>
      <c r="D36" s="414"/>
      <c r="E36" s="414"/>
      <c r="F36" s="414"/>
    </row>
    <row r="37" spans="1:6" ht="12.75">
      <c r="A37" s="43" t="s">
        <v>398</v>
      </c>
      <c r="B37" s="368">
        <f>B35+B29+B25+B21+B15</f>
        <v>1774</v>
      </c>
      <c r="C37" s="368">
        <f>C35+C29+C25+C21+C15</f>
        <v>69</v>
      </c>
      <c r="D37" s="368">
        <f>D35+D29+D25+D21+D15</f>
        <v>28504</v>
      </c>
      <c r="E37" s="368">
        <f>E35+E29+E25+E21+E15</f>
        <v>6918</v>
      </c>
      <c r="F37" s="368">
        <f>F35+F29+F25+F21+F15</f>
        <v>507</v>
      </c>
    </row>
    <row r="38" spans="1:6" ht="12.75">
      <c r="A38" s="35"/>
      <c r="B38" s="368"/>
      <c r="C38" s="401"/>
      <c r="D38" s="415"/>
      <c r="E38" s="415"/>
      <c r="F38" s="415"/>
    </row>
    <row r="39" spans="1:6" ht="12.75">
      <c r="A39" s="184" t="s">
        <v>264</v>
      </c>
      <c r="B39" s="74">
        <f>B40+B41</f>
        <v>0</v>
      </c>
      <c r="C39" s="74">
        <f>C40+C41</f>
        <v>0</v>
      </c>
      <c r="D39" s="74">
        <f>D40+D41</f>
        <v>0</v>
      </c>
      <c r="E39" s="74">
        <f>E40+E41</f>
        <v>0</v>
      </c>
      <c r="F39" s="74">
        <f>F40+F41</f>
        <v>0</v>
      </c>
    </row>
    <row r="40" spans="1:6" ht="12.75">
      <c r="A40" s="311" t="s">
        <v>265</v>
      </c>
      <c r="B40" s="52">
        <v>0</v>
      </c>
      <c r="C40" s="53">
        <v>0</v>
      </c>
      <c r="D40" s="72">
        <v>0</v>
      </c>
      <c r="E40" s="403">
        <v>0</v>
      </c>
      <c r="F40" s="403">
        <v>0</v>
      </c>
    </row>
    <row r="41" spans="1:6" ht="12.75">
      <c r="A41" s="88" t="s">
        <v>266</v>
      </c>
      <c r="B41" s="39">
        <v>0</v>
      </c>
      <c r="C41" s="56">
        <v>0</v>
      </c>
      <c r="D41" s="40">
        <v>0</v>
      </c>
      <c r="E41" s="329">
        <v>0</v>
      </c>
      <c r="F41" s="329">
        <v>0</v>
      </c>
    </row>
    <row r="42" spans="1:6" ht="12.75">
      <c r="A42" s="413"/>
      <c r="B42" s="64"/>
      <c r="C42" s="435"/>
      <c r="D42" s="417"/>
      <c r="E42" s="418"/>
      <c r="F42" s="418"/>
    </row>
    <row r="43" spans="1:6" ht="12.75">
      <c r="A43" s="90" t="s">
        <v>399</v>
      </c>
      <c r="B43" s="368">
        <v>245424</v>
      </c>
      <c r="C43" s="401">
        <v>214313</v>
      </c>
      <c r="D43" s="401">
        <v>509312</v>
      </c>
      <c r="E43" s="419">
        <v>3448</v>
      </c>
      <c r="F43" s="419">
        <v>19923</v>
      </c>
    </row>
    <row r="44" spans="1:6" ht="12.75">
      <c r="A44" s="434"/>
      <c r="B44" s="69"/>
      <c r="C44" s="414"/>
      <c r="D44" s="414"/>
      <c r="E44" s="414"/>
      <c r="F44" s="414"/>
    </row>
    <row r="45" spans="1:6" ht="12.75">
      <c r="A45" s="43" t="s">
        <v>400</v>
      </c>
      <c r="B45" s="368">
        <v>247198</v>
      </c>
      <c r="C45" s="368">
        <v>214382</v>
      </c>
      <c r="D45" s="368">
        <v>537816</v>
      </c>
      <c r="E45" s="368">
        <f>E37+E39+E43</f>
        <v>10366</v>
      </c>
      <c r="F45" s="368">
        <f>F37+F39+F43</f>
        <v>20430</v>
      </c>
    </row>
    <row r="53" spans="1:6" ht="12.75">
      <c r="A53" s="1182">
        <v>2</v>
      </c>
      <c r="B53" s="1182"/>
      <c r="C53" s="1182"/>
      <c r="D53" s="1182"/>
      <c r="E53" s="1182"/>
      <c r="F53" s="1182"/>
    </row>
    <row r="55" spans="4:5" ht="12.75">
      <c r="D55" s="1196" t="s">
        <v>405</v>
      </c>
      <c r="E55" s="1196"/>
    </row>
    <row r="56" spans="4:5" ht="12.75">
      <c r="D56" s="369"/>
      <c r="E56" s="369"/>
    </row>
    <row r="58" spans="1:6" ht="15.75">
      <c r="A58" s="1176" t="s">
        <v>406</v>
      </c>
      <c r="B58" s="1176"/>
      <c r="C58" s="1176"/>
      <c r="D58" s="1176"/>
      <c r="E58" s="1176"/>
      <c r="F58" s="1176"/>
    </row>
    <row r="59" spans="1:6" ht="15.75">
      <c r="A59" s="1176" t="s">
        <v>407</v>
      </c>
      <c r="B59" s="1176"/>
      <c r="C59" s="1176"/>
      <c r="D59" s="1176"/>
      <c r="E59" s="1176"/>
      <c r="F59" s="1176"/>
    </row>
    <row r="61" spans="4:5" ht="12.75">
      <c r="D61" s="369"/>
      <c r="E61" s="369" t="s">
        <v>33</v>
      </c>
    </row>
    <row r="62" spans="1:6" ht="59.25" customHeight="1">
      <c r="A62" s="383" t="s">
        <v>357</v>
      </c>
      <c r="B62" s="85" t="s">
        <v>115</v>
      </c>
      <c r="C62" s="421" t="s">
        <v>116</v>
      </c>
      <c r="D62" s="85" t="s">
        <v>409</v>
      </c>
      <c r="E62" s="436" t="s">
        <v>410</v>
      </c>
      <c r="F62" s="437" t="s">
        <v>411</v>
      </c>
    </row>
    <row r="63" spans="1:6" ht="12.75">
      <c r="A63" s="319" t="s">
        <v>385</v>
      </c>
      <c r="B63" s="182">
        <v>0</v>
      </c>
      <c r="C63" s="196">
        <v>0</v>
      </c>
      <c r="D63" s="110">
        <v>0</v>
      </c>
      <c r="E63" s="161">
        <v>0</v>
      </c>
      <c r="F63" s="143">
        <f>E63+D63+C63+B63+B10+C10+D10+E10+F10</f>
        <v>0</v>
      </c>
    </row>
    <row r="64" spans="1:6" ht="12.75">
      <c r="A64" s="71" t="s">
        <v>273</v>
      </c>
      <c r="B64" s="329">
        <v>1695</v>
      </c>
      <c r="C64" s="130">
        <f>5500-2000</f>
        <v>3500</v>
      </c>
      <c r="D64" s="56">
        <v>23295</v>
      </c>
      <c r="E64" s="147">
        <f>123824-11250</f>
        <v>112574</v>
      </c>
      <c r="F64" s="146">
        <f>E64+D64+C64+B64+B11+C11+D11+E11+F11</f>
        <v>147320</v>
      </c>
    </row>
    <row r="65" spans="1:6" ht="12.75">
      <c r="A65" s="88" t="s">
        <v>386</v>
      </c>
      <c r="B65" s="39">
        <v>40</v>
      </c>
      <c r="C65" s="130">
        <v>0</v>
      </c>
      <c r="D65" s="56">
        <v>3000</v>
      </c>
      <c r="E65" s="147">
        <v>24773</v>
      </c>
      <c r="F65" s="146">
        <f>E65+D65+C65+B65+B12+C12+D12+E12+F12</f>
        <v>27876</v>
      </c>
    </row>
    <row r="66" spans="1:6" ht="12.75">
      <c r="A66" s="400" t="s">
        <v>275</v>
      </c>
      <c r="B66" s="64">
        <v>0</v>
      </c>
      <c r="C66" s="130">
        <v>500</v>
      </c>
      <c r="D66" s="56">
        <v>400</v>
      </c>
      <c r="E66" s="147">
        <v>60</v>
      </c>
      <c r="F66" s="167">
        <f>E66+D66+C66+B66+B13+C13+D13+E13+F13</f>
        <v>960</v>
      </c>
    </row>
    <row r="67" spans="1:6" ht="12.75">
      <c r="A67" s="295" t="s">
        <v>387</v>
      </c>
      <c r="B67" s="39">
        <v>0</v>
      </c>
      <c r="C67" s="76">
        <v>0</v>
      </c>
      <c r="D67" s="56">
        <f>'2_a_d_sz_ melléklet'!C23+'2_a_d_sz_ melléklet'!C24</f>
        <v>1050</v>
      </c>
      <c r="E67" s="438">
        <v>0</v>
      </c>
      <c r="F67" s="167">
        <f>E67+D67+C67+B67+B14+C14+D14+E14+F14</f>
        <v>3188</v>
      </c>
    </row>
    <row r="68" spans="1:6" ht="12.75">
      <c r="A68" s="90" t="s">
        <v>388</v>
      </c>
      <c r="B68" s="16">
        <f>SUM(B63:B67)</f>
        <v>1735</v>
      </c>
      <c r="C68" s="16">
        <f>SUM(C63:C67)</f>
        <v>4000</v>
      </c>
      <c r="D68" s="401">
        <f>SUM(D63:D67)</f>
        <v>27745</v>
      </c>
      <c r="E68" s="401">
        <f>SUM(E63:E67)</f>
        <v>137407</v>
      </c>
      <c r="F68" s="439">
        <f>SUM(F63:F67)</f>
        <v>179344</v>
      </c>
    </row>
    <row r="69" spans="1:6" ht="12.75">
      <c r="A69" s="402"/>
      <c r="B69" s="329"/>
      <c r="C69" s="440"/>
      <c r="D69" s="404"/>
      <c r="E69" s="441"/>
      <c r="F69" s="442"/>
    </row>
    <row r="70" spans="1:6" ht="12.75">
      <c r="A70" s="291" t="s">
        <v>245</v>
      </c>
      <c r="B70" s="427">
        <v>0</v>
      </c>
      <c r="C70" s="405">
        <f>'2_f_h_sz_ melléklet'!C98+'2_f_h_sz_ melléklet'!C99+'2_f_h_sz_ melléklet'!C100</f>
        <v>1921</v>
      </c>
      <c r="D70" s="409">
        <f>'2_f_h_sz_ melléklet'!C101</f>
        <v>7381</v>
      </c>
      <c r="E70" s="161">
        <f>'2_f_h_sz_ melléklet'!C97</f>
        <v>355</v>
      </c>
      <c r="F70" s="167">
        <f>E70+D70+C70+B70+B17+C17+D17+E17+F17</f>
        <v>17019</v>
      </c>
    </row>
    <row r="71" spans="1:6" ht="12.75">
      <c r="A71" s="95" t="s">
        <v>246</v>
      </c>
      <c r="B71" s="428">
        <v>0</v>
      </c>
      <c r="C71" s="443">
        <v>0</v>
      </c>
      <c r="D71" s="399">
        <v>0</v>
      </c>
      <c r="E71" s="89">
        <v>0</v>
      </c>
      <c r="F71" s="167">
        <f>E71+D71+C71+B71+B18+C18+D18+E18+F18</f>
        <v>0</v>
      </c>
    </row>
    <row r="72" spans="1:6" ht="12.75">
      <c r="A72" s="95" t="s">
        <v>247</v>
      </c>
      <c r="B72" s="428">
        <v>0</v>
      </c>
      <c r="C72" s="443">
        <v>0</v>
      </c>
      <c r="D72" s="399">
        <v>0</v>
      </c>
      <c r="E72" s="122">
        <v>0</v>
      </c>
      <c r="F72" s="167">
        <f>E72+D72+C72+B72+B19+C19+D19+E19+F19</f>
        <v>0</v>
      </c>
    </row>
    <row r="73" spans="1:6" ht="12.75">
      <c r="A73" s="292" t="s">
        <v>246</v>
      </c>
      <c r="B73" s="429">
        <v>0</v>
      </c>
      <c r="C73" s="444">
        <v>0</v>
      </c>
      <c r="D73" s="445">
        <v>0</v>
      </c>
      <c r="E73" s="298">
        <v>0</v>
      </c>
      <c r="F73" s="167">
        <f>E73+D73+C73+B73+B20+C20+D20+E20+F20</f>
        <v>0</v>
      </c>
    </row>
    <row r="74" spans="1:6" ht="12.75">
      <c r="A74" s="90" t="s">
        <v>317</v>
      </c>
      <c r="B74" s="16">
        <f>B70+B72</f>
        <v>0</v>
      </c>
      <c r="C74" s="16">
        <f>C70+C72</f>
        <v>1921</v>
      </c>
      <c r="D74" s="16">
        <f>D70+D72</f>
        <v>7381</v>
      </c>
      <c r="E74" s="16">
        <f>E70+E72</f>
        <v>355</v>
      </c>
      <c r="F74" s="16">
        <f>F70+F72</f>
        <v>17019</v>
      </c>
    </row>
    <row r="75" spans="1:6" ht="12.75">
      <c r="A75" s="402"/>
      <c r="B75" s="406"/>
      <c r="C75" s="409"/>
      <c r="D75" s="409"/>
      <c r="E75" s="446"/>
      <c r="F75" s="447"/>
    </row>
    <row r="76" spans="1:6" ht="12.75">
      <c r="A76" s="88" t="s">
        <v>389</v>
      </c>
      <c r="B76" s="329">
        <v>0</v>
      </c>
      <c r="C76" s="399">
        <v>0</v>
      </c>
      <c r="D76" s="399">
        <v>0</v>
      </c>
      <c r="E76" s="771">
        <f>'2_i_j_sz_ mell_'!D14</f>
        <v>32</v>
      </c>
      <c r="F76" s="146">
        <f>E76+D76+C76+B76+B23+C23+D23+E23+F23</f>
        <v>32</v>
      </c>
    </row>
    <row r="77" spans="1:6" ht="12.75">
      <c r="A77" s="89" t="s">
        <v>390</v>
      </c>
      <c r="B77" s="48">
        <v>0</v>
      </c>
      <c r="C77" s="399">
        <f>'2_i_j_sz_ mell_'!D60</f>
        <v>7000</v>
      </c>
      <c r="D77" s="409">
        <v>0</v>
      </c>
      <c r="E77" s="298">
        <v>0</v>
      </c>
      <c r="F77" s="146">
        <f>E77+D77+C77+B77+B24+C24+D24+E24+F24</f>
        <v>7669</v>
      </c>
    </row>
    <row r="78" spans="1:6" ht="12.75">
      <c r="A78" s="90" t="s">
        <v>391</v>
      </c>
      <c r="B78" s="368">
        <f>SUM(B76:B77)</f>
        <v>0</v>
      </c>
      <c r="C78" s="368">
        <f>SUM(C76:C77)</f>
        <v>7000</v>
      </c>
      <c r="D78" s="368">
        <f>SUM(D76:D77)</f>
        <v>0</v>
      </c>
      <c r="E78" s="368">
        <f>SUM(E76:E77)</f>
        <v>32</v>
      </c>
      <c r="F78" s="439">
        <f>SUM(F76:F77)</f>
        <v>7701</v>
      </c>
    </row>
    <row r="79" spans="1:6" ht="12.75">
      <c r="A79" s="402"/>
      <c r="B79" s="410"/>
      <c r="C79" s="409"/>
      <c r="D79" s="409"/>
      <c r="E79" s="446"/>
      <c r="F79" s="447"/>
    </row>
    <row r="80" spans="1:6" ht="12.75">
      <c r="A80" s="88" t="s">
        <v>257</v>
      </c>
      <c r="B80" s="39">
        <v>0</v>
      </c>
      <c r="C80" s="399">
        <v>0</v>
      </c>
      <c r="D80" s="56">
        <v>0</v>
      </c>
      <c r="E80" s="89">
        <v>0</v>
      </c>
      <c r="F80" s="146">
        <f>E80+D80+C80+B80+B27+C27+D27+E27+F27</f>
        <v>0</v>
      </c>
    </row>
    <row r="81" spans="1:6" ht="12.75">
      <c r="A81" s="88" t="s">
        <v>392</v>
      </c>
      <c r="B81" s="39">
        <v>0</v>
      </c>
      <c r="C81" s="399">
        <v>0</v>
      </c>
      <c r="D81" s="56">
        <v>0</v>
      </c>
      <c r="E81" s="298">
        <v>0</v>
      </c>
      <c r="F81" s="146">
        <f>E81+D81+C81+B81+B28+C28+D28+E28+F28</f>
        <v>0</v>
      </c>
    </row>
    <row r="82" spans="1:6" ht="30" customHeight="1">
      <c r="A82" s="307" t="s">
        <v>393</v>
      </c>
      <c r="B82" s="368">
        <f>SUM(B80:B81)</f>
        <v>0</v>
      </c>
      <c r="C82" s="368">
        <f>SUM(C80:C81)</f>
        <v>0</v>
      </c>
      <c r="D82" s="368">
        <f>SUM(D80:D81)</f>
        <v>0</v>
      </c>
      <c r="E82" s="448">
        <f>SUM(F80:F81)</f>
        <v>0</v>
      </c>
      <c r="F82" s="449">
        <f>SUM(G80:G81)</f>
        <v>0</v>
      </c>
    </row>
    <row r="83" spans="1:6" ht="12.75">
      <c r="A83" s="66"/>
      <c r="B83" s="411"/>
      <c r="C83" s="411"/>
      <c r="D83" s="450"/>
      <c r="E83" s="446"/>
      <c r="F83" s="451"/>
    </row>
    <row r="84" spans="1:6" ht="12.75">
      <c r="A84" s="88" t="s">
        <v>394</v>
      </c>
      <c r="B84" s="39">
        <f>B85+B86</f>
        <v>0</v>
      </c>
      <c r="C84" s="39">
        <f>C85+C86</f>
        <v>5327</v>
      </c>
      <c r="D84" s="39">
        <f>D85+D86</f>
        <v>11406</v>
      </c>
      <c r="E84" s="39">
        <f>E85+E86</f>
        <v>1876</v>
      </c>
      <c r="F84" s="39">
        <f>F85+F86</f>
        <v>39893</v>
      </c>
    </row>
    <row r="85" spans="1:6" ht="12.75">
      <c r="A85" s="88" t="s">
        <v>395</v>
      </c>
      <c r="B85" s="39">
        <v>0</v>
      </c>
      <c r="C85" s="39">
        <v>2856</v>
      </c>
      <c r="D85" s="56">
        <f>3676+306</f>
        <v>3982</v>
      </c>
      <c r="E85" s="771">
        <v>1876</v>
      </c>
      <c r="F85" s="146">
        <f>E85+D85+C85+B85+B32+C32+D32+E32+F32</f>
        <v>29152</v>
      </c>
    </row>
    <row r="86" spans="1:6" ht="12.75">
      <c r="A86" s="88" t="s">
        <v>396</v>
      </c>
      <c r="B86" s="39">
        <v>0</v>
      </c>
      <c r="C86" s="39">
        <f>2320+151</f>
        <v>2471</v>
      </c>
      <c r="D86" s="56">
        <f>1974+2304+3146</f>
        <v>7424</v>
      </c>
      <c r="E86" s="89">
        <v>0</v>
      </c>
      <c r="F86" s="146">
        <f>E86+D86+C86+B86+B33+C33+D33+E33+F33</f>
        <v>10741</v>
      </c>
    </row>
    <row r="87" spans="1:6" ht="12.75">
      <c r="A87" s="358"/>
      <c r="B87" s="63"/>
      <c r="C87" s="63"/>
      <c r="D87" s="202"/>
      <c r="E87" s="298"/>
      <c r="F87" s="452"/>
    </row>
    <row r="88" spans="1:6" ht="12.75">
      <c r="A88" s="101" t="s">
        <v>397</v>
      </c>
      <c r="B88" s="368">
        <f>B84</f>
        <v>0</v>
      </c>
      <c r="C88" s="368">
        <f>C84</f>
        <v>5327</v>
      </c>
      <c r="D88" s="368">
        <f>D84</f>
        <v>11406</v>
      </c>
      <c r="E88" s="368">
        <f>E84</f>
        <v>1876</v>
      </c>
      <c r="F88" s="368">
        <f>F84</f>
        <v>39893</v>
      </c>
    </row>
    <row r="89" spans="1:6" ht="12.75">
      <c r="A89" s="413"/>
      <c r="B89" s="414"/>
      <c r="C89" s="414"/>
      <c r="D89" s="414"/>
      <c r="E89" s="441"/>
      <c r="F89" s="453"/>
    </row>
    <row r="90" spans="1:6" ht="12.75">
      <c r="A90" s="90" t="s">
        <v>398</v>
      </c>
      <c r="B90" s="368">
        <f>B88+B82+B78+B74+B68</f>
        <v>1735</v>
      </c>
      <c r="C90" s="368">
        <f>C88+C82+C78+C74+C68</f>
        <v>18248</v>
      </c>
      <c r="D90" s="368">
        <f>D88+D82+D78+D74+D68</f>
        <v>46532</v>
      </c>
      <c r="E90" s="448">
        <f>E88+E82+E78+E74+E68</f>
        <v>139670</v>
      </c>
      <c r="F90" s="449">
        <f>F88+F82+F78+F74+F68</f>
        <v>243957</v>
      </c>
    </row>
    <row r="91" spans="1:6" ht="12.75">
      <c r="A91" s="101"/>
      <c r="B91" s="368"/>
      <c r="C91" s="415"/>
      <c r="D91" s="415"/>
      <c r="E91" s="298"/>
      <c r="F91" s="454"/>
    </row>
    <row r="92" spans="1:6" ht="12.75">
      <c r="A92" s="184" t="s">
        <v>264</v>
      </c>
      <c r="B92" s="74">
        <f>B93+B94</f>
        <v>0</v>
      </c>
      <c r="C92" s="74">
        <f>C93+C94</f>
        <v>0</v>
      </c>
      <c r="D92" s="74">
        <f>D93+D94</f>
        <v>0</v>
      </c>
      <c r="E92" s="455">
        <f>F93+F94</f>
        <v>0</v>
      </c>
      <c r="F92" s="456">
        <f>G93+G94</f>
        <v>0</v>
      </c>
    </row>
    <row r="93" spans="1:6" ht="12.75">
      <c r="A93" s="311" t="s">
        <v>265</v>
      </c>
      <c r="B93" s="64">
        <v>0</v>
      </c>
      <c r="C93" s="69">
        <v>0</v>
      </c>
      <c r="D93" s="403">
        <v>0</v>
      </c>
      <c r="E93" s="446">
        <v>0</v>
      </c>
      <c r="F93" s="167">
        <f>E93+D93+C93+B93+B40+C40+D40+E40+F40</f>
        <v>0</v>
      </c>
    </row>
    <row r="94" spans="1:6" ht="12.75">
      <c r="A94" s="88" t="s">
        <v>266</v>
      </c>
      <c r="B94" s="39">
        <v>0</v>
      </c>
      <c r="C94" s="39">
        <v>0</v>
      </c>
      <c r="D94" s="329">
        <v>0</v>
      </c>
      <c r="E94" s="89">
        <v>0</v>
      </c>
      <c r="F94" s="167">
        <f>E94+D94+C94+B94+B41+C41+D41+E41+F41</f>
        <v>0</v>
      </c>
    </row>
    <row r="95" spans="1:6" ht="12.75">
      <c r="A95" s="413"/>
      <c r="B95" s="416"/>
      <c r="C95" s="417"/>
      <c r="D95" s="418"/>
      <c r="E95" s="261"/>
      <c r="F95" s="395"/>
    </row>
    <row r="96" spans="1:6" ht="12.75">
      <c r="A96" s="90" t="s">
        <v>399</v>
      </c>
      <c r="B96" s="368">
        <v>1600</v>
      </c>
      <c r="C96" s="401">
        <f>213020+149+1362+371+866</f>
        <v>215768</v>
      </c>
      <c r="D96" s="419">
        <f>278831+240+1400+2525+350+1358-2525</f>
        <v>282179</v>
      </c>
      <c r="E96" s="448">
        <f>171593+708+1263</f>
        <v>173564</v>
      </c>
      <c r="F96" s="133">
        <f>E96+D96+C96+B96+F43+E43+D43+C43+B43</f>
        <v>1665531</v>
      </c>
    </row>
    <row r="97" spans="1:6" ht="12.75">
      <c r="A97" s="413"/>
      <c r="B97" s="414"/>
      <c r="C97" s="414"/>
      <c r="D97" s="414"/>
      <c r="E97" s="457"/>
      <c r="F97" s="458"/>
    </row>
    <row r="98" spans="1:6" ht="12.75">
      <c r="A98" s="90" t="s">
        <v>400</v>
      </c>
      <c r="B98" s="367">
        <f>B90+B92+B96</f>
        <v>3335</v>
      </c>
      <c r="C98" s="913">
        <f>C90+C92+C96</f>
        <v>234016</v>
      </c>
      <c r="D98" s="401">
        <f>D90+D92+D96</f>
        <v>328711</v>
      </c>
      <c r="E98" s="448">
        <f>E90+E92+E96</f>
        <v>313234</v>
      </c>
      <c r="F98" s="449">
        <f>F90+F92+F96</f>
        <v>1909488</v>
      </c>
    </row>
    <row r="103" spans="1:6" ht="12.75">
      <c r="A103" s="1182">
        <v>3</v>
      </c>
      <c r="B103" s="1182"/>
      <c r="C103" s="1182"/>
      <c r="D103" s="1182"/>
      <c r="E103" s="1182"/>
      <c r="F103" s="1182"/>
    </row>
    <row r="105" spans="4:5" ht="12.75">
      <c r="D105" s="1196" t="s">
        <v>405</v>
      </c>
      <c r="E105" s="1196"/>
    </row>
    <row r="106" spans="4:5" ht="12.75">
      <c r="D106" s="369"/>
      <c r="E106" s="369"/>
    </row>
    <row r="108" spans="1:6" ht="15.75">
      <c r="A108" s="1176" t="s">
        <v>406</v>
      </c>
      <c r="B108" s="1176"/>
      <c r="C108" s="1176"/>
      <c r="D108" s="1176"/>
      <c r="E108" s="1176"/>
      <c r="F108" s="1176"/>
    </row>
    <row r="109" spans="1:6" ht="15.75">
      <c r="A109" s="1176" t="s">
        <v>407</v>
      </c>
      <c r="B109" s="1176"/>
      <c r="C109" s="1176"/>
      <c r="D109" s="1176"/>
      <c r="E109" s="1176"/>
      <c r="F109" s="1176"/>
    </row>
    <row r="111" spans="3:5" ht="12.75">
      <c r="C111" s="369" t="s">
        <v>33</v>
      </c>
      <c r="D111" s="369"/>
      <c r="E111" s="369"/>
    </row>
    <row r="112" spans="1:3" ht="60" customHeight="1">
      <c r="A112" s="383" t="s">
        <v>357</v>
      </c>
      <c r="B112" s="85" t="s">
        <v>412</v>
      </c>
      <c r="C112" s="421" t="s">
        <v>413</v>
      </c>
    </row>
    <row r="113" spans="1:3" ht="12.75">
      <c r="A113" s="319" t="s">
        <v>385</v>
      </c>
      <c r="B113" s="182">
        <v>0</v>
      </c>
      <c r="C113" s="196">
        <f>B113+F63</f>
        <v>0</v>
      </c>
    </row>
    <row r="114" spans="1:3" ht="12.75">
      <c r="A114" s="71" t="s">
        <v>273</v>
      </c>
      <c r="B114" s="329"/>
      <c r="C114" s="130">
        <f>B114+F64</f>
        <v>147320</v>
      </c>
    </row>
    <row r="115" spans="1:3" ht="12.75">
      <c r="A115" s="88" t="s">
        <v>386</v>
      </c>
      <c r="B115" s="39"/>
      <c r="C115" s="130">
        <f>B115+F65</f>
        <v>27876</v>
      </c>
    </row>
    <row r="116" spans="1:3" ht="12.75">
      <c r="A116" s="400" t="s">
        <v>275</v>
      </c>
      <c r="B116" s="64">
        <v>0</v>
      </c>
      <c r="C116" s="130">
        <f>B116+F66</f>
        <v>960</v>
      </c>
    </row>
    <row r="117" spans="1:3" ht="12.75">
      <c r="A117" s="295" t="s">
        <v>387</v>
      </c>
      <c r="B117" s="39">
        <f>'2_a_d_sz_ melléklet'!B18</f>
        <v>60</v>
      </c>
      <c r="C117" s="76">
        <f>B117+F67</f>
        <v>3248</v>
      </c>
    </row>
    <row r="118" spans="1:3" ht="12.75">
      <c r="A118" s="90" t="s">
        <v>388</v>
      </c>
      <c r="B118" s="16">
        <f>SUM(B113:B117)</f>
        <v>60</v>
      </c>
      <c r="C118" s="16">
        <f>SUM(C113:C117)</f>
        <v>179404</v>
      </c>
    </row>
    <row r="119" spans="1:3" ht="12.75">
      <c r="A119" s="402"/>
      <c r="B119" s="329"/>
      <c r="C119" s="440"/>
    </row>
    <row r="120" spans="1:3" ht="12.75">
      <c r="A120" s="291" t="s">
        <v>245</v>
      </c>
      <c r="B120" s="427">
        <v>0</v>
      </c>
      <c r="C120" s="196">
        <f>B120+F70</f>
        <v>17019</v>
      </c>
    </row>
    <row r="121" spans="1:3" ht="12.75">
      <c r="A121" s="95" t="s">
        <v>246</v>
      </c>
      <c r="B121" s="428">
        <v>0</v>
      </c>
      <c r="C121" s="130">
        <f>B121+F71</f>
        <v>0</v>
      </c>
    </row>
    <row r="122" spans="1:3" ht="12.75">
      <c r="A122" s="95" t="s">
        <v>247</v>
      </c>
      <c r="B122" s="428">
        <v>0</v>
      </c>
      <c r="C122" s="130">
        <f>B122+F72</f>
        <v>0</v>
      </c>
    </row>
    <row r="123" spans="1:3" ht="12.75">
      <c r="A123" s="292" t="s">
        <v>246</v>
      </c>
      <c r="B123" s="429">
        <v>0</v>
      </c>
      <c r="C123" s="76">
        <f>B123+F73</f>
        <v>0</v>
      </c>
    </row>
    <row r="124" spans="1:3" ht="12.75">
      <c r="A124" s="90" t="s">
        <v>317</v>
      </c>
      <c r="B124" s="16">
        <f>B120+B122</f>
        <v>0</v>
      </c>
      <c r="C124" s="16">
        <f>C120+C122</f>
        <v>17019</v>
      </c>
    </row>
    <row r="125" spans="1:3" ht="12.75">
      <c r="A125" s="402"/>
      <c r="B125" s="406"/>
      <c r="C125" s="403"/>
    </row>
    <row r="126" spans="1:3" ht="12.75">
      <c r="A126" s="88" t="s">
        <v>389</v>
      </c>
      <c r="B126" s="329">
        <v>0</v>
      </c>
      <c r="C126" s="76">
        <f>B126+F76</f>
        <v>32</v>
      </c>
    </row>
    <row r="127" spans="1:3" ht="12.75">
      <c r="A127" s="89" t="s">
        <v>390</v>
      </c>
      <c r="B127" s="48">
        <v>0</v>
      </c>
      <c r="C127" s="76">
        <f>B127+F77</f>
        <v>7669</v>
      </c>
    </row>
    <row r="128" spans="1:3" ht="12.75">
      <c r="A128" s="90" t="s">
        <v>391</v>
      </c>
      <c r="B128" s="368">
        <f>SUM(B126:B127)</f>
        <v>0</v>
      </c>
      <c r="C128" s="368">
        <f>SUM(C126:C127)</f>
        <v>7701</v>
      </c>
    </row>
    <row r="129" spans="1:3" ht="12.75">
      <c r="A129" s="402"/>
      <c r="B129" s="410"/>
      <c r="C129" s="403"/>
    </row>
    <row r="130" spans="1:3" ht="12.75">
      <c r="A130" s="88" t="s">
        <v>257</v>
      </c>
      <c r="B130" s="39">
        <v>0</v>
      </c>
      <c r="C130" s="76">
        <f>B130+F80</f>
        <v>0</v>
      </c>
    </row>
    <row r="131" spans="1:3" ht="12.75">
      <c r="A131" s="88" t="s">
        <v>392</v>
      </c>
      <c r="B131" s="39">
        <v>0</v>
      </c>
      <c r="C131" s="76">
        <f>B131+F81</f>
        <v>0</v>
      </c>
    </row>
    <row r="132" spans="1:3" ht="25.5">
      <c r="A132" s="307" t="s">
        <v>393</v>
      </c>
      <c r="B132" s="368">
        <f>SUM(B130:B131)</f>
        <v>0</v>
      </c>
      <c r="C132" s="368">
        <f>SUM(C130:C131)</f>
        <v>0</v>
      </c>
    </row>
    <row r="133" spans="1:3" ht="12.75">
      <c r="A133" s="66"/>
      <c r="B133" s="411"/>
      <c r="C133" s="411"/>
    </row>
    <row r="134" spans="1:3" ht="12.75">
      <c r="A134" s="88" t="s">
        <v>394</v>
      </c>
      <c r="B134" s="39">
        <f>B135+B136</f>
        <v>483</v>
      </c>
      <c r="C134" s="39">
        <f>C135+C136</f>
        <v>40376</v>
      </c>
    </row>
    <row r="135" spans="1:3" ht="12.75">
      <c r="A135" s="88" t="s">
        <v>395</v>
      </c>
      <c r="B135" s="39">
        <v>483</v>
      </c>
      <c r="C135" s="76">
        <f>B135+F85</f>
        <v>29635</v>
      </c>
    </row>
    <row r="136" spans="1:3" ht="12.75">
      <c r="A136" s="88" t="s">
        <v>396</v>
      </c>
      <c r="B136" s="39">
        <v>0</v>
      </c>
      <c r="C136" s="76">
        <f>B136+F86</f>
        <v>10741</v>
      </c>
    </row>
    <row r="137" spans="1:3" ht="12.75">
      <c r="A137" s="358"/>
      <c r="B137" s="63"/>
      <c r="C137" s="63"/>
    </row>
    <row r="138" spans="1:3" ht="12.75">
      <c r="A138" s="101" t="s">
        <v>397</v>
      </c>
      <c r="B138" s="368">
        <f>B134</f>
        <v>483</v>
      </c>
      <c r="C138" s="368">
        <f>C134</f>
        <v>40376</v>
      </c>
    </row>
    <row r="139" spans="1:3" ht="12.75">
      <c r="A139" s="413"/>
      <c r="B139" s="414"/>
      <c r="C139" s="414"/>
    </row>
    <row r="140" spans="1:3" ht="12.75">
      <c r="A140" s="90" t="s">
        <v>398</v>
      </c>
      <c r="B140" s="368">
        <f>B138+B132+B128+B124+B118</f>
        <v>543</v>
      </c>
      <c r="C140" s="368">
        <f>C138+C132+C128+C124+C118</f>
        <v>244500</v>
      </c>
    </row>
    <row r="141" spans="1:3" ht="12.75">
      <c r="A141" s="101"/>
      <c r="B141" s="368"/>
      <c r="C141" s="415"/>
    </row>
    <row r="142" spans="1:3" ht="12.75">
      <c r="A142" s="184" t="s">
        <v>264</v>
      </c>
      <c r="B142" s="74">
        <f>B143+B144</f>
        <v>0</v>
      </c>
      <c r="C142" s="74">
        <f>C143+C144</f>
        <v>0</v>
      </c>
    </row>
    <row r="143" spans="1:3" ht="12.75">
      <c r="A143" s="311" t="s">
        <v>265</v>
      </c>
      <c r="B143" s="64">
        <v>0</v>
      </c>
      <c r="C143" s="196">
        <f>B143+F93</f>
        <v>0</v>
      </c>
    </row>
    <row r="144" spans="1:3" ht="12.75">
      <c r="A144" s="88" t="s">
        <v>266</v>
      </c>
      <c r="B144" s="39">
        <v>0</v>
      </c>
      <c r="C144" s="76">
        <f>B144+F94</f>
        <v>0</v>
      </c>
    </row>
    <row r="145" spans="1:3" ht="12.75">
      <c r="A145" s="413"/>
      <c r="B145" s="416"/>
      <c r="C145" s="459"/>
    </row>
    <row r="146" spans="1:3" ht="12.75">
      <c r="A146" s="90" t="s">
        <v>399</v>
      </c>
      <c r="B146" s="368">
        <v>1344</v>
      </c>
      <c r="C146" s="401">
        <f>B146+F96</f>
        <v>1666875</v>
      </c>
    </row>
    <row r="147" spans="1:3" ht="12.75">
      <c r="A147" s="413"/>
      <c r="B147" s="414"/>
      <c r="C147" s="414"/>
    </row>
    <row r="148" spans="1:3" ht="12.75">
      <c r="A148" s="90" t="s">
        <v>400</v>
      </c>
      <c r="B148" s="368">
        <f>B140+B142+B146</f>
        <v>1887</v>
      </c>
      <c r="C148" s="368">
        <f>C140+C142+C146</f>
        <v>1911375</v>
      </c>
    </row>
  </sheetData>
  <sheetProtection/>
  <mergeCells count="11">
    <mergeCell ref="A58:F58"/>
    <mergeCell ref="A59:F59"/>
    <mergeCell ref="A103:F103"/>
    <mergeCell ref="D105:E105"/>
    <mergeCell ref="A108:F108"/>
    <mergeCell ref="A109:F109"/>
    <mergeCell ref="D1:E1"/>
    <mergeCell ref="A4:F4"/>
    <mergeCell ref="A5:F5"/>
    <mergeCell ref="A53:F53"/>
    <mergeCell ref="D55:E55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44"/>
  <sheetViews>
    <sheetView zoomScalePageLayoutView="0" workbookViewId="0" topLeftCell="A1">
      <selection activeCell="A44" sqref="A1:B44"/>
    </sheetView>
  </sheetViews>
  <sheetFormatPr defaultColWidth="9.140625" defaultRowHeight="12.75"/>
  <cols>
    <col min="1" max="1" width="52.7109375" style="0" customWidth="1"/>
    <col min="2" max="2" width="25.8515625" style="0" customWidth="1"/>
  </cols>
  <sheetData>
    <row r="2" ht="14.25">
      <c r="B2" s="326" t="s">
        <v>414</v>
      </c>
    </row>
    <row r="3" ht="15.75">
      <c r="A3" s="29"/>
    </row>
    <row r="4" spans="1:2" ht="15.75">
      <c r="A4" s="1176" t="s">
        <v>415</v>
      </c>
      <c r="B4" s="1176"/>
    </row>
    <row r="5" ht="15.75">
      <c r="A5" s="29"/>
    </row>
    <row r="6" ht="12.75">
      <c r="B6" t="s">
        <v>210</v>
      </c>
    </row>
    <row r="7" spans="1:2" ht="15.75">
      <c r="A7" s="32" t="s">
        <v>306</v>
      </c>
      <c r="B7" s="246" t="s">
        <v>212</v>
      </c>
    </row>
    <row r="8" spans="1:2" ht="12.75">
      <c r="A8" s="247"/>
      <c r="B8" s="248" t="s">
        <v>39</v>
      </c>
    </row>
    <row r="9" spans="1:2" ht="12.75">
      <c r="A9" s="5" t="s">
        <v>416</v>
      </c>
      <c r="B9" s="460">
        <f>SUM(B10:B13)</f>
        <v>0</v>
      </c>
    </row>
    <row r="10" spans="1:2" ht="12.75">
      <c r="A10" s="8"/>
      <c r="B10" s="8"/>
    </row>
    <row r="11" spans="1:2" ht="12.75">
      <c r="A11" s="65"/>
      <c r="B11" s="8"/>
    </row>
    <row r="12" spans="1:2" ht="12.75">
      <c r="A12" s="8"/>
      <c r="B12" s="8"/>
    </row>
    <row r="13" spans="1:2" ht="12.75">
      <c r="A13" s="19"/>
      <c r="B13" s="19"/>
    </row>
    <row r="14" spans="1:2" ht="12.75">
      <c r="A14" s="5" t="s">
        <v>417</v>
      </c>
      <c r="B14" s="461">
        <f>SUM(B15:B20)</f>
        <v>0</v>
      </c>
    </row>
    <row r="15" spans="1:2" ht="12.75">
      <c r="A15" s="65" t="s">
        <v>418</v>
      </c>
      <c r="B15" s="65"/>
    </row>
    <row r="16" spans="1:2" ht="12.75">
      <c r="A16" s="8"/>
      <c r="B16" s="8"/>
    </row>
    <row r="17" spans="1:2" ht="12.75">
      <c r="A17" s="8"/>
      <c r="B17" s="8"/>
    </row>
    <row r="18" spans="1:2" ht="12.75">
      <c r="A18" s="8"/>
      <c r="B18" s="8"/>
    </row>
    <row r="19" spans="1:2" ht="12.75">
      <c r="A19" s="8"/>
      <c r="B19" s="8"/>
    </row>
    <row r="20" spans="1:2" ht="12.75">
      <c r="A20" s="247"/>
      <c r="B20" s="247"/>
    </row>
    <row r="21" spans="1:2" ht="12.75">
      <c r="A21" s="43" t="s">
        <v>419</v>
      </c>
      <c r="B21" s="15">
        <f>B14+B9</f>
        <v>0</v>
      </c>
    </row>
    <row r="24" ht="14.25">
      <c r="B24" s="26" t="s">
        <v>420</v>
      </c>
    </row>
    <row r="25" ht="15.75">
      <c r="A25" s="29"/>
    </row>
    <row r="26" spans="1:2" ht="15.75">
      <c r="A26" s="1176" t="s">
        <v>421</v>
      </c>
      <c r="B26" s="1176"/>
    </row>
    <row r="27" ht="15.75">
      <c r="A27" s="29"/>
    </row>
    <row r="28" ht="12.75">
      <c r="B28" t="s">
        <v>210</v>
      </c>
    </row>
    <row r="29" spans="1:2" ht="15.75">
      <c r="A29" s="32" t="s">
        <v>306</v>
      </c>
      <c r="B29" s="246" t="s">
        <v>212</v>
      </c>
    </row>
    <row r="30" spans="1:2" ht="12.75">
      <c r="A30" s="247"/>
      <c r="B30" s="248" t="s">
        <v>39</v>
      </c>
    </row>
    <row r="31" spans="1:2" ht="12.75">
      <c r="A31" s="249" t="s">
        <v>422</v>
      </c>
      <c r="B31" s="460">
        <v>0</v>
      </c>
    </row>
    <row r="32" spans="1:2" ht="12.75">
      <c r="A32" s="88"/>
      <c r="B32" s="8"/>
    </row>
    <row r="33" spans="1:2" ht="12.75">
      <c r="A33" s="88"/>
      <c r="B33" s="8"/>
    </row>
    <row r="34" spans="1:2" ht="12.75">
      <c r="A34" s="194"/>
      <c r="B34" s="8"/>
    </row>
    <row r="35" spans="1:2" ht="12.75">
      <c r="A35" s="88"/>
      <c r="B35" s="8"/>
    </row>
    <row r="36" spans="1:2" ht="12.75">
      <c r="A36" s="87"/>
      <c r="B36" s="8"/>
    </row>
    <row r="37" spans="1:2" ht="12.75">
      <c r="A37" s="249" t="s">
        <v>423</v>
      </c>
      <c r="B37" s="6">
        <f>B38+B39+B40+B41</f>
        <v>4500</v>
      </c>
    </row>
    <row r="38" spans="1:2" ht="12.75">
      <c r="A38" s="88" t="s">
        <v>424</v>
      </c>
      <c r="B38" s="39">
        <v>2000</v>
      </c>
    </row>
    <row r="39" spans="1:2" ht="12.75">
      <c r="A39" s="88" t="s">
        <v>425</v>
      </c>
      <c r="B39" s="39">
        <v>250</v>
      </c>
    </row>
    <row r="40" spans="1:2" ht="12.75">
      <c r="A40" s="194" t="s">
        <v>426</v>
      </c>
      <c r="B40" s="39">
        <v>50</v>
      </c>
    </row>
    <row r="41" spans="1:2" ht="12.75">
      <c r="A41" s="88" t="s">
        <v>427</v>
      </c>
      <c r="B41" s="39">
        <v>2200</v>
      </c>
    </row>
    <row r="42" spans="1:2" ht="12.75">
      <c r="A42" s="88"/>
      <c r="B42" s="39"/>
    </row>
    <row r="43" spans="1:2" ht="12.75">
      <c r="A43" s="250"/>
      <c r="B43" s="78"/>
    </row>
    <row r="44" spans="1:2" ht="12.75">
      <c r="A44" s="43" t="s">
        <v>428</v>
      </c>
      <c r="B44" s="16">
        <f>B37+B31</f>
        <v>4500</v>
      </c>
    </row>
  </sheetData>
  <sheetProtection/>
  <mergeCells count="2">
    <mergeCell ref="A4:B4"/>
    <mergeCell ref="A26:B26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50"/>
  <sheetViews>
    <sheetView zoomScalePageLayoutView="0" workbookViewId="0" topLeftCell="A1">
      <selection activeCell="A48" sqref="A1:B48"/>
    </sheetView>
  </sheetViews>
  <sheetFormatPr defaultColWidth="9.140625" defaultRowHeight="12.75"/>
  <cols>
    <col min="1" max="1" width="56.57421875" style="0" customWidth="1"/>
    <col min="2" max="2" width="23.28125" style="0" customWidth="1"/>
  </cols>
  <sheetData>
    <row r="1" ht="12.75">
      <c r="B1" s="462" t="s">
        <v>429</v>
      </c>
    </row>
    <row r="2" spans="1:2" ht="15.75">
      <c r="A2" s="1219" t="s">
        <v>430</v>
      </c>
      <c r="B2" s="1219"/>
    </row>
    <row r="3" spans="1:2" ht="15.75">
      <c r="A3" s="1219" t="s">
        <v>431</v>
      </c>
      <c r="B3" s="1219"/>
    </row>
    <row r="4" spans="1:2" ht="15.75">
      <c r="A4" s="463"/>
      <c r="B4" s="463"/>
    </row>
    <row r="5" ht="13.5" thickBot="1">
      <c r="B5" s="369" t="s">
        <v>33</v>
      </c>
    </row>
    <row r="6" spans="1:2" ht="32.25" thickBot="1">
      <c r="A6" s="783" t="s">
        <v>432</v>
      </c>
      <c r="B6" s="784" t="s">
        <v>433</v>
      </c>
    </row>
    <row r="7" spans="1:2" ht="15.75">
      <c r="A7" s="785" t="s">
        <v>1108</v>
      </c>
      <c r="B7" s="786"/>
    </row>
    <row r="8" spans="1:2" ht="15.75">
      <c r="A8" s="787" t="s">
        <v>83</v>
      </c>
      <c r="B8" s="788"/>
    </row>
    <row r="9" spans="1:2" ht="15.75" thickBot="1">
      <c r="A9" s="789" t="s">
        <v>1117</v>
      </c>
      <c r="B9" s="790">
        <v>4908</v>
      </c>
    </row>
    <row r="10" spans="1:2" ht="16.5" thickBot="1">
      <c r="A10" s="780" t="s">
        <v>1107</v>
      </c>
      <c r="B10" s="781">
        <v>4908</v>
      </c>
    </row>
    <row r="11" spans="1:2" ht="9.75" customHeight="1">
      <c r="A11" s="791"/>
      <c r="B11" s="792"/>
    </row>
    <row r="12" spans="1:2" ht="15.75">
      <c r="A12" s="787" t="s">
        <v>448</v>
      </c>
      <c r="B12" s="788"/>
    </row>
    <row r="13" spans="1:2" ht="15.75" thickBot="1">
      <c r="A13" s="789" t="s">
        <v>1118</v>
      </c>
      <c r="B13" s="790">
        <f>4118+182</f>
        <v>4300</v>
      </c>
    </row>
    <row r="14" spans="1:2" ht="16.5" thickBot="1">
      <c r="A14" s="780" t="s">
        <v>1110</v>
      </c>
      <c r="B14" s="781">
        <f>B13</f>
        <v>4300</v>
      </c>
    </row>
    <row r="15" spans="1:2" ht="8.25" customHeight="1" thickBot="1">
      <c r="A15" s="793"/>
      <c r="B15" s="790"/>
    </row>
    <row r="16" spans="1:2" ht="16.5" thickBot="1">
      <c r="A16" s="782" t="s">
        <v>1109</v>
      </c>
      <c r="B16" s="781">
        <f>B10+B14</f>
        <v>9208</v>
      </c>
    </row>
    <row r="17" spans="1:2" ht="6.75" customHeight="1">
      <c r="A17" s="791"/>
      <c r="B17" s="792"/>
    </row>
    <row r="18" spans="1:2" ht="15.75">
      <c r="A18" s="794" t="s">
        <v>1092</v>
      </c>
      <c r="B18" s="795"/>
    </row>
    <row r="19" spans="1:2" ht="15">
      <c r="A19" s="796" t="s">
        <v>434</v>
      </c>
      <c r="B19" s="790">
        <v>2400</v>
      </c>
    </row>
    <row r="20" spans="1:2" ht="15">
      <c r="A20" s="797" t="s">
        <v>1152</v>
      </c>
      <c r="B20" s="798">
        <v>2320</v>
      </c>
    </row>
    <row r="21" spans="1:2" s="18" customFormat="1" ht="15.75">
      <c r="A21" s="799" t="s">
        <v>435</v>
      </c>
      <c r="B21" s="800">
        <f>SUM(B19:B20)</f>
        <v>4720</v>
      </c>
    </row>
    <row r="22" spans="1:2" s="18" customFormat="1" ht="7.5" customHeight="1">
      <c r="A22" s="793"/>
      <c r="B22" s="801"/>
    </row>
    <row r="23" spans="1:2" s="91" customFormat="1" ht="16.5" thickBot="1">
      <c r="A23" s="802" t="s">
        <v>1093</v>
      </c>
      <c r="B23" s="800">
        <f>B21</f>
        <v>4720</v>
      </c>
    </row>
    <row r="24" spans="1:2" ht="15.75">
      <c r="A24" s="804" t="s">
        <v>177</v>
      </c>
      <c r="B24" s="805"/>
    </row>
    <row r="25" spans="1:2" ht="15">
      <c r="A25" s="806" t="s">
        <v>436</v>
      </c>
      <c r="B25" s="807">
        <v>10433</v>
      </c>
    </row>
    <row r="26" spans="1:2" ht="15">
      <c r="A26" s="808" t="s">
        <v>437</v>
      </c>
      <c r="B26" s="807">
        <v>257</v>
      </c>
    </row>
    <row r="27" spans="1:2" ht="15">
      <c r="A27" s="808" t="s">
        <v>1230</v>
      </c>
      <c r="B27" s="807">
        <v>341</v>
      </c>
    </row>
    <row r="28" spans="1:2" ht="15">
      <c r="A28" s="808" t="s">
        <v>1231</v>
      </c>
      <c r="B28" s="807">
        <v>246</v>
      </c>
    </row>
    <row r="29" spans="1:2" ht="15">
      <c r="A29" s="808" t="s">
        <v>1232</v>
      </c>
      <c r="B29" s="807">
        <v>393</v>
      </c>
    </row>
    <row r="30" spans="1:2" ht="15">
      <c r="A30" s="808" t="s">
        <v>1242</v>
      </c>
      <c r="B30" s="807">
        <v>142</v>
      </c>
    </row>
    <row r="31" spans="1:2" ht="15">
      <c r="A31" s="808" t="s">
        <v>1282</v>
      </c>
      <c r="B31" s="807">
        <v>1110</v>
      </c>
    </row>
    <row r="32" spans="1:2" ht="15">
      <c r="A32" s="808" t="s">
        <v>438</v>
      </c>
      <c r="B32" s="807">
        <f>9200-4301</f>
        <v>4899</v>
      </c>
    </row>
    <row r="33" spans="1:2" ht="15.75">
      <c r="A33" s="809" t="s">
        <v>439</v>
      </c>
      <c r="B33" s="810">
        <f>SUM(B25:B32)</f>
        <v>17821</v>
      </c>
    </row>
    <row r="34" spans="1:2" ht="9" customHeight="1">
      <c r="A34" s="809"/>
      <c r="B34" s="810"/>
    </row>
    <row r="35" spans="1:2" ht="15">
      <c r="A35" s="1099" t="s">
        <v>1233</v>
      </c>
      <c r="B35" s="1100">
        <v>1505</v>
      </c>
    </row>
    <row r="36" spans="1:2" ht="15">
      <c r="A36" s="1099" t="s">
        <v>1235</v>
      </c>
      <c r="B36" s="1100">
        <v>540</v>
      </c>
    </row>
    <row r="37" spans="1:2" ht="15">
      <c r="A37" s="1099" t="s">
        <v>1234</v>
      </c>
      <c r="B37" s="1100">
        <v>976</v>
      </c>
    </row>
    <row r="38" spans="1:2" ht="15.75">
      <c r="A38" s="809" t="s">
        <v>1082</v>
      </c>
      <c r="B38" s="810">
        <f>SUM(B35:B37)</f>
        <v>3021</v>
      </c>
    </row>
    <row r="39" spans="1:2" ht="9" customHeight="1">
      <c r="A39" s="808"/>
      <c r="B39" s="807"/>
    </row>
    <row r="40" spans="1:2" ht="15">
      <c r="A40" s="808" t="s">
        <v>1243</v>
      </c>
      <c r="B40" s="807">
        <v>3459</v>
      </c>
    </row>
    <row r="41" spans="1:2" s="91" customFormat="1" ht="15.75">
      <c r="A41" s="809" t="s">
        <v>1081</v>
      </c>
      <c r="B41" s="811">
        <f>SUM(B39:B40)</f>
        <v>3459</v>
      </c>
    </row>
    <row r="42" spans="1:2" s="91" customFormat="1" ht="9.75" customHeight="1">
      <c r="A42" s="812"/>
      <c r="B42" s="811"/>
    </row>
    <row r="43" spans="1:2" ht="15">
      <c r="A43" s="808" t="s">
        <v>440</v>
      </c>
      <c r="B43" s="807">
        <v>15000</v>
      </c>
    </row>
    <row r="44" spans="1:2" s="91" customFormat="1" ht="15.75">
      <c r="A44" s="809" t="s">
        <v>441</v>
      </c>
      <c r="B44" s="810">
        <f>SUM(B43)</f>
        <v>15000</v>
      </c>
    </row>
    <row r="45" spans="1:2" s="91" customFormat="1" ht="8.25" customHeight="1" thickBot="1">
      <c r="A45" s="803"/>
      <c r="B45" s="1111"/>
    </row>
    <row r="46" spans="1:2" ht="16.5" thickBot="1">
      <c r="A46" s="802" t="s">
        <v>442</v>
      </c>
      <c r="B46" s="970">
        <f>B33+B41+B44+B38</f>
        <v>39301</v>
      </c>
    </row>
    <row r="47" spans="1:2" ht="9.75" customHeight="1" thickBot="1">
      <c r="A47" s="813"/>
      <c r="B47" s="1111"/>
    </row>
    <row r="48" spans="1:2" ht="16.5" thickBot="1">
      <c r="A48" s="814" t="s">
        <v>443</v>
      </c>
      <c r="B48" s="815">
        <f>SUM(B23+B46+B16)</f>
        <v>53229</v>
      </c>
    </row>
    <row r="49" spans="1:2" ht="15.75">
      <c r="A49" s="469"/>
      <c r="B49" s="470"/>
    </row>
    <row r="50" spans="1:2" ht="15.75">
      <c r="A50" s="469"/>
      <c r="B50" s="470"/>
    </row>
  </sheetData>
  <sheetProtection/>
  <mergeCells count="2">
    <mergeCell ref="A2:B2"/>
    <mergeCell ref="A3:B3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19"/>
  <sheetViews>
    <sheetView zoomScalePageLayoutView="0" workbookViewId="0" topLeftCell="A94">
      <selection activeCell="A119" sqref="A1:B119"/>
    </sheetView>
  </sheetViews>
  <sheetFormatPr defaultColWidth="9.140625" defaultRowHeight="12.75"/>
  <cols>
    <col min="1" max="1" width="61.00390625" style="0" customWidth="1"/>
    <col min="2" max="2" width="18.28125" style="0" customWidth="1"/>
  </cols>
  <sheetData>
    <row r="1" ht="12.75">
      <c r="B1" s="471" t="s">
        <v>444</v>
      </c>
    </row>
    <row r="2" spans="1:2" ht="15.75">
      <c r="A2" s="1219" t="s">
        <v>445</v>
      </c>
      <c r="B2" s="1219"/>
    </row>
    <row r="3" spans="1:2" ht="15.75">
      <c r="A3" s="1219" t="s">
        <v>446</v>
      </c>
      <c r="B3" s="1219"/>
    </row>
    <row r="4" spans="1:2" ht="12" customHeight="1">
      <c r="A4" s="463"/>
      <c r="B4" s="463"/>
    </row>
    <row r="5" spans="1:2" ht="13.5" thickBot="1">
      <c r="A5" s="462"/>
      <c r="B5" s="369" t="s">
        <v>33</v>
      </c>
    </row>
    <row r="6" spans="1:2" ht="26.25" thickBot="1">
      <c r="A6" s="873" t="s">
        <v>447</v>
      </c>
      <c r="B6" s="874" t="s">
        <v>433</v>
      </c>
    </row>
    <row r="7" spans="1:2" ht="12.75" customHeight="1">
      <c r="A7" s="875" t="s">
        <v>448</v>
      </c>
      <c r="B7" s="876"/>
    </row>
    <row r="8" spans="1:2" ht="12.75" customHeight="1">
      <c r="A8" s="877" t="s">
        <v>1115</v>
      </c>
      <c r="B8" s="967">
        <f>550-15</f>
        <v>535</v>
      </c>
    </row>
    <row r="9" spans="1:2" ht="12.75" customHeight="1">
      <c r="A9" s="879" t="s">
        <v>1116</v>
      </c>
      <c r="B9" s="966">
        <f>600-368</f>
        <v>232</v>
      </c>
    </row>
    <row r="10" spans="1:2" ht="12.75" customHeight="1">
      <c r="A10" s="877" t="s">
        <v>1156</v>
      </c>
      <c r="B10" s="878">
        <v>312</v>
      </c>
    </row>
    <row r="11" spans="1:2" ht="12.75" customHeight="1">
      <c r="A11" s="879" t="s">
        <v>1157</v>
      </c>
      <c r="B11" s="1049">
        <v>337</v>
      </c>
    </row>
    <row r="12" spans="1:2" ht="12.75" customHeight="1" thickBot="1">
      <c r="A12" s="1047" t="s">
        <v>1207</v>
      </c>
      <c r="B12" s="1048">
        <v>396</v>
      </c>
    </row>
    <row r="13" spans="1:2" ht="12.75" customHeight="1" thickBot="1">
      <c r="A13" s="829" t="s">
        <v>449</v>
      </c>
      <c r="B13" s="880">
        <f>SUM(B8:B12)</f>
        <v>1812</v>
      </c>
    </row>
    <row r="14" spans="1:2" ht="12.75" customHeight="1">
      <c r="A14" s="881"/>
      <c r="B14" s="882"/>
    </row>
    <row r="15" spans="1:2" ht="12.75" customHeight="1">
      <c r="A15" s="883" t="s">
        <v>83</v>
      </c>
      <c r="B15" s="884"/>
    </row>
    <row r="16" spans="1:2" ht="12.75" customHeight="1">
      <c r="A16" s="885" t="s">
        <v>1111</v>
      </c>
      <c r="B16" s="886">
        <v>140</v>
      </c>
    </row>
    <row r="17" spans="1:2" ht="12.75" customHeight="1">
      <c r="A17" s="885" t="s">
        <v>1112</v>
      </c>
      <c r="B17" s="886">
        <v>199</v>
      </c>
    </row>
    <row r="18" spans="1:2" ht="12.75" customHeight="1">
      <c r="A18" s="885" t="s">
        <v>1113</v>
      </c>
      <c r="B18" s="886">
        <v>624</v>
      </c>
    </row>
    <row r="19" spans="1:2" ht="12.75" customHeight="1">
      <c r="A19" s="885" t="s">
        <v>1172</v>
      </c>
      <c r="B19" s="990">
        <v>227</v>
      </c>
    </row>
    <row r="20" spans="1:2" ht="12.75" customHeight="1">
      <c r="A20" s="885" t="s">
        <v>1199</v>
      </c>
      <c r="B20" s="1028">
        <v>3989</v>
      </c>
    </row>
    <row r="21" spans="1:2" ht="12.75" customHeight="1" thickBot="1">
      <c r="A21" s="885" t="s">
        <v>1114</v>
      </c>
      <c r="B21" s="887">
        <v>127</v>
      </c>
    </row>
    <row r="22" spans="1:2" ht="12.75" customHeight="1" thickBot="1">
      <c r="A22" s="829" t="s">
        <v>449</v>
      </c>
      <c r="B22" s="816">
        <f>SUM(B16:B21)</f>
        <v>5306</v>
      </c>
    </row>
    <row r="23" spans="1:2" ht="12.75" customHeight="1" thickBot="1">
      <c r="A23" s="888"/>
      <c r="B23" s="889"/>
    </row>
    <row r="24" spans="1:2" ht="12.75" customHeight="1" thickBot="1">
      <c r="A24" s="829" t="s">
        <v>1086</v>
      </c>
      <c r="B24" s="880">
        <f>B13+B22</f>
        <v>7118</v>
      </c>
    </row>
    <row r="25" spans="1:2" ht="12.75" customHeight="1">
      <c r="A25" s="890"/>
      <c r="B25" s="891"/>
    </row>
    <row r="26" spans="1:2" ht="12.75" customHeight="1">
      <c r="A26" s="892" t="s">
        <v>1087</v>
      </c>
      <c r="B26" s="891"/>
    </row>
    <row r="27" spans="1:2" ht="6.75" customHeight="1">
      <c r="A27" s="892"/>
      <c r="B27" s="891"/>
    </row>
    <row r="28" spans="1:2" ht="12.75" customHeight="1">
      <c r="A28" s="893" t="s">
        <v>1094</v>
      </c>
      <c r="B28" s="891"/>
    </row>
    <row r="29" spans="1:2" ht="12.75" customHeight="1">
      <c r="A29" s="877" t="s">
        <v>1095</v>
      </c>
      <c r="B29" s="886">
        <v>1015</v>
      </c>
    </row>
    <row r="30" spans="1:2" ht="12.75" customHeight="1">
      <c r="A30" s="877" t="s">
        <v>1096</v>
      </c>
      <c r="B30" s="886">
        <v>274</v>
      </c>
    </row>
    <row r="31" spans="1:2" ht="12.75" customHeight="1">
      <c r="A31" s="877" t="s">
        <v>1158</v>
      </c>
      <c r="B31" s="886">
        <v>0</v>
      </c>
    </row>
    <row r="32" spans="1:2" ht="12.75" customHeight="1">
      <c r="A32" s="877" t="s">
        <v>1180</v>
      </c>
      <c r="B32" s="886">
        <v>320</v>
      </c>
    </row>
    <row r="33" spans="1:2" ht="12.75" customHeight="1" thickBot="1">
      <c r="A33" s="894" t="s">
        <v>1181</v>
      </c>
      <c r="B33" s="887">
        <v>2488</v>
      </c>
    </row>
    <row r="34" spans="1:2" ht="12.75" customHeight="1" thickBot="1">
      <c r="A34" s="772" t="s">
        <v>1097</v>
      </c>
      <c r="B34" s="773">
        <f>SUM(B29:B33)</f>
        <v>4097</v>
      </c>
    </row>
    <row r="35" spans="1:2" ht="6" customHeight="1">
      <c r="A35" s="892"/>
      <c r="B35" s="891"/>
    </row>
    <row r="36" spans="1:2" ht="12.75">
      <c r="A36" s="895" t="s">
        <v>450</v>
      </c>
      <c r="B36" s="896"/>
    </row>
    <row r="37" spans="1:2" ht="12.75">
      <c r="A37" s="826" t="s">
        <v>451</v>
      </c>
      <c r="B37" s="897">
        <f>3600+151</f>
        <v>3751</v>
      </c>
    </row>
    <row r="38" spans="1:2" ht="12.75" customHeight="1">
      <c r="A38" s="826" t="s">
        <v>452</v>
      </c>
      <c r="B38" s="897">
        <v>1000</v>
      </c>
    </row>
    <row r="39" spans="1:2" ht="13.5" thickBot="1">
      <c r="A39" s="827"/>
      <c r="B39" s="898"/>
    </row>
    <row r="40" spans="1:2" ht="13.5" thickBot="1">
      <c r="A40" s="829" t="s">
        <v>1088</v>
      </c>
      <c r="B40" s="899">
        <f>SUM(B37:B39)</f>
        <v>4751</v>
      </c>
    </row>
    <row r="41" spans="1:2" ht="6.75" customHeight="1">
      <c r="A41" s="900"/>
      <c r="B41" s="901"/>
    </row>
    <row r="42" spans="1:2" ht="12.75">
      <c r="A42" s="902" t="s">
        <v>453</v>
      </c>
      <c r="B42" s="897"/>
    </row>
    <row r="43" spans="1:2" ht="12.75">
      <c r="A43" s="947" t="s">
        <v>1155</v>
      </c>
      <c r="B43" s="898">
        <v>176</v>
      </c>
    </row>
    <row r="44" spans="1:2" ht="12.75">
      <c r="A44" s="903" t="s">
        <v>1153</v>
      </c>
      <c r="B44" s="898">
        <v>120</v>
      </c>
    </row>
    <row r="45" spans="1:2" ht="12.75">
      <c r="A45" s="903" t="s">
        <v>1196</v>
      </c>
      <c r="B45" s="898">
        <f>103+206</f>
        <v>309</v>
      </c>
    </row>
    <row r="46" spans="1:2" ht="12.75">
      <c r="A46" s="903" t="s">
        <v>1197</v>
      </c>
      <c r="B46" s="898">
        <v>250</v>
      </c>
    </row>
    <row r="47" spans="1:2" ht="12.75">
      <c r="A47" s="903" t="s">
        <v>1154</v>
      </c>
      <c r="B47" s="898">
        <v>2025</v>
      </c>
    </row>
    <row r="48" spans="1:2" ht="12.75">
      <c r="A48" s="903" t="s">
        <v>1193</v>
      </c>
      <c r="B48" s="898">
        <v>2132</v>
      </c>
    </row>
    <row r="49" spans="1:2" ht="12.75">
      <c r="A49" s="903" t="s">
        <v>1194</v>
      </c>
      <c r="B49" s="898">
        <v>325</v>
      </c>
    </row>
    <row r="50" spans="1:2" ht="12.75">
      <c r="A50" s="903" t="s">
        <v>1195</v>
      </c>
      <c r="B50" s="898">
        <v>243</v>
      </c>
    </row>
    <row r="51" spans="1:2" ht="12.75">
      <c r="A51" s="903" t="s">
        <v>1198</v>
      </c>
      <c r="B51" s="898">
        <v>284</v>
      </c>
    </row>
    <row r="52" spans="1:2" ht="13.5" thickBot="1">
      <c r="A52" s="904" t="s">
        <v>1085</v>
      </c>
      <c r="B52" s="905">
        <v>1854</v>
      </c>
    </row>
    <row r="53" spans="1:2" ht="13.5" thickBot="1">
      <c r="A53" s="829" t="s">
        <v>1089</v>
      </c>
      <c r="B53" s="899">
        <f>SUM(B43:B52)</f>
        <v>7718</v>
      </c>
    </row>
    <row r="54" spans="1:2" ht="13.5" thickBot="1">
      <c r="A54" s="865"/>
      <c r="B54" s="906"/>
    </row>
    <row r="55" spans="1:2" ht="13.5" thickBot="1">
      <c r="A55" s="844" t="s">
        <v>222</v>
      </c>
      <c r="B55" s="973">
        <f>B40+B53+B13+B22+B34</f>
        <v>23684</v>
      </c>
    </row>
    <row r="56" spans="1:2" ht="12.75">
      <c r="A56" s="323"/>
      <c r="B56" s="872"/>
    </row>
    <row r="57" spans="1:2" ht="12.75">
      <c r="A57" s="323"/>
      <c r="B57" s="872"/>
    </row>
    <row r="58" spans="1:2" ht="12.75">
      <c r="A58" s="323"/>
      <c r="B58" s="471" t="s">
        <v>444</v>
      </c>
    </row>
    <row r="59" spans="1:2" ht="12.75">
      <c r="A59" s="1220">
        <v>2</v>
      </c>
      <c r="B59" s="1220"/>
    </row>
    <row r="60" spans="1:2" ht="13.5" thickBot="1">
      <c r="A60" s="462"/>
      <c r="B60" s="369" t="s">
        <v>33</v>
      </c>
    </row>
    <row r="61" spans="1:2" ht="26.25" thickBot="1">
      <c r="A61" s="976" t="s">
        <v>447</v>
      </c>
      <c r="B61" s="139" t="s">
        <v>433</v>
      </c>
    </row>
    <row r="62" spans="1:2" ht="12.75">
      <c r="A62" s="977" t="s">
        <v>454</v>
      </c>
      <c r="B62" s="978"/>
    </row>
    <row r="63" spans="1:2" ht="6" customHeight="1">
      <c r="A63" s="908"/>
      <c r="B63" s="909"/>
    </row>
    <row r="64" spans="1:2" ht="12.75">
      <c r="A64" s="910" t="s">
        <v>455</v>
      </c>
      <c r="B64" s="909">
        <f>132-132</f>
        <v>0</v>
      </c>
    </row>
    <row r="65" spans="1:2" ht="12.75">
      <c r="A65" s="910" t="s">
        <v>461</v>
      </c>
      <c r="B65" s="909">
        <v>0</v>
      </c>
    </row>
    <row r="66" spans="1:2" ht="12.75">
      <c r="A66" s="1096" t="s">
        <v>1163</v>
      </c>
      <c r="B66" s="912">
        <f>1500-229</f>
        <v>1271</v>
      </c>
    </row>
    <row r="67" spans="1:2" ht="12.75">
      <c r="A67" s="1106" t="s">
        <v>1240</v>
      </c>
      <c r="B67" s="1107">
        <v>124</v>
      </c>
    </row>
    <row r="68" spans="1:2" ht="12.75">
      <c r="A68" s="1108" t="s">
        <v>1241</v>
      </c>
      <c r="B68" s="1109">
        <v>1002</v>
      </c>
    </row>
    <row r="69" spans="1:2" ht="12.75">
      <c r="A69" s="1108" t="s">
        <v>1244</v>
      </c>
      <c r="B69" s="1109">
        <v>80556</v>
      </c>
    </row>
    <row r="70" spans="1:2" ht="12.75">
      <c r="A70" s="1108" t="s">
        <v>1253</v>
      </c>
      <c r="B70" s="1109">
        <v>4967</v>
      </c>
    </row>
    <row r="71" spans="1:2" ht="12.75">
      <c r="A71" s="911" t="s">
        <v>1227</v>
      </c>
      <c r="B71" s="1095">
        <v>386</v>
      </c>
    </row>
    <row r="72" spans="1:2" s="91" customFormat="1" ht="12.75">
      <c r="A72" s="974" t="s">
        <v>462</v>
      </c>
      <c r="B72" s="975">
        <f>SUM(B63:B71)</f>
        <v>88306</v>
      </c>
    </row>
    <row r="73" spans="1:2" ht="6" customHeight="1">
      <c r="A73" s="908"/>
      <c r="B73" s="909"/>
    </row>
    <row r="74" spans="1:2" s="91" customFormat="1" ht="12.75">
      <c r="A74" s="947" t="s">
        <v>1226</v>
      </c>
      <c r="B74" s="1094">
        <v>350</v>
      </c>
    </row>
    <row r="75" spans="1:2" ht="12.75">
      <c r="A75" s="910" t="s">
        <v>1169</v>
      </c>
      <c r="B75" s="909">
        <f>3500-918</f>
        <v>2582</v>
      </c>
    </row>
    <row r="76" spans="1:2" s="91" customFormat="1" ht="12.75">
      <c r="A76" s="979" t="s">
        <v>463</v>
      </c>
      <c r="B76" s="980">
        <f>SUM(B74:B75)</f>
        <v>2932</v>
      </c>
    </row>
    <row r="77" spans="1:2" ht="6" customHeight="1">
      <c r="A77" s="908"/>
      <c r="B77" s="909"/>
    </row>
    <row r="78" spans="1:2" ht="12.75">
      <c r="A78" s="981" t="s">
        <v>1225</v>
      </c>
      <c r="B78" s="909">
        <v>32730</v>
      </c>
    </row>
    <row r="79" spans="1:2" ht="12.75">
      <c r="A79" s="981" t="s">
        <v>1166</v>
      </c>
      <c r="B79" s="909">
        <v>30000</v>
      </c>
    </row>
    <row r="80" spans="1:2" ht="12.75">
      <c r="A80" s="981" t="s">
        <v>1167</v>
      </c>
      <c r="B80" s="909">
        <v>685</v>
      </c>
    </row>
    <row r="81" spans="1:2" s="91" customFormat="1" ht="12.75">
      <c r="A81" s="979" t="s">
        <v>1083</v>
      </c>
      <c r="B81" s="980">
        <f>SUM(B78:B80)</f>
        <v>63415</v>
      </c>
    </row>
    <row r="82" spans="1:2" ht="6" customHeight="1">
      <c r="A82" s="908"/>
      <c r="B82" s="909"/>
    </row>
    <row r="83" spans="1:2" ht="12.75">
      <c r="A83" s="910" t="s">
        <v>456</v>
      </c>
      <c r="B83" s="909">
        <f>22080+13392</f>
        <v>35472</v>
      </c>
    </row>
    <row r="84" spans="1:2" ht="12.75">
      <c r="A84" s="910" t="s">
        <v>457</v>
      </c>
      <c r="B84" s="909">
        <f>11100-849</f>
        <v>10251</v>
      </c>
    </row>
    <row r="85" spans="1:2" ht="12.75">
      <c r="A85" s="910" t="s">
        <v>458</v>
      </c>
      <c r="B85" s="909">
        <f>22200+4746</f>
        <v>26946</v>
      </c>
    </row>
    <row r="86" spans="1:2" ht="12.75">
      <c r="A86" s="910" t="s">
        <v>459</v>
      </c>
      <c r="B86" s="909">
        <f>22200+13278</f>
        <v>35478</v>
      </c>
    </row>
    <row r="87" spans="1:2" ht="12.75">
      <c r="A87" s="910" t="s">
        <v>460</v>
      </c>
      <c r="B87" s="909">
        <f>11040-408</f>
        <v>10632</v>
      </c>
    </row>
    <row r="88" spans="1:2" ht="12.75">
      <c r="A88" s="910" t="s">
        <v>1246</v>
      </c>
      <c r="B88" s="909">
        <v>115</v>
      </c>
    </row>
    <row r="89" spans="1:2" ht="12.75">
      <c r="A89" s="910" t="s">
        <v>1249</v>
      </c>
      <c r="B89" s="909">
        <v>13762</v>
      </c>
    </row>
    <row r="90" spans="1:2" ht="12.75">
      <c r="A90" s="910" t="s">
        <v>1146</v>
      </c>
      <c r="B90" s="909">
        <f>33955-6521</f>
        <v>27434</v>
      </c>
    </row>
    <row r="91" spans="1:2" s="91" customFormat="1" ht="12.75">
      <c r="A91" s="979" t="s">
        <v>1084</v>
      </c>
      <c r="B91" s="980">
        <f>SUM(B83:B90)</f>
        <v>160090</v>
      </c>
    </row>
    <row r="92" spans="1:2" ht="6" customHeight="1">
      <c r="A92" s="908"/>
      <c r="B92" s="909"/>
    </row>
    <row r="93" spans="1:2" ht="12.75">
      <c r="A93" s="982" t="s">
        <v>1168</v>
      </c>
      <c r="B93" s="912">
        <f>90000-81020</f>
        <v>8980</v>
      </c>
    </row>
    <row r="94" spans="1:2" s="91" customFormat="1" ht="12.75">
      <c r="A94" s="983" t="s">
        <v>464</v>
      </c>
      <c r="B94" s="907">
        <f>SUM(B93)</f>
        <v>8980</v>
      </c>
    </row>
    <row r="95" spans="1:2" ht="6" customHeight="1">
      <c r="A95" s="908"/>
      <c r="B95" s="909"/>
    </row>
    <row r="96" spans="1:2" s="91" customFormat="1" ht="12.75">
      <c r="A96" s="1029" t="s">
        <v>1236</v>
      </c>
      <c r="B96" s="1031">
        <v>2230</v>
      </c>
    </row>
    <row r="97" spans="1:2" s="91" customFormat="1" ht="12.75">
      <c r="A97" s="1029" t="s">
        <v>1201</v>
      </c>
      <c r="B97" s="1031">
        <v>2399</v>
      </c>
    </row>
    <row r="98" spans="1:2" s="91" customFormat="1" ht="12.75">
      <c r="A98" s="1029" t="s">
        <v>1214</v>
      </c>
      <c r="B98" s="1031">
        <v>2925</v>
      </c>
    </row>
    <row r="99" spans="1:2" s="91" customFormat="1" ht="12.75">
      <c r="A99" s="1029" t="s">
        <v>1211</v>
      </c>
      <c r="B99" s="1031">
        <v>510</v>
      </c>
    </row>
    <row r="100" spans="1:2" ht="12.75">
      <c r="A100" s="1030" t="s">
        <v>1202</v>
      </c>
      <c r="B100" s="1032">
        <f>SUM(B96:B99)</f>
        <v>8064</v>
      </c>
    </row>
    <row r="101" spans="1:2" ht="6" customHeight="1">
      <c r="A101" s="908"/>
      <c r="B101" s="909"/>
    </row>
    <row r="102" spans="1:2" ht="12.75">
      <c r="A102" s="1029" t="s">
        <v>1204</v>
      </c>
      <c r="B102" s="1031">
        <f>4000+3850</f>
        <v>7850</v>
      </c>
    </row>
    <row r="103" spans="1:2" ht="12.75">
      <c r="A103" s="1030" t="s">
        <v>1205</v>
      </c>
      <c r="B103" s="1032">
        <f>SUM(B102)</f>
        <v>7850</v>
      </c>
    </row>
    <row r="104" spans="1:2" ht="6" customHeight="1">
      <c r="A104" s="908"/>
      <c r="B104" s="909"/>
    </row>
    <row r="105" spans="1:2" ht="12.75">
      <c r="A105" s="1092" t="s">
        <v>1224</v>
      </c>
      <c r="B105" s="1093">
        <v>242</v>
      </c>
    </row>
    <row r="106" spans="1:2" ht="12.75">
      <c r="A106" s="1097" t="s">
        <v>1223</v>
      </c>
      <c r="B106" s="1098">
        <f>SUM(B105)</f>
        <v>242</v>
      </c>
    </row>
    <row r="107" spans="1:2" ht="6" customHeight="1">
      <c r="A107" s="908"/>
      <c r="B107" s="909"/>
    </row>
    <row r="108" spans="1:2" ht="12.75">
      <c r="A108" s="1092" t="s">
        <v>1247</v>
      </c>
      <c r="B108" s="1093">
        <v>1358</v>
      </c>
    </row>
    <row r="109" spans="1:2" ht="12.75">
      <c r="A109" s="1092" t="s">
        <v>1248</v>
      </c>
      <c r="B109" s="1093">
        <v>3838</v>
      </c>
    </row>
    <row r="110" spans="1:2" ht="12.75">
      <c r="A110" s="1092" t="s">
        <v>1245</v>
      </c>
      <c r="B110" s="1093">
        <v>2911</v>
      </c>
    </row>
    <row r="111" spans="1:2" ht="12.75">
      <c r="A111" s="1092" t="s">
        <v>1228</v>
      </c>
      <c r="B111" s="1093">
        <f>297+4161</f>
        <v>4458</v>
      </c>
    </row>
    <row r="112" spans="1:2" ht="12.75">
      <c r="A112" s="1112" t="s">
        <v>1229</v>
      </c>
      <c r="B112" s="1091">
        <f>SUM(B108:B111)</f>
        <v>12565</v>
      </c>
    </row>
    <row r="113" spans="1:2" ht="6" customHeight="1">
      <c r="A113" s="908"/>
      <c r="B113" s="909"/>
    </row>
    <row r="114" spans="1:2" ht="12.75">
      <c r="A114" s="1092" t="s">
        <v>1236</v>
      </c>
      <c r="B114" s="1093">
        <v>2399</v>
      </c>
    </row>
    <row r="115" spans="1:2" ht="12.75">
      <c r="A115" s="1112" t="s">
        <v>1252</v>
      </c>
      <c r="B115" s="1091">
        <f>SUM(B114)</f>
        <v>2399</v>
      </c>
    </row>
    <row r="116" spans="1:2" ht="6" customHeight="1" thickBot="1">
      <c r="A116" s="908"/>
      <c r="B116" s="909"/>
    </row>
    <row r="117" spans="1:2" ht="13.5" thickBot="1">
      <c r="A117" s="984" t="s">
        <v>374</v>
      </c>
      <c r="B117" s="985">
        <f>B72+B76+B81+B91+B94+B100+B103+B106+B112+B115</f>
        <v>354843</v>
      </c>
    </row>
    <row r="118" spans="1:2" ht="6.75" customHeight="1" thickBot="1">
      <c r="A118" s="986"/>
      <c r="B118" s="987"/>
    </row>
    <row r="119" spans="1:2" ht="13.5" thickBot="1">
      <c r="A119" s="988" t="s">
        <v>465</v>
      </c>
      <c r="B119" s="989">
        <f>B55+B117</f>
        <v>378527</v>
      </c>
    </row>
  </sheetData>
  <sheetProtection/>
  <mergeCells count="3">
    <mergeCell ref="A2:B2"/>
    <mergeCell ref="A3:B3"/>
    <mergeCell ref="A59:B59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28" sqref="A1:B28"/>
    </sheetView>
  </sheetViews>
  <sheetFormatPr defaultColWidth="9.140625" defaultRowHeight="12.75"/>
  <cols>
    <col min="1" max="1" width="64.00390625" style="0" customWidth="1"/>
    <col min="2" max="2" width="18.421875" style="0" customWidth="1"/>
  </cols>
  <sheetData>
    <row r="1" spans="1:2" ht="12.75">
      <c r="A1" s="1221" t="s">
        <v>466</v>
      </c>
      <c r="B1" s="1221"/>
    </row>
    <row r="2" spans="1:2" ht="15.75">
      <c r="A2" s="1219" t="s">
        <v>467</v>
      </c>
      <c r="B2" s="1219"/>
    </row>
    <row r="3" spans="1:2" ht="15.75">
      <c r="A3" s="1219" t="s">
        <v>2</v>
      </c>
      <c r="B3" s="1219"/>
    </row>
    <row r="4" spans="1:2" ht="15.75">
      <c r="A4" s="463"/>
      <c r="B4" s="463"/>
    </row>
    <row r="5" ht="12.75">
      <c r="B5" s="369" t="s">
        <v>33</v>
      </c>
    </row>
    <row r="6" spans="1:2" ht="31.5">
      <c r="A6" s="464" t="s">
        <v>468</v>
      </c>
      <c r="B6" s="473" t="s">
        <v>469</v>
      </c>
    </row>
    <row r="7" spans="1:2" ht="15.75">
      <c r="A7" s="474" t="s">
        <v>470</v>
      </c>
      <c r="B7" s="475"/>
    </row>
    <row r="8" spans="1:2" ht="15">
      <c r="A8" s="476" t="s">
        <v>471</v>
      </c>
      <c r="B8" s="477">
        <f>18000-14241</f>
        <v>3759</v>
      </c>
    </row>
    <row r="9" spans="1:2" ht="15">
      <c r="A9" s="478" t="s">
        <v>472</v>
      </c>
      <c r="B9" s="479">
        <f>1000-559</f>
        <v>441</v>
      </c>
    </row>
    <row r="10" spans="1:2" ht="15" customHeight="1">
      <c r="A10" s="478" t="s">
        <v>473</v>
      </c>
      <c r="B10" s="480">
        <v>20000</v>
      </c>
    </row>
    <row r="11" spans="1:2" ht="15">
      <c r="A11" s="481" t="s">
        <v>474</v>
      </c>
      <c r="B11" s="480">
        <f>19000-4229-1500</f>
        <v>13271</v>
      </c>
    </row>
    <row r="12" spans="1:2" ht="15">
      <c r="A12" s="478" t="s">
        <v>475</v>
      </c>
      <c r="B12" s="479">
        <v>13000</v>
      </c>
    </row>
    <row r="13" spans="1:2" ht="15">
      <c r="A13" s="481"/>
      <c r="B13" s="482"/>
    </row>
    <row r="14" spans="1:2" ht="26.25" customHeight="1">
      <c r="A14" s="483" t="s">
        <v>476</v>
      </c>
      <c r="B14" s="484">
        <f>SUM(B8:B12)</f>
        <v>50471</v>
      </c>
    </row>
    <row r="15" spans="1:2" ht="15">
      <c r="A15" s="485"/>
      <c r="B15" s="486"/>
    </row>
    <row r="16" spans="1:2" ht="15.75">
      <c r="A16" s="487" t="s">
        <v>477</v>
      </c>
      <c r="B16" s="488"/>
    </row>
    <row r="17" spans="1:2" ht="15">
      <c r="A17" s="478" t="s">
        <v>478</v>
      </c>
      <c r="B17" s="479">
        <f>3885-3885</f>
        <v>0</v>
      </c>
    </row>
    <row r="18" spans="1:2" ht="15">
      <c r="A18" s="478" t="s">
        <v>479</v>
      </c>
      <c r="B18" s="479">
        <f>25000-25000</f>
        <v>0</v>
      </c>
    </row>
    <row r="19" spans="1:2" ht="15">
      <c r="A19" s="478" t="s">
        <v>480</v>
      </c>
      <c r="B19" s="479">
        <v>19415</v>
      </c>
    </row>
    <row r="20" spans="1:2" ht="15">
      <c r="A20" s="478" t="s">
        <v>481</v>
      </c>
      <c r="B20" s="479">
        <v>15875</v>
      </c>
    </row>
    <row r="21" spans="1:2" ht="15">
      <c r="A21" s="478"/>
      <c r="B21" s="479"/>
    </row>
    <row r="22" spans="1:2" ht="21" customHeight="1">
      <c r="A22" s="478"/>
      <c r="B22" s="479"/>
    </row>
    <row r="23" spans="1:2" ht="15">
      <c r="A23" s="481"/>
      <c r="B23" s="482"/>
    </row>
    <row r="24" spans="1:2" ht="15.75">
      <c r="A24" s="84" t="s">
        <v>482</v>
      </c>
      <c r="B24" s="489">
        <f>SUM(B17:B23)</f>
        <v>35290</v>
      </c>
    </row>
    <row r="25" spans="1:2" ht="15.75">
      <c r="A25" s="84"/>
      <c r="B25" s="489"/>
    </row>
    <row r="26" spans="1:2" ht="15.75">
      <c r="A26" s="84" t="s">
        <v>483</v>
      </c>
      <c r="B26" s="489">
        <f>B14+B24</f>
        <v>85761</v>
      </c>
    </row>
  </sheetData>
  <sheetProtection/>
  <mergeCells count="3">
    <mergeCell ref="A1:B1"/>
    <mergeCell ref="A2:B2"/>
    <mergeCell ref="A3:B3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7">
      <selection activeCell="A24" sqref="A1:B27"/>
    </sheetView>
  </sheetViews>
  <sheetFormatPr defaultColWidth="9.140625" defaultRowHeight="12.75"/>
  <cols>
    <col min="1" max="1" width="55.421875" style="0" customWidth="1"/>
    <col min="2" max="2" width="22.8515625" style="0" customWidth="1"/>
  </cols>
  <sheetData>
    <row r="1" ht="12.75">
      <c r="B1" s="369" t="s">
        <v>484</v>
      </c>
    </row>
    <row r="3" spans="1:2" ht="15.75">
      <c r="A3" s="1219" t="s">
        <v>485</v>
      </c>
      <c r="B3" s="1219"/>
    </row>
    <row r="4" spans="1:2" ht="15.75">
      <c r="A4" s="463"/>
      <c r="B4" s="463"/>
    </row>
    <row r="5" spans="1:2" ht="15.75">
      <c r="A5" s="463"/>
      <c r="B5" s="463"/>
    </row>
    <row r="7" spans="1:2" ht="15.75">
      <c r="A7" s="472" t="s">
        <v>486</v>
      </c>
      <c r="B7" s="490" t="s">
        <v>487</v>
      </c>
    </row>
    <row r="8" spans="1:2" ht="15">
      <c r="A8" s="491" t="s">
        <v>488</v>
      </c>
      <c r="B8" s="492">
        <v>68</v>
      </c>
    </row>
    <row r="9" spans="1:2" ht="15">
      <c r="A9" s="491" t="s">
        <v>489</v>
      </c>
      <c r="B9" s="492">
        <v>51</v>
      </c>
    </row>
    <row r="10" spans="1:2" ht="15">
      <c r="A10" s="491" t="s">
        <v>453</v>
      </c>
      <c r="B10" s="492">
        <v>77</v>
      </c>
    </row>
    <row r="11" spans="1:2" ht="15">
      <c r="A11" s="491" t="s">
        <v>450</v>
      </c>
      <c r="B11" s="492">
        <v>50</v>
      </c>
    </row>
    <row r="12" spans="1:2" ht="15">
      <c r="A12" s="491" t="s">
        <v>177</v>
      </c>
      <c r="B12" s="492">
        <f>82-3</f>
        <v>79</v>
      </c>
    </row>
    <row r="13" spans="1:2" ht="15">
      <c r="A13" s="491" t="s">
        <v>490</v>
      </c>
      <c r="B13" s="492">
        <v>150</v>
      </c>
    </row>
    <row r="14" spans="1:2" ht="15">
      <c r="A14" s="491" t="s">
        <v>491</v>
      </c>
      <c r="B14" s="492">
        <f>81-2</f>
        <v>79</v>
      </c>
    </row>
    <row r="15" spans="1:2" ht="15">
      <c r="A15" s="491" t="s">
        <v>492</v>
      </c>
      <c r="B15" s="492">
        <v>1</v>
      </c>
    </row>
    <row r="16" spans="1:2" ht="15">
      <c r="A16" s="491" t="s">
        <v>493</v>
      </c>
      <c r="B16" s="492">
        <v>63.5</v>
      </c>
    </row>
    <row r="17" spans="1:2" ht="15">
      <c r="A17" s="491" t="s">
        <v>107</v>
      </c>
      <c r="B17" s="492">
        <v>63</v>
      </c>
    </row>
    <row r="18" spans="1:2" ht="15">
      <c r="A18" s="491" t="s">
        <v>108</v>
      </c>
      <c r="B18" s="492">
        <v>143.2</v>
      </c>
    </row>
    <row r="19" spans="1:2" ht="15">
      <c r="A19" s="491" t="s">
        <v>1174</v>
      </c>
      <c r="B19" s="492">
        <v>0</v>
      </c>
    </row>
    <row r="20" spans="1:2" ht="15">
      <c r="A20" s="491" t="s">
        <v>494</v>
      </c>
      <c r="B20" s="492">
        <v>21</v>
      </c>
    </row>
    <row r="21" spans="1:2" ht="15">
      <c r="A21" s="493" t="s">
        <v>1175</v>
      </c>
      <c r="B21" s="494">
        <v>0</v>
      </c>
    </row>
    <row r="22" spans="1:2" ht="15.75">
      <c r="A22" s="324" t="s">
        <v>495</v>
      </c>
      <c r="B22" s="495">
        <f>SUM(B8:B21)</f>
        <v>845.7</v>
      </c>
    </row>
    <row r="24" spans="1:6" s="778" customFormat="1" ht="12.75" customHeight="1">
      <c r="A24" s="1222" t="s">
        <v>1176</v>
      </c>
      <c r="B24" s="1222"/>
      <c r="C24" s="779"/>
      <c r="D24" s="779"/>
      <c r="E24" s="779"/>
      <c r="F24" s="779"/>
    </row>
    <row r="25" spans="1:6" s="777" customFormat="1" ht="12.75" customHeight="1">
      <c r="A25" s="1222"/>
      <c r="B25" s="1222"/>
      <c r="C25" s="779"/>
      <c r="D25" s="779"/>
      <c r="E25" s="779"/>
      <c r="F25" s="779"/>
    </row>
    <row r="26" spans="1:2" s="777" customFormat="1" ht="12.75" customHeight="1">
      <c r="A26" s="1222"/>
      <c r="B26" s="1222"/>
    </row>
    <row r="27" spans="1:2" s="777" customFormat="1" ht="12.75" customHeight="1">
      <c r="A27" s="1222"/>
      <c r="B27" s="1222"/>
    </row>
  </sheetData>
  <sheetProtection/>
  <mergeCells count="2">
    <mergeCell ref="A3:B3"/>
    <mergeCell ref="A24:B27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31">
      <selection activeCell="A51" sqref="A1:D51"/>
    </sheetView>
  </sheetViews>
  <sheetFormatPr defaultColWidth="9.140625" defaultRowHeight="12.75"/>
  <cols>
    <col min="1" max="1" width="35.8515625" style="0" customWidth="1"/>
    <col min="2" max="2" width="15.00390625" style="0" customWidth="1"/>
    <col min="3" max="3" width="15.57421875" style="0" customWidth="1"/>
    <col min="4" max="4" width="17.140625" style="0" customWidth="1"/>
  </cols>
  <sheetData>
    <row r="1" ht="14.25">
      <c r="D1" s="26" t="s">
        <v>31</v>
      </c>
    </row>
    <row r="2" spans="1:4" ht="15.75">
      <c r="A2" s="1176" t="s">
        <v>32</v>
      </c>
      <c r="B2" s="1176"/>
      <c r="C2" s="1176"/>
      <c r="D2" s="1176"/>
    </row>
    <row r="3" spans="1:4" ht="6.75" customHeight="1">
      <c r="A3" s="27"/>
      <c r="B3" s="28"/>
      <c r="C3" s="28"/>
      <c r="D3" s="28"/>
    </row>
    <row r="4" spans="1:4" ht="15.75">
      <c r="A4" s="29"/>
      <c r="B4" s="30"/>
      <c r="D4" s="31" t="s">
        <v>33</v>
      </c>
    </row>
    <row r="5" spans="1:4" ht="15.75">
      <c r="A5" s="32" t="s">
        <v>34</v>
      </c>
      <c r="B5" s="33" t="s">
        <v>35</v>
      </c>
      <c r="C5" s="33" t="s">
        <v>36</v>
      </c>
      <c r="D5" s="33" t="s">
        <v>37</v>
      </c>
    </row>
    <row r="6" spans="1:4" ht="15.75">
      <c r="A6" s="34" t="s">
        <v>38</v>
      </c>
      <c r="B6" s="35" t="s">
        <v>39</v>
      </c>
      <c r="C6" s="35" t="s">
        <v>40</v>
      </c>
      <c r="D6" s="35" t="s">
        <v>41</v>
      </c>
    </row>
    <row r="7" spans="1:4" ht="12.75">
      <c r="A7" s="33" t="s">
        <v>42</v>
      </c>
      <c r="B7" s="36"/>
      <c r="C7" s="37"/>
      <c r="D7" s="36"/>
    </row>
    <row r="8" spans="1:4" ht="12.75">
      <c r="A8" s="38" t="s">
        <v>43</v>
      </c>
      <c r="B8" s="39">
        <f>1_b_sz_melléklet!D8</f>
        <v>391045</v>
      </c>
      <c r="C8" s="40">
        <f>1_d_sz_melléklet!F325</f>
        <v>1455799</v>
      </c>
      <c r="D8" s="39">
        <f>B8+C8</f>
        <v>1846844</v>
      </c>
    </row>
    <row r="9" spans="1:4" ht="12.75">
      <c r="A9" s="19" t="s">
        <v>44</v>
      </c>
      <c r="B9" s="39">
        <f>1_b_sz_melléklet!D9</f>
        <v>114785</v>
      </c>
      <c r="C9" s="40">
        <f>1_d_sz_melléklet!F326</f>
        <v>459682</v>
      </c>
      <c r="D9" s="39">
        <f aca="true" t="shared" si="0" ref="D9:D14">B9+C9</f>
        <v>574467</v>
      </c>
    </row>
    <row r="10" spans="1:4" ht="12.75">
      <c r="A10" s="19" t="s">
        <v>45</v>
      </c>
      <c r="B10" s="39">
        <f>1_b_sz_melléklet!D10</f>
        <v>183337</v>
      </c>
      <c r="C10" s="40">
        <f>1_d_sz_melléklet!F327</f>
        <v>1041112</v>
      </c>
      <c r="D10" s="39">
        <f t="shared" si="0"/>
        <v>1224449</v>
      </c>
    </row>
    <row r="11" spans="1:4" ht="12.75">
      <c r="A11" s="19" t="s">
        <v>46</v>
      </c>
      <c r="B11" s="39">
        <f>1_b_sz_melléklet!D11</f>
        <v>0</v>
      </c>
      <c r="C11" s="40">
        <f>1_d_sz_melléklet!D328</f>
        <v>-120152</v>
      </c>
      <c r="D11" s="39">
        <f t="shared" si="0"/>
        <v>-120152</v>
      </c>
    </row>
    <row r="12" spans="1:4" ht="12.75">
      <c r="A12" s="19" t="s">
        <v>47</v>
      </c>
      <c r="B12" s="39">
        <f>1_b_sz_melléklet!D12</f>
        <v>0</v>
      </c>
      <c r="C12" s="40">
        <f>1_d_sz_melléklet!F329</f>
        <v>4643</v>
      </c>
      <c r="D12" s="39">
        <f t="shared" si="0"/>
        <v>4643</v>
      </c>
    </row>
    <row r="13" spans="1:4" ht="12.75">
      <c r="A13" s="19" t="s">
        <v>48</v>
      </c>
      <c r="B13" s="39">
        <f>1_b_sz_melléklet!D13</f>
        <v>0</v>
      </c>
      <c r="C13" s="40">
        <f>1_d_sz_melléklet!F330</f>
        <v>328626</v>
      </c>
      <c r="D13" s="39">
        <f t="shared" si="0"/>
        <v>328626</v>
      </c>
    </row>
    <row r="14" spans="1:4" ht="12.75">
      <c r="A14" s="41" t="s">
        <v>49</v>
      </c>
      <c r="B14" s="39">
        <f>1_b_sz_melléklet!D14</f>
        <v>0</v>
      </c>
      <c r="C14" s="42">
        <f>1_d_sz_melléklet!F331</f>
        <v>328626</v>
      </c>
      <c r="D14" s="39">
        <f t="shared" si="0"/>
        <v>328626</v>
      </c>
    </row>
    <row r="15" spans="1:4" ht="12.75">
      <c r="A15" s="43" t="s">
        <v>50</v>
      </c>
      <c r="B15" s="16">
        <f>SUM(B8:B13)</f>
        <v>689167</v>
      </c>
      <c r="C15" s="16">
        <f>1_d_sz_melléklet!F332</f>
        <v>3169710</v>
      </c>
      <c r="D15" s="16">
        <f>C15+B15</f>
        <v>3858877</v>
      </c>
    </row>
    <row r="16" spans="1:4" ht="12.75">
      <c r="A16" s="44"/>
      <c r="B16" s="45"/>
      <c r="C16" s="46"/>
      <c r="D16" s="45"/>
    </row>
    <row r="17" spans="1:4" ht="12.75">
      <c r="A17" s="47" t="s">
        <v>51</v>
      </c>
      <c r="B17" s="48"/>
      <c r="C17" s="49"/>
      <c r="D17" s="19"/>
    </row>
    <row r="18" spans="1:4" ht="12.75">
      <c r="A18" s="19" t="s">
        <v>52</v>
      </c>
      <c r="B18" s="48">
        <f>1_b_sz_melléklet!D19</f>
        <v>7118</v>
      </c>
      <c r="C18" s="40">
        <f>1_d_sz_melléklet!F335</f>
        <v>371409</v>
      </c>
      <c r="D18" s="39">
        <f>B18+C18</f>
        <v>378527</v>
      </c>
    </row>
    <row r="19" spans="1:4" ht="12.75">
      <c r="A19" s="19" t="s">
        <v>53</v>
      </c>
      <c r="B19" s="48">
        <f>1_b_sz_melléklet!D20</f>
        <v>9208</v>
      </c>
      <c r="C19" s="40">
        <f>1_d_sz_melléklet!F336</f>
        <v>44021</v>
      </c>
      <c r="D19" s="39">
        <f>B19+C19</f>
        <v>53229</v>
      </c>
    </row>
    <row r="20" spans="1:4" ht="12.75">
      <c r="A20" s="19" t="s">
        <v>54</v>
      </c>
      <c r="B20" s="48">
        <f>1_b_sz_melléklet!D21</f>
        <v>0</v>
      </c>
      <c r="C20" s="40">
        <f>1_d_sz_melléklet!F337</f>
        <v>1750</v>
      </c>
      <c r="D20" s="39">
        <f>B20+C20</f>
        <v>1750</v>
      </c>
    </row>
    <row r="21" spans="1:4" ht="12.75">
      <c r="A21" s="19" t="s">
        <v>55</v>
      </c>
      <c r="B21" s="48">
        <f>1_b_sz_melléklet!D22</f>
        <v>0</v>
      </c>
      <c r="C21" s="40">
        <f>1_d_sz_melléklet!F338</f>
        <v>120152</v>
      </c>
      <c r="D21" s="39">
        <f>B21+C21</f>
        <v>120152</v>
      </c>
    </row>
    <row r="22" spans="1:4" ht="12.75">
      <c r="A22" s="43" t="s">
        <v>56</v>
      </c>
      <c r="B22" s="16">
        <f>SUM(B18:B21)</f>
        <v>16326</v>
      </c>
      <c r="C22" s="16">
        <f>1_d_sz_melléklet!F340</f>
        <v>537332</v>
      </c>
      <c r="D22" s="16">
        <f>B22+C22</f>
        <v>553658</v>
      </c>
    </row>
    <row r="23" spans="1:4" ht="12.75">
      <c r="A23" s="50"/>
      <c r="B23" s="51"/>
      <c r="C23" s="52"/>
      <c r="D23" s="53"/>
    </row>
    <row r="24" spans="1:4" ht="12.75">
      <c r="A24" s="50" t="s">
        <v>57</v>
      </c>
      <c r="B24" s="51"/>
      <c r="C24" s="48"/>
      <c r="D24" s="53"/>
    </row>
    <row r="25" spans="1:4" ht="12.75">
      <c r="A25" s="54" t="s">
        <v>58</v>
      </c>
      <c r="B25" s="55">
        <f>1_b_sz_melléklet!D26</f>
        <v>0</v>
      </c>
      <c r="C25" s="39">
        <f>1_d_sz_melléklet!F343</f>
        <v>109157</v>
      </c>
      <c r="D25" s="56">
        <f>B25+C25</f>
        <v>109157</v>
      </c>
    </row>
    <row r="26" spans="1:4" ht="12.75">
      <c r="A26" s="57" t="s">
        <v>59</v>
      </c>
      <c r="B26" s="55">
        <f>1_b_sz_melléklet!D27</f>
        <v>0</v>
      </c>
      <c r="C26" s="58">
        <f>1_d_sz_melléklet!F344</f>
        <v>1545</v>
      </c>
      <c r="D26" s="59">
        <f>B26+C26</f>
        <v>1545</v>
      </c>
    </row>
    <row r="27" spans="1:4" ht="12.75">
      <c r="A27" s="43" t="s">
        <v>60</v>
      </c>
      <c r="B27" s="60">
        <f>SUM(B25:B26)</f>
        <v>0</v>
      </c>
      <c r="C27" s="16">
        <f>SUM(C25:C26)</f>
        <v>110702</v>
      </c>
      <c r="D27" s="61">
        <f>B27+C27</f>
        <v>110702</v>
      </c>
    </row>
    <row r="28" spans="1:4" ht="12.75">
      <c r="A28" s="50"/>
      <c r="B28" s="51"/>
      <c r="C28" s="52"/>
      <c r="D28" s="53"/>
    </row>
    <row r="29" spans="1:4" ht="12.75">
      <c r="A29" s="62" t="s">
        <v>61</v>
      </c>
      <c r="B29" s="51"/>
      <c r="C29" s="48"/>
      <c r="D29" s="53"/>
    </row>
    <row r="30" spans="1:4" ht="12.75">
      <c r="A30" s="54" t="s">
        <v>58</v>
      </c>
      <c r="B30" s="55">
        <f>1_b_sz_melléklet!D31</f>
        <v>0</v>
      </c>
      <c r="C30" s="39">
        <f>1_d_sz_melléklet!F348</f>
        <v>253747</v>
      </c>
      <c r="D30" s="56">
        <f>B30+C30</f>
        <v>253747</v>
      </c>
    </row>
    <row r="31" spans="1:4" ht="13.5" thickBot="1">
      <c r="A31" s="57" t="s">
        <v>59</v>
      </c>
      <c r="B31" s="55">
        <f>1_b_sz_melléklet!D32</f>
        <v>0</v>
      </c>
      <c r="C31" s="58">
        <f>1_d_sz_melléklet!F349</f>
        <v>74161</v>
      </c>
      <c r="D31" s="56">
        <f>B31+C31</f>
        <v>74161</v>
      </c>
    </row>
    <row r="32" spans="1:4" ht="13.5" thickBot="1">
      <c r="A32" s="43" t="s">
        <v>62</v>
      </c>
      <c r="B32" s="60">
        <f>SUM(B30:B31)</f>
        <v>0</v>
      </c>
      <c r="C32" s="996">
        <f>1_d_sz_melléklet!F350</f>
        <v>327908</v>
      </c>
      <c r="D32" s="61">
        <f>B32+C32</f>
        <v>327908</v>
      </c>
    </row>
    <row r="33" spans="1:4" ht="12.75">
      <c r="A33" s="50"/>
      <c r="B33" s="51"/>
      <c r="C33" s="997"/>
      <c r="D33" s="53"/>
    </row>
    <row r="34" spans="1:4" ht="12.75">
      <c r="A34" s="47" t="s">
        <v>63</v>
      </c>
      <c r="B34" s="131"/>
      <c r="C34" s="998"/>
      <c r="D34" s="94"/>
    </row>
    <row r="35" spans="1:4" ht="12.75">
      <c r="A35" s="19" t="s">
        <v>64</v>
      </c>
      <c r="B35" s="48">
        <f>1_b_sz_melléklet!D36</f>
        <v>0</v>
      </c>
      <c r="C35" s="49">
        <f>1_d_sz_melléklet!F352</f>
        <v>1000</v>
      </c>
      <c r="D35" s="48">
        <f>B35+C35</f>
        <v>1000</v>
      </c>
    </row>
    <row r="36" spans="1:4" ht="12.75">
      <c r="A36" s="65" t="s">
        <v>65</v>
      </c>
      <c r="B36" s="48">
        <f>1_b_sz_melléklet!D37</f>
        <v>0</v>
      </c>
      <c r="C36" s="42">
        <f>1_d_sz_melléklet!F353</f>
        <v>5000</v>
      </c>
      <c r="D36" s="48">
        <f>B36+C36</f>
        <v>5000</v>
      </c>
    </row>
    <row r="37" spans="1:4" ht="12.75">
      <c r="A37" s="43" t="s">
        <v>66</v>
      </c>
      <c r="B37" s="16">
        <f>SUM(B35:B36)</f>
        <v>0</v>
      </c>
      <c r="C37" s="16">
        <f>SUM(C35:C36)</f>
        <v>6000</v>
      </c>
      <c r="D37" s="16">
        <f>B37+C37</f>
        <v>6000</v>
      </c>
    </row>
    <row r="38" spans="1:4" ht="12.75">
      <c r="A38" s="66"/>
      <c r="B38" s="52"/>
      <c r="C38" s="67"/>
      <c r="D38" s="52"/>
    </row>
    <row r="39" spans="1:4" ht="12.75">
      <c r="A39" s="68" t="s">
        <v>67</v>
      </c>
      <c r="B39" s="69"/>
      <c r="C39" s="49"/>
      <c r="D39" s="69"/>
    </row>
    <row r="40" spans="1:4" ht="12.75">
      <c r="A40" s="70" t="s">
        <v>68</v>
      </c>
      <c r="B40" s="48">
        <f>1_b_sz_melléklet!D41</f>
        <v>0</v>
      </c>
      <c r="C40" s="40">
        <f>1_d_sz_melléklet!F356</f>
        <v>2600</v>
      </c>
      <c r="D40" s="48">
        <f>C40+B40</f>
        <v>2600</v>
      </c>
    </row>
    <row r="41" spans="1:4" ht="12.75">
      <c r="A41" s="71" t="s">
        <v>69</v>
      </c>
      <c r="B41" s="48">
        <f>1_b_sz_melléklet!D42</f>
        <v>0</v>
      </c>
      <c r="C41" s="42">
        <f>1_d_sz_melléklet!F357</f>
        <v>85761</v>
      </c>
      <c r="D41" s="48">
        <f>C41+B41</f>
        <v>85761</v>
      </c>
    </row>
    <row r="42" spans="1:4" ht="12.75">
      <c r="A42" s="43" t="s">
        <v>70</v>
      </c>
      <c r="B42" s="16">
        <f>SUM(B40:B41)</f>
        <v>0</v>
      </c>
      <c r="C42" s="16">
        <f>1_d_sz_melléklet!F358</f>
        <v>88361</v>
      </c>
      <c r="D42" s="16">
        <f>C42+B42</f>
        <v>88361</v>
      </c>
    </row>
    <row r="43" spans="1:4" ht="12.75">
      <c r="A43" s="50"/>
      <c r="B43" s="64"/>
      <c r="C43" s="72"/>
      <c r="D43" s="64"/>
    </row>
    <row r="44" spans="1:4" ht="19.5" customHeight="1">
      <c r="A44" s="73" t="s">
        <v>71</v>
      </c>
      <c r="B44" s="74">
        <f>B42+B37+B32+B27+B22+B15</f>
        <v>705493</v>
      </c>
      <c r="C44" s="74">
        <f>C42+C37+C32+C27+C22+C15</f>
        <v>4240013</v>
      </c>
      <c r="D44" s="74">
        <f>D42+D37+D32+D27+D22+D15</f>
        <v>4945506</v>
      </c>
    </row>
    <row r="45" spans="1:4" ht="12.75">
      <c r="A45" s="75"/>
      <c r="B45" s="76"/>
      <c r="C45" s="49"/>
      <c r="D45" s="77"/>
    </row>
    <row r="46" spans="1:4" ht="12.75">
      <c r="A46" s="35" t="s">
        <v>72</v>
      </c>
      <c r="B46" s="78"/>
      <c r="D46" s="78"/>
    </row>
    <row r="47" spans="1:4" s="81" customFormat="1" ht="12.75">
      <c r="A47" s="79" t="s">
        <v>73</v>
      </c>
      <c r="B47" s="80">
        <f>1_b_sz_melléklet!D48</f>
        <v>0</v>
      </c>
      <c r="C47" s="69">
        <f>1_d_sz_melléklet!F363</f>
        <v>0</v>
      </c>
      <c r="D47" s="80">
        <f>SUM(B47:C47)</f>
        <v>0</v>
      </c>
    </row>
    <row r="48" spans="1:4" s="81" customFormat="1" ht="12.75">
      <c r="A48" s="57" t="s">
        <v>74</v>
      </c>
      <c r="B48" s="80">
        <f>1_b_sz_melléklet!D49</f>
        <v>0</v>
      </c>
      <c r="C48" s="64">
        <f>1_d_sz_melléklet!F364</f>
        <v>13729</v>
      </c>
      <c r="D48" s="82">
        <f>SUM(B48:C48)</f>
        <v>13729</v>
      </c>
    </row>
    <row r="49" spans="1:4" ht="12.75">
      <c r="A49" s="43" t="s">
        <v>75</v>
      </c>
      <c r="B49" s="16">
        <f>SUM(B47:B48)</f>
        <v>0</v>
      </c>
      <c r="C49" s="16">
        <f>1_d_sz_melléklet!F365</f>
        <v>13729</v>
      </c>
      <c r="D49" s="16">
        <f>SUM(D47:D48)</f>
        <v>13729</v>
      </c>
    </row>
    <row r="50" spans="1:4" ht="12.75">
      <c r="A50" s="65"/>
      <c r="B50" s="64"/>
      <c r="C50" s="72"/>
      <c r="D50" s="48"/>
    </row>
    <row r="51" spans="1:4" ht="24.75" customHeight="1">
      <c r="A51" s="73" t="s">
        <v>76</v>
      </c>
      <c r="B51" s="74">
        <f>B49+B44</f>
        <v>705493</v>
      </c>
      <c r="C51" s="16">
        <f>1_d_sz_melléklet!F367</f>
        <v>4253742</v>
      </c>
      <c r="D51" s="74">
        <f>D49+D44</f>
        <v>4959235</v>
      </c>
    </row>
  </sheetData>
  <sheetProtection/>
  <mergeCells count="1">
    <mergeCell ref="A2:D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31">
      <selection activeCell="B41" sqref="B41"/>
    </sheetView>
  </sheetViews>
  <sheetFormatPr defaultColWidth="9.140625" defaultRowHeight="12.75"/>
  <cols>
    <col min="1" max="1" width="28.57421875" style="0" customWidth="1"/>
    <col min="2" max="2" width="11.8515625" style="0" customWidth="1"/>
    <col min="3" max="3" width="27.421875" style="0" customWidth="1"/>
    <col min="4" max="4" width="13.00390625" style="0" customWidth="1"/>
  </cols>
  <sheetData>
    <row r="1" spans="1:4" ht="12.75">
      <c r="A1" s="496"/>
      <c r="B1" s="496"/>
      <c r="C1" s="1225" t="s">
        <v>496</v>
      </c>
      <c r="D1" s="1225"/>
    </row>
    <row r="2" spans="1:4" ht="15.75">
      <c r="A2" s="1226" t="s">
        <v>497</v>
      </c>
      <c r="B2" s="1226"/>
      <c r="C2" s="1226"/>
      <c r="D2" s="1226"/>
    </row>
    <row r="3" spans="1:4" ht="9" customHeight="1">
      <c r="A3" s="496"/>
      <c r="B3" s="496"/>
      <c r="C3" s="496"/>
      <c r="D3" s="496"/>
    </row>
    <row r="4" spans="1:4" ht="12.75">
      <c r="A4" s="496"/>
      <c r="B4" s="496"/>
      <c r="C4" s="1223" t="s">
        <v>33</v>
      </c>
      <c r="D4" s="1223"/>
    </row>
    <row r="5" spans="1:4" ht="12.75">
      <c r="A5" s="1224" t="s">
        <v>345</v>
      </c>
      <c r="B5" s="1224"/>
      <c r="C5" s="1224" t="s">
        <v>498</v>
      </c>
      <c r="D5" s="1224"/>
    </row>
    <row r="6" spans="1:4" ht="22.5" customHeight="1">
      <c r="A6" s="497" t="s">
        <v>468</v>
      </c>
      <c r="B6" s="498" t="s">
        <v>499</v>
      </c>
      <c r="C6" s="497" t="s">
        <v>468</v>
      </c>
      <c r="D6" s="499" t="s">
        <v>500</v>
      </c>
    </row>
    <row r="7" spans="1:4" ht="12.75">
      <c r="A7" s="500" t="s">
        <v>501</v>
      </c>
      <c r="B7" s="501">
        <f>'2_sz_ melléklet'!D6</f>
        <v>1470954</v>
      </c>
      <c r="C7" s="500" t="s">
        <v>502</v>
      </c>
      <c r="D7" s="502">
        <f>'1_a_sz_ melléklet'!D8</f>
        <v>1846844</v>
      </c>
    </row>
    <row r="8" spans="1:4" ht="12.75">
      <c r="A8" s="500" t="s">
        <v>503</v>
      </c>
      <c r="B8" s="501">
        <v>-40508</v>
      </c>
      <c r="C8" s="500" t="s">
        <v>504</v>
      </c>
      <c r="D8" s="502">
        <f>'1_a_sz_ melléklet'!D9</f>
        <v>574467</v>
      </c>
    </row>
    <row r="9" spans="1:4" ht="12.75">
      <c r="A9" s="500" t="s">
        <v>505</v>
      </c>
      <c r="B9" s="503">
        <v>0</v>
      </c>
      <c r="C9" s="500" t="s">
        <v>506</v>
      </c>
      <c r="D9" s="502">
        <f>'1_a_sz_ melléklet'!D10</f>
        <v>1224449</v>
      </c>
    </row>
    <row r="10" spans="1:4" ht="12.75">
      <c r="A10" s="500" t="s">
        <v>507</v>
      </c>
      <c r="B10" s="503">
        <v>-5285</v>
      </c>
      <c r="C10" s="500" t="s">
        <v>508</v>
      </c>
      <c r="D10" s="502">
        <v>15097</v>
      </c>
    </row>
    <row r="11" spans="1:4" ht="12.75">
      <c r="A11" s="500" t="s">
        <v>509</v>
      </c>
      <c r="B11" s="501">
        <f>'2_sz_ melléklet'!D13</f>
        <v>2591678.137</v>
      </c>
      <c r="C11" s="500" t="s">
        <v>510</v>
      </c>
      <c r="D11" s="502">
        <f>-'1_a_sz_ melléklet'!D21</f>
        <v>-120152</v>
      </c>
    </row>
    <row r="12" spans="1:4" ht="12.75">
      <c r="A12" s="504" t="s">
        <v>511</v>
      </c>
      <c r="B12" s="503">
        <v>-27593</v>
      </c>
      <c r="C12" s="500" t="s">
        <v>512</v>
      </c>
      <c r="D12" s="502">
        <v>-16773</v>
      </c>
    </row>
    <row r="13" spans="1:4" ht="12.75">
      <c r="A13" s="505" t="s">
        <v>513</v>
      </c>
      <c r="B13" s="501">
        <f>-('2_sz_ melléklet'!D19+'2_sz_ melléklet'!D24)+(-'2_f_h_sz_ melléklet'!D12-'2_f_h_sz_ melléklet'!D14)-3763-'2_f_h_sz_ melléklet'!D22-1502</f>
        <v>-124656</v>
      </c>
      <c r="C13" s="500" t="s">
        <v>514</v>
      </c>
      <c r="D13" s="502">
        <f>'1_a_sz_ melléklet'!D13</f>
        <v>328626</v>
      </c>
    </row>
    <row r="14" spans="1:4" ht="12.75">
      <c r="A14" s="505" t="s">
        <v>515</v>
      </c>
      <c r="B14" s="501">
        <f>'2_sz_ melléklet'!D35</f>
        <v>0</v>
      </c>
      <c r="C14" s="505" t="s">
        <v>516</v>
      </c>
      <c r="D14" s="502">
        <f>'1_a_sz_ melléklet'!D14</f>
        <v>328626</v>
      </c>
    </row>
    <row r="15" spans="1:4" ht="12.75">
      <c r="A15" s="505" t="s">
        <v>517</v>
      </c>
      <c r="B15" s="501">
        <f>'2_sz_ melléklet'!D40</f>
        <v>167082</v>
      </c>
      <c r="C15" s="505" t="s">
        <v>518</v>
      </c>
      <c r="D15" s="502">
        <f>'1_a_sz_ melléklet'!D12</f>
        <v>4643</v>
      </c>
    </row>
    <row r="16" spans="1:4" ht="12.75">
      <c r="A16" s="505" t="s">
        <v>519</v>
      </c>
      <c r="B16" s="501"/>
      <c r="C16" s="505" t="s">
        <v>520</v>
      </c>
      <c r="D16" s="502">
        <f>'1_a_sz_ melléklet'!D25</f>
        <v>109157</v>
      </c>
    </row>
    <row r="17" spans="1:4" ht="12.75">
      <c r="A17" s="505"/>
      <c r="B17" s="501"/>
      <c r="C17" s="505" t="s">
        <v>521</v>
      </c>
      <c r="D17" s="502">
        <f>'1_a_sz_ melléklet'!D35</f>
        <v>1000</v>
      </c>
    </row>
    <row r="18" spans="1:4" ht="12.75">
      <c r="A18" s="505"/>
      <c r="B18" s="501"/>
      <c r="C18" s="506" t="s">
        <v>522</v>
      </c>
      <c r="D18" s="502">
        <f>'1_a_sz_ melléklet'!D30</f>
        <v>253747</v>
      </c>
    </row>
    <row r="19" spans="1:4" ht="12.75">
      <c r="A19" s="505"/>
      <c r="B19" s="501"/>
      <c r="C19" s="505" t="s">
        <v>523</v>
      </c>
      <c r="D19" s="502">
        <f>D20+D21</f>
        <v>53071</v>
      </c>
    </row>
    <row r="20" spans="1:4" ht="12.75">
      <c r="A20" s="505"/>
      <c r="B20" s="501"/>
      <c r="C20" s="505" t="s">
        <v>524</v>
      </c>
      <c r="D20" s="502">
        <f>'1_a_sz_ melléklet'!D40</f>
        <v>2600</v>
      </c>
    </row>
    <row r="21" spans="1:4" ht="12.75">
      <c r="A21" s="505"/>
      <c r="B21" s="501"/>
      <c r="C21" s="505" t="s">
        <v>525</v>
      </c>
      <c r="D21" s="507">
        <f>'5_sz_ melléklet'!B14</f>
        <v>50471</v>
      </c>
    </row>
    <row r="22" spans="1:4" ht="12.75">
      <c r="A22" s="508" t="s">
        <v>526</v>
      </c>
      <c r="B22" s="509">
        <f>SUM(B7:B20)</f>
        <v>4031672.137</v>
      </c>
      <c r="C22" s="508" t="s">
        <v>527</v>
      </c>
      <c r="D22" s="510">
        <f>D7+D8+D9+D12+D13+D15+D18+D11+D16+D17+D19</f>
        <v>4259079</v>
      </c>
    </row>
    <row r="23" spans="1:4" ht="6.75" customHeight="1">
      <c r="A23" s="511"/>
      <c r="B23" s="512"/>
      <c r="C23" s="513"/>
      <c r="D23" s="514"/>
    </row>
    <row r="24" spans="1:4" ht="7.5" customHeight="1">
      <c r="A24" s="515"/>
      <c r="B24" s="516"/>
      <c r="C24" s="515"/>
      <c r="D24" s="515"/>
    </row>
    <row r="25" spans="1:4" ht="12.75">
      <c r="A25" s="505" t="s">
        <v>528</v>
      </c>
      <c r="B25" s="501">
        <f>D22+D25-B22</f>
        <v>227406.8629999999</v>
      </c>
      <c r="C25" s="505" t="s">
        <v>529</v>
      </c>
      <c r="D25" s="503">
        <f>'1_a_sz_ melléklet'!D47</f>
        <v>0</v>
      </c>
    </row>
    <row r="26" spans="1:4" ht="12.75">
      <c r="A26" s="505" t="s">
        <v>530</v>
      </c>
      <c r="B26" s="501"/>
      <c r="C26" s="505"/>
      <c r="D26" s="501"/>
    </row>
    <row r="27" spans="1:4" ht="12.75">
      <c r="A27" s="505" t="s">
        <v>531</v>
      </c>
      <c r="B27" s="501"/>
      <c r="C27" s="505"/>
      <c r="D27" s="501"/>
    </row>
    <row r="28" spans="1:4" ht="12.75">
      <c r="A28" s="517" t="s">
        <v>532</v>
      </c>
      <c r="B28" s="518">
        <f>B22+B25</f>
        <v>4259079</v>
      </c>
      <c r="C28" s="517" t="s">
        <v>533</v>
      </c>
      <c r="D28" s="518">
        <f>D22+D24+D25</f>
        <v>4259079</v>
      </c>
    </row>
    <row r="29" spans="1:4" ht="8.25" customHeight="1">
      <c r="A29" s="496"/>
      <c r="B29" s="496"/>
      <c r="C29" s="496"/>
      <c r="D29" s="496"/>
    </row>
    <row r="30" spans="1:4" ht="15.75">
      <c r="A30" s="1226" t="s">
        <v>534</v>
      </c>
      <c r="B30" s="1226"/>
      <c r="C30" s="1226"/>
      <c r="D30" s="1226"/>
    </row>
    <row r="31" spans="1:4" ht="9.75" customHeight="1">
      <c r="A31" s="496"/>
      <c r="B31" s="496"/>
      <c r="C31" s="496"/>
      <c r="D31" s="496"/>
    </row>
    <row r="32" spans="1:4" ht="12.75">
      <c r="A32" s="496"/>
      <c r="B32" s="496"/>
      <c r="C32" s="1223" t="s">
        <v>33</v>
      </c>
      <c r="D32" s="1223"/>
    </row>
    <row r="33" spans="1:4" ht="12.75">
      <c r="A33" s="1224" t="s">
        <v>345</v>
      </c>
      <c r="B33" s="1224"/>
      <c r="C33" s="1224" t="s">
        <v>498</v>
      </c>
      <c r="D33" s="1224"/>
    </row>
    <row r="34" spans="1:4" ht="25.5">
      <c r="A34" s="519" t="s">
        <v>468</v>
      </c>
      <c r="B34" s="520" t="s">
        <v>499</v>
      </c>
      <c r="C34" s="519" t="s">
        <v>468</v>
      </c>
      <c r="D34" s="520" t="s">
        <v>500</v>
      </c>
    </row>
    <row r="35" spans="1:4" ht="12.75">
      <c r="A35" s="500" t="s">
        <v>535</v>
      </c>
      <c r="B35" s="503">
        <f>'2_sz_ melléklet'!D27</f>
        <v>184959</v>
      </c>
      <c r="C35" s="521" t="s">
        <v>536</v>
      </c>
      <c r="D35" s="502">
        <f>'1_a_sz_ melléklet'!D18</f>
        <v>378527</v>
      </c>
    </row>
    <row r="36" spans="1:4" ht="12.75">
      <c r="A36" s="500" t="s">
        <v>537</v>
      </c>
      <c r="B36" s="501">
        <f>'2_f_h_sz_ melléklet'!D12+'2_f_h_sz_ melléklet'!D14+3763+'2_f_h_sz_ melléklet'!D22+1502+'2_sz_ melléklet'!C19</f>
        <v>44691</v>
      </c>
      <c r="C36" s="521" t="s">
        <v>538</v>
      </c>
      <c r="D36" s="507">
        <f>'1_a_sz_ melléklet'!D19</f>
        <v>53229</v>
      </c>
    </row>
    <row r="37" spans="1:4" ht="12.75">
      <c r="A37" s="320" t="s">
        <v>539</v>
      </c>
      <c r="B37" s="501">
        <f>'2_sz_ melléklet'!D24</f>
        <v>79965</v>
      </c>
      <c r="C37" s="522" t="s">
        <v>540</v>
      </c>
      <c r="D37" s="507">
        <f>'1_a_sz_ melléklet'!D20</f>
        <v>1750</v>
      </c>
    </row>
    <row r="38" spans="1:4" ht="12.75">
      <c r="A38" s="505" t="s">
        <v>541</v>
      </c>
      <c r="B38" s="501"/>
      <c r="C38" s="522" t="s">
        <v>542</v>
      </c>
      <c r="D38" s="507">
        <f>'1_a_sz_ melléklet'!D31</f>
        <v>74161</v>
      </c>
    </row>
    <row r="39" spans="1:4" ht="12.75">
      <c r="A39" s="505" t="s">
        <v>543</v>
      </c>
      <c r="B39" s="501">
        <f>'2_sz_ melléklet'!D41</f>
        <v>11291</v>
      </c>
      <c r="C39" s="522" t="s">
        <v>521</v>
      </c>
      <c r="D39" s="507">
        <f>'1_a_sz_ melléklet'!D36</f>
        <v>5000</v>
      </c>
    </row>
    <row r="40" spans="1:4" ht="12.75">
      <c r="A40" s="505" t="s">
        <v>544</v>
      </c>
      <c r="B40" s="501">
        <f>'2_sz_ melléklet'!D36+'2_sz_ melléklet'!C37</f>
        <v>279516</v>
      </c>
      <c r="C40" s="522" t="s">
        <v>545</v>
      </c>
      <c r="D40" s="507">
        <f>-D11</f>
        <v>120152</v>
      </c>
    </row>
    <row r="41" spans="1:4" ht="12.75">
      <c r="A41" s="505" t="s">
        <v>546</v>
      </c>
      <c r="B41" s="501">
        <f>B42</f>
        <v>27593</v>
      </c>
      <c r="C41" s="522" t="s">
        <v>523</v>
      </c>
      <c r="D41" s="507">
        <f>D42+D43</f>
        <v>35290</v>
      </c>
    </row>
    <row r="42" spans="1:4" ht="25.5">
      <c r="A42" s="523" t="s">
        <v>547</v>
      </c>
      <c r="B42" s="501">
        <f>-B12</f>
        <v>27593</v>
      </c>
      <c r="C42" s="522" t="s">
        <v>548</v>
      </c>
      <c r="D42" s="507"/>
    </row>
    <row r="43" spans="1:4" ht="15.75" customHeight="1">
      <c r="A43" s="505" t="s">
        <v>549</v>
      </c>
      <c r="B43" s="501">
        <f>-B9</f>
        <v>0</v>
      </c>
      <c r="C43" s="522" t="s">
        <v>550</v>
      </c>
      <c r="D43" s="507">
        <f>'5_sz_ melléklet'!B24</f>
        <v>35290</v>
      </c>
    </row>
    <row r="44" spans="1:4" ht="15" customHeight="1">
      <c r="A44" s="505" t="s">
        <v>551</v>
      </c>
      <c r="B44" s="39">
        <f>-B10</f>
        <v>5285</v>
      </c>
      <c r="C44" s="522" t="s">
        <v>552</v>
      </c>
      <c r="D44" s="507">
        <f>-D12</f>
        <v>16773</v>
      </c>
    </row>
    <row r="45" spans="1:4" ht="12.75">
      <c r="A45" s="524" t="s">
        <v>519</v>
      </c>
      <c r="B45" s="501"/>
      <c r="C45" s="522" t="s">
        <v>553</v>
      </c>
      <c r="D45" s="507">
        <f>'1_a_sz_ melléklet'!D26</f>
        <v>1545</v>
      </c>
    </row>
    <row r="46" spans="1:4" ht="12.75">
      <c r="A46" s="524" t="s">
        <v>554</v>
      </c>
      <c r="B46" s="501">
        <f>-B8</f>
        <v>40508</v>
      </c>
      <c r="C46" s="522"/>
      <c r="D46" s="507"/>
    </row>
    <row r="47" spans="1:4" ht="12.75">
      <c r="A47" s="525" t="s">
        <v>555</v>
      </c>
      <c r="B47" s="526">
        <f>B35+B36+B37+B38+B39+B40+B41+B43+B44+B45+B46</f>
        <v>673808</v>
      </c>
      <c r="C47" s="527" t="s">
        <v>556</v>
      </c>
      <c r="D47" s="514">
        <f>SUM(D35:D41)+D44+D45</f>
        <v>686427</v>
      </c>
    </row>
    <row r="48" spans="1:4" ht="6.75" customHeight="1">
      <c r="A48" s="525"/>
      <c r="B48" s="526"/>
      <c r="C48" s="527"/>
      <c r="D48" s="514"/>
    </row>
    <row r="49" spans="1:4" ht="12.75">
      <c r="A49" s="528" t="s">
        <v>557</v>
      </c>
      <c r="B49" s="529">
        <f>D50-B47</f>
        <v>26348</v>
      </c>
      <c r="C49" s="530" t="s">
        <v>529</v>
      </c>
      <c r="D49" s="531">
        <f>'1_a_sz_ melléklet'!D48</f>
        <v>13729</v>
      </c>
    </row>
    <row r="50" spans="1:4" ht="12.75">
      <c r="A50" s="525" t="s">
        <v>558</v>
      </c>
      <c r="B50" s="526">
        <f>SUM(B47:B49)</f>
        <v>700156</v>
      </c>
      <c r="C50" s="527" t="s">
        <v>559</v>
      </c>
      <c r="D50" s="514">
        <f>SUM(D47:D49)</f>
        <v>700156</v>
      </c>
    </row>
    <row r="51" spans="1:4" ht="4.5" customHeight="1">
      <c r="A51" s="532"/>
      <c r="B51" s="533"/>
      <c r="C51" s="534"/>
      <c r="D51" s="535"/>
    </row>
    <row r="52" spans="1:4" ht="12.75">
      <c r="A52" s="536" t="s">
        <v>560</v>
      </c>
      <c r="B52" s="537">
        <f>B22+B47</f>
        <v>4705480.137</v>
      </c>
      <c r="C52" s="538" t="s">
        <v>561</v>
      </c>
      <c r="D52" s="539">
        <f>D22+D47</f>
        <v>4945506</v>
      </c>
    </row>
    <row r="53" spans="1:4" ht="12.75">
      <c r="A53" s="540" t="s">
        <v>528</v>
      </c>
      <c r="B53" s="541">
        <f>B49+B25</f>
        <v>253754.8629999999</v>
      </c>
      <c r="C53" s="542" t="s">
        <v>562</v>
      </c>
      <c r="D53" s="543">
        <f>D25+D49</f>
        <v>13729</v>
      </c>
    </row>
    <row r="54" spans="1:4" ht="12.75">
      <c r="A54" s="544" t="s">
        <v>563</v>
      </c>
      <c r="B54" s="518">
        <f>SUM(B52:B53)</f>
        <v>4959235</v>
      </c>
      <c r="C54" s="517" t="s">
        <v>564</v>
      </c>
      <c r="D54" s="545">
        <f>SUM(D52:D53)</f>
        <v>4959235</v>
      </c>
    </row>
  </sheetData>
  <sheetProtection/>
  <mergeCells count="9">
    <mergeCell ref="C32:D32"/>
    <mergeCell ref="A33:B33"/>
    <mergeCell ref="C33:D33"/>
    <mergeCell ref="C1:D1"/>
    <mergeCell ref="A2:D2"/>
    <mergeCell ref="C4:D4"/>
    <mergeCell ref="A5:B5"/>
    <mergeCell ref="C5:D5"/>
    <mergeCell ref="A30:D30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8.7109375" style="0" customWidth="1"/>
    <col min="2" max="2" width="13.140625" style="0" customWidth="1"/>
    <col min="3" max="3" width="12.421875" style="0" customWidth="1"/>
    <col min="4" max="4" width="11.8515625" style="0" customWidth="1"/>
  </cols>
  <sheetData>
    <row r="1" spans="1:4" ht="12.75">
      <c r="A1" s="1227" t="s">
        <v>565</v>
      </c>
      <c r="B1" s="1227"/>
      <c r="C1" s="1227"/>
      <c r="D1" s="1227"/>
    </row>
    <row r="2" spans="1:4" s="81" customFormat="1" ht="12.75">
      <c r="A2" s="1196" t="s">
        <v>566</v>
      </c>
      <c r="B2" s="1196"/>
      <c r="C2" s="1196"/>
      <c r="D2" s="1196"/>
    </row>
    <row r="3" ht="12.75">
      <c r="D3" s="546" t="s">
        <v>33</v>
      </c>
    </row>
    <row r="4" spans="1:4" s="550" customFormat="1" ht="15.75" customHeight="1">
      <c r="A4" s="547" t="s">
        <v>567</v>
      </c>
      <c r="B4" s="548" t="s">
        <v>2</v>
      </c>
      <c r="C4" s="549" t="s">
        <v>568</v>
      </c>
      <c r="D4" s="548" t="s">
        <v>569</v>
      </c>
    </row>
    <row r="5" spans="1:4" s="550" customFormat="1" ht="12.75">
      <c r="A5" s="551" t="s">
        <v>570</v>
      </c>
      <c r="B5" s="552"/>
      <c r="C5" s="553"/>
      <c r="D5" s="552"/>
    </row>
    <row r="6" spans="1:4" ht="12.75">
      <c r="A6" s="554" t="s">
        <v>571</v>
      </c>
      <c r="B6" s="555">
        <f>'2_sz_ melléklet'!D7-'2_a_d_sz_ melléklet'!D10</f>
        <v>270664</v>
      </c>
      <c r="C6" s="555">
        <v>328185</v>
      </c>
      <c r="D6" s="556">
        <v>317600</v>
      </c>
    </row>
    <row r="7" spans="1:4" ht="12.75">
      <c r="A7" s="557" t="s">
        <v>572</v>
      </c>
      <c r="B7" s="556">
        <f>'2_sz_ melléklet'!D8-'2_sz_ melléklet'!D10+'2_a_d_sz_ melléklet'!B69</f>
        <v>783609</v>
      </c>
      <c r="C7" s="556">
        <v>485000</v>
      </c>
      <c r="D7" s="556">
        <v>473200</v>
      </c>
    </row>
    <row r="8" spans="1:4" ht="12.75">
      <c r="A8" s="557" t="s">
        <v>573</v>
      </c>
      <c r="B8" s="556">
        <f>'2_sz_ melléklet'!D14+'2_a_d_sz_ melléklet'!B66+'2_a_d_sz_ melléklet'!B67</f>
        <v>2341970.137</v>
      </c>
      <c r="C8" s="556">
        <v>2410062</v>
      </c>
      <c r="D8" s="556">
        <v>2415600</v>
      </c>
    </row>
    <row r="9" spans="1:4" ht="12.75">
      <c r="A9" s="557" t="s">
        <v>574</v>
      </c>
      <c r="B9" s="556">
        <f>'2_a_d_sz_ melléklet'!D10</f>
        <v>4573</v>
      </c>
      <c r="C9" s="556">
        <v>2254</v>
      </c>
      <c r="D9" s="556">
        <v>2220</v>
      </c>
    </row>
    <row r="10" spans="1:4" ht="12.75">
      <c r="A10" s="558" t="s">
        <v>575</v>
      </c>
      <c r="B10" s="556">
        <f>'2_sz_ melléklet'!D22</f>
        <v>523163</v>
      </c>
      <c r="C10" s="556">
        <v>420500</v>
      </c>
      <c r="D10" s="556">
        <v>407300</v>
      </c>
    </row>
    <row r="11" spans="1:4" ht="12.75">
      <c r="A11" s="558" t="s">
        <v>576</v>
      </c>
      <c r="B11" s="556">
        <v>0</v>
      </c>
      <c r="C11" s="556">
        <v>0</v>
      </c>
      <c r="D11" s="556">
        <v>0</v>
      </c>
    </row>
    <row r="12" spans="1:4" ht="12.75">
      <c r="A12" s="558" t="s">
        <v>577</v>
      </c>
      <c r="B12" s="556">
        <f>'2_sz_ melléklet'!D35</f>
        <v>0</v>
      </c>
      <c r="C12" s="556">
        <v>500</v>
      </c>
      <c r="D12" s="556">
        <v>500</v>
      </c>
    </row>
    <row r="13" spans="1:4" ht="12.75">
      <c r="A13" s="558" t="s">
        <v>578</v>
      </c>
      <c r="B13" s="556">
        <f>'2_sz_ melléklet'!D44</f>
        <v>227406.8629999999</v>
      </c>
      <c r="C13" s="556">
        <v>418000</v>
      </c>
      <c r="D13" s="556">
        <v>427000</v>
      </c>
    </row>
    <row r="14" spans="1:4" ht="12.75">
      <c r="A14" s="558" t="s">
        <v>579</v>
      </c>
      <c r="B14" s="556">
        <v>0</v>
      </c>
      <c r="C14" s="556">
        <v>0</v>
      </c>
      <c r="D14" s="556">
        <v>0</v>
      </c>
    </row>
    <row r="15" spans="1:4" ht="12.75">
      <c r="A15" s="559" t="s">
        <v>580</v>
      </c>
      <c r="B15" s="560">
        <f>'2_sz_ melléklet'!D40</f>
        <v>167082</v>
      </c>
      <c r="C15" s="560">
        <v>0</v>
      </c>
      <c r="D15" s="560">
        <v>0</v>
      </c>
    </row>
    <row r="16" spans="1:4" s="81" customFormat="1" ht="12.75">
      <c r="A16" s="561" t="s">
        <v>581</v>
      </c>
      <c r="B16" s="562">
        <f>SUM(B6:B15)</f>
        <v>4318468</v>
      </c>
      <c r="C16" s="562">
        <f>SUM(C6:C15)</f>
        <v>4064501</v>
      </c>
      <c r="D16" s="562">
        <f>SUM(D6:D15)</f>
        <v>4043420</v>
      </c>
    </row>
    <row r="17" spans="1:4" ht="12.75">
      <c r="A17" s="563" t="s">
        <v>502</v>
      </c>
      <c r="B17" s="556">
        <f>'1_a_sz_ melléklet'!D8</f>
        <v>1846844</v>
      </c>
      <c r="C17" s="556">
        <v>1820100</v>
      </c>
      <c r="D17" s="556">
        <v>1860100</v>
      </c>
    </row>
    <row r="18" spans="1:4" ht="12.75">
      <c r="A18" s="557" t="s">
        <v>504</v>
      </c>
      <c r="B18" s="556">
        <f>'1_a_sz_ melléklet'!D9</f>
        <v>574467</v>
      </c>
      <c r="C18" s="556">
        <v>582432</v>
      </c>
      <c r="D18" s="556">
        <v>595232</v>
      </c>
    </row>
    <row r="19" spans="1:4" ht="12.75">
      <c r="A19" s="557" t="s">
        <v>582</v>
      </c>
      <c r="B19" s="556">
        <f>'7_sz_ melléklet'!D9+'7_sz_ melléklet'!D11-'7_sz_ melléklet'!D10</f>
        <v>1089200</v>
      </c>
      <c r="C19" s="556">
        <v>965800</v>
      </c>
      <c r="D19" s="556">
        <v>983400</v>
      </c>
    </row>
    <row r="20" spans="1:4" ht="12.75">
      <c r="A20" s="557" t="s">
        <v>583</v>
      </c>
      <c r="B20" s="556">
        <f>'7_sz_ melléklet'!D13+'7_sz_ melléklet'!D18</f>
        <v>582373</v>
      </c>
      <c r="C20" s="556">
        <v>377000</v>
      </c>
      <c r="D20" s="556">
        <v>381000</v>
      </c>
    </row>
    <row r="21" spans="1:4" ht="12.75">
      <c r="A21" s="558" t="s">
        <v>584</v>
      </c>
      <c r="B21" s="556">
        <f>'1_a_sz_ melléklet'!D25</f>
        <v>109157</v>
      </c>
      <c r="C21" s="556">
        <v>6000</v>
      </c>
      <c r="D21" s="556">
        <v>6500</v>
      </c>
    </row>
    <row r="22" spans="1:4" ht="12.75">
      <c r="A22" s="558" t="s">
        <v>585</v>
      </c>
      <c r="B22" s="556"/>
      <c r="C22" s="556">
        <v>0</v>
      </c>
      <c r="D22" s="556">
        <v>0</v>
      </c>
    </row>
    <row r="23" spans="1:4" ht="12.75">
      <c r="A23" s="557" t="s">
        <v>586</v>
      </c>
      <c r="B23" s="556">
        <f>'1_a_sz_ melléklet'!D12</f>
        <v>4643</v>
      </c>
      <c r="C23" s="556">
        <v>680</v>
      </c>
      <c r="D23" s="556">
        <v>678</v>
      </c>
    </row>
    <row r="24" spans="1:4" ht="12.75">
      <c r="A24" s="558" t="s">
        <v>587</v>
      </c>
      <c r="B24" s="556">
        <f>'1_a_sz_ melléklet'!D35</f>
        <v>1000</v>
      </c>
      <c r="C24" s="556">
        <v>1000</v>
      </c>
      <c r="D24" s="556">
        <v>1000</v>
      </c>
    </row>
    <row r="25" spans="1:4" ht="12.75">
      <c r="A25" s="558" t="s">
        <v>588</v>
      </c>
      <c r="B25" s="564">
        <f>'1_a_sz_ melléklet'!D47</f>
        <v>0</v>
      </c>
      <c r="C25" s="564">
        <v>213352</v>
      </c>
      <c r="D25" s="564">
        <v>150000</v>
      </c>
    </row>
    <row r="26" spans="1:4" ht="12.75">
      <c r="A26" s="558" t="s">
        <v>589</v>
      </c>
      <c r="B26" s="564">
        <f>'7_sz_ melléklet'!D10</f>
        <v>15097</v>
      </c>
      <c r="C26" s="564">
        <v>17000</v>
      </c>
      <c r="D26" s="564">
        <v>15000</v>
      </c>
    </row>
    <row r="27" spans="1:4" ht="12.75">
      <c r="A27" s="558" t="s">
        <v>590</v>
      </c>
      <c r="B27" s="564">
        <v>0</v>
      </c>
      <c r="C27" s="564">
        <v>0</v>
      </c>
      <c r="D27" s="564">
        <v>0</v>
      </c>
    </row>
    <row r="28" spans="1:4" ht="12.75">
      <c r="A28" s="558" t="s">
        <v>523</v>
      </c>
      <c r="B28" s="565">
        <f>'7_sz_ melléklet'!D19</f>
        <v>53071</v>
      </c>
      <c r="C28" s="565">
        <v>40000</v>
      </c>
      <c r="D28" s="565">
        <v>38000</v>
      </c>
    </row>
    <row r="29" spans="1:4" s="81" customFormat="1" ht="12.75">
      <c r="A29" s="561" t="s">
        <v>591</v>
      </c>
      <c r="B29" s="562">
        <f>SUM(B17:B28)</f>
        <v>4275852</v>
      </c>
      <c r="C29" s="562">
        <f>SUM(C17:C28)</f>
        <v>4023364</v>
      </c>
      <c r="D29" s="562">
        <f>SUM(D17:D28)</f>
        <v>4030910</v>
      </c>
    </row>
    <row r="30" spans="1:4" s="81" customFormat="1" ht="12.75">
      <c r="A30" s="551" t="s">
        <v>592</v>
      </c>
      <c r="B30" s="552"/>
      <c r="C30" s="552"/>
      <c r="D30" s="566"/>
    </row>
    <row r="31" spans="1:4" ht="12.75">
      <c r="A31" s="554" t="s">
        <v>593</v>
      </c>
      <c r="B31" s="555">
        <f>'2_sz_ melléklet'!D31</f>
        <v>811</v>
      </c>
      <c r="C31" s="556">
        <v>125000</v>
      </c>
      <c r="D31" s="556">
        <v>123700</v>
      </c>
    </row>
    <row r="32" spans="1:4" ht="12.75">
      <c r="A32" s="558" t="s">
        <v>594</v>
      </c>
      <c r="B32" s="556">
        <f>'2_sz_ melléklet'!D30</f>
        <v>172000</v>
      </c>
      <c r="C32" s="556">
        <v>145792</v>
      </c>
      <c r="D32" s="556">
        <v>139600</v>
      </c>
    </row>
    <row r="33" spans="1:4" ht="12.75">
      <c r="A33" s="557" t="s">
        <v>595</v>
      </c>
      <c r="B33" s="556">
        <f>'2_sz_ melléklet'!D19</f>
        <v>10951</v>
      </c>
      <c r="C33" s="556">
        <v>81700</v>
      </c>
      <c r="D33" s="556">
        <v>79300</v>
      </c>
    </row>
    <row r="34" spans="1:4" ht="12.75">
      <c r="A34" s="557" t="s">
        <v>596</v>
      </c>
      <c r="B34" s="556">
        <f>'2_sz_ melléklet'!D33</f>
        <v>8063</v>
      </c>
      <c r="C34" s="556">
        <v>74700</v>
      </c>
      <c r="D34" s="556">
        <v>74000</v>
      </c>
    </row>
    <row r="35" spans="1:4" ht="12.75">
      <c r="A35" s="567" t="s">
        <v>597</v>
      </c>
      <c r="B35" s="556">
        <f>'2_sz_ melléklet'!D24</f>
        <v>79965</v>
      </c>
      <c r="C35" s="556">
        <v>100900</v>
      </c>
      <c r="D35" s="556">
        <v>98400</v>
      </c>
    </row>
    <row r="36" spans="1:4" ht="12.75">
      <c r="A36" s="558" t="s">
        <v>598</v>
      </c>
      <c r="B36" s="564">
        <v>0</v>
      </c>
      <c r="C36" s="564">
        <v>0</v>
      </c>
      <c r="D36" s="564">
        <v>0</v>
      </c>
    </row>
    <row r="37" spans="1:4" ht="12.75">
      <c r="A37" s="558" t="s">
        <v>599</v>
      </c>
      <c r="B37" s="564">
        <f>'7_sz_ melléklet'!B46</f>
        <v>40508</v>
      </c>
      <c r="C37" s="564">
        <v>0</v>
      </c>
      <c r="D37" s="564">
        <v>0</v>
      </c>
    </row>
    <row r="38" spans="1:4" ht="12.75">
      <c r="A38" s="558" t="s">
        <v>600</v>
      </c>
      <c r="B38" s="564">
        <v>0</v>
      </c>
      <c r="C38" s="564">
        <v>0</v>
      </c>
      <c r="D38" s="564">
        <v>0</v>
      </c>
    </row>
    <row r="39" spans="1:4" ht="12.75">
      <c r="A39" s="558" t="s">
        <v>601</v>
      </c>
      <c r="B39" s="564">
        <f>'2_sz_ melléklet'!D36</f>
        <v>4500</v>
      </c>
      <c r="C39" s="564">
        <v>4500</v>
      </c>
      <c r="D39" s="564">
        <v>4000</v>
      </c>
    </row>
    <row r="40" spans="1:4" ht="12.75">
      <c r="A40" s="558" t="s">
        <v>602</v>
      </c>
      <c r="B40" s="564">
        <f>'2_sz_ melléklet'!D45</f>
        <v>26348</v>
      </c>
      <c r="C40" s="564">
        <v>21000</v>
      </c>
      <c r="D40" s="564">
        <v>20000</v>
      </c>
    </row>
    <row r="41" spans="1:4" ht="12.75">
      <c r="A41" s="557" t="s">
        <v>603</v>
      </c>
      <c r="B41" s="556">
        <f>'2_sz_ melléklet'!D37</f>
        <v>275016</v>
      </c>
      <c r="C41" s="556">
        <v>0</v>
      </c>
      <c r="D41" s="556">
        <v>0</v>
      </c>
    </row>
    <row r="42" spans="1:4" ht="12.75">
      <c r="A42" s="559" t="s">
        <v>604</v>
      </c>
      <c r="B42" s="560">
        <f>'2_sz_ melléklet'!D41</f>
        <v>11291</v>
      </c>
      <c r="C42" s="565">
        <v>0</v>
      </c>
      <c r="D42" s="565">
        <v>0</v>
      </c>
    </row>
    <row r="43" spans="1:4" s="81" customFormat="1" ht="12.75">
      <c r="A43" s="561" t="s">
        <v>605</v>
      </c>
      <c r="B43" s="562">
        <f>SUM(B31:B42)</f>
        <v>629453</v>
      </c>
      <c r="C43" s="562">
        <f>SUM(C31:C42)</f>
        <v>553592</v>
      </c>
      <c r="D43" s="562">
        <f>SUM(D31:D42)</f>
        <v>539000</v>
      </c>
    </row>
    <row r="44" spans="1:4" ht="12.75">
      <c r="A44" s="554" t="s">
        <v>606</v>
      </c>
      <c r="B44" s="556">
        <f>'7_sz_ melléklet'!D35</f>
        <v>378527</v>
      </c>
      <c r="C44" s="556">
        <v>307800</v>
      </c>
      <c r="D44" s="556">
        <v>293973</v>
      </c>
    </row>
    <row r="45" spans="1:4" ht="12.75">
      <c r="A45" s="557" t="s">
        <v>607</v>
      </c>
      <c r="B45" s="556">
        <f>'7_sz_ melléklet'!D36</f>
        <v>53229</v>
      </c>
      <c r="C45" s="556">
        <v>81200</v>
      </c>
      <c r="D45" s="556">
        <v>80700</v>
      </c>
    </row>
    <row r="46" spans="1:4" ht="12.75">
      <c r="A46" s="557" t="s">
        <v>608</v>
      </c>
      <c r="B46" s="556">
        <f>'7_sz_ melléklet'!D44</f>
        <v>16773</v>
      </c>
      <c r="C46" s="556">
        <v>0</v>
      </c>
      <c r="D46" s="556">
        <v>0</v>
      </c>
    </row>
    <row r="47" spans="1:4" ht="12.75">
      <c r="A47" s="557" t="s">
        <v>609</v>
      </c>
      <c r="B47" s="556">
        <f>'7_sz_ melléklet'!D38</f>
        <v>74161</v>
      </c>
      <c r="C47" s="556">
        <v>68500</v>
      </c>
      <c r="D47" s="556">
        <v>68500</v>
      </c>
    </row>
    <row r="48" spans="1:4" ht="12.75">
      <c r="A48" s="557" t="s">
        <v>610</v>
      </c>
      <c r="B48" s="556">
        <f>'7_sz_ melléklet'!D45</f>
        <v>1545</v>
      </c>
      <c r="C48" s="556">
        <v>0</v>
      </c>
      <c r="D48" s="556">
        <v>0</v>
      </c>
    </row>
    <row r="49" spans="1:4" ht="12.75">
      <c r="A49" s="558" t="s">
        <v>611</v>
      </c>
      <c r="B49" s="556"/>
      <c r="C49" s="556">
        <v>0</v>
      </c>
      <c r="D49" s="556">
        <v>0</v>
      </c>
    </row>
    <row r="50" spans="1:4" ht="12.75">
      <c r="A50" s="557" t="s">
        <v>612</v>
      </c>
      <c r="B50" s="556">
        <f>'7_sz_ melléklet'!D39</f>
        <v>5000</v>
      </c>
      <c r="C50" s="556">
        <v>52278</v>
      </c>
      <c r="D50" s="556">
        <v>52278</v>
      </c>
    </row>
    <row r="51" spans="1:4" ht="12.75">
      <c r="A51" s="557" t="s">
        <v>613</v>
      </c>
      <c r="B51" s="556">
        <f>'7_sz_ melléklet'!D49</f>
        <v>13729</v>
      </c>
      <c r="C51" s="556">
        <v>32104</v>
      </c>
      <c r="D51" s="556">
        <v>11759</v>
      </c>
    </row>
    <row r="52" spans="1:4" ht="12.75">
      <c r="A52" s="557" t="s">
        <v>614</v>
      </c>
      <c r="B52" s="556">
        <f>'7_sz_ melléklet'!D40</f>
        <v>120152</v>
      </c>
      <c r="C52" s="556">
        <v>22847</v>
      </c>
      <c r="D52" s="556">
        <v>19300</v>
      </c>
    </row>
    <row r="53" spans="1:4" ht="12.75">
      <c r="A53" s="557" t="s">
        <v>615</v>
      </c>
      <c r="B53" s="556">
        <f>'7_sz_ melléklet'!D37</f>
        <v>1750</v>
      </c>
      <c r="C53" s="556">
        <v>0</v>
      </c>
      <c r="D53" s="556">
        <v>0</v>
      </c>
    </row>
    <row r="54" spans="1:4" ht="12.75">
      <c r="A54" s="568" t="s">
        <v>616</v>
      </c>
      <c r="B54" s="556">
        <f>'7_sz_ melléklet'!D41</f>
        <v>35290</v>
      </c>
      <c r="C54" s="556">
        <v>30000</v>
      </c>
      <c r="D54" s="556">
        <v>25000</v>
      </c>
    </row>
    <row r="55" spans="1:4" s="81" customFormat="1" ht="12.75">
      <c r="A55" s="561" t="s">
        <v>617</v>
      </c>
      <c r="B55" s="562">
        <f>SUM(B44:B54)</f>
        <v>700156</v>
      </c>
      <c r="C55" s="562">
        <f>SUM(C44:C54)</f>
        <v>594729</v>
      </c>
      <c r="D55" s="562">
        <f>SUM(D44:D54)</f>
        <v>551510</v>
      </c>
    </row>
    <row r="56" spans="1:4" s="81" customFormat="1" ht="12.75">
      <c r="A56" s="561" t="s">
        <v>618</v>
      </c>
      <c r="B56" s="562">
        <f>B43+B16</f>
        <v>4947921</v>
      </c>
      <c r="C56" s="562">
        <f>C43+C16</f>
        <v>4618093</v>
      </c>
      <c r="D56" s="562">
        <f>D43+D16</f>
        <v>4582420</v>
      </c>
    </row>
    <row r="57" spans="1:4" s="81" customFormat="1" ht="12.75">
      <c r="A57" s="569" t="s">
        <v>619</v>
      </c>
      <c r="B57" s="570">
        <f>B55+B29</f>
        <v>4976008</v>
      </c>
      <c r="C57" s="570">
        <f>C55+C29</f>
        <v>4618093</v>
      </c>
      <c r="D57" s="570">
        <f>D55+D29</f>
        <v>4582420</v>
      </c>
    </row>
  </sheetData>
  <sheetProtection/>
  <mergeCells count="2">
    <mergeCell ref="A1:D1"/>
    <mergeCell ref="A2:D2"/>
  </mergeCells>
  <printOptions/>
  <pageMargins left="0.7875" right="0.7875" top="0.5902777777777778" bottom="0.5902777777777778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44"/>
  <sheetViews>
    <sheetView zoomScalePageLayoutView="0" workbookViewId="0" topLeftCell="A1">
      <selection activeCell="A44" sqref="A44"/>
    </sheetView>
  </sheetViews>
  <sheetFormatPr defaultColWidth="9.140625" defaultRowHeight="12.75"/>
  <cols>
    <col min="4" max="4" width="22.00390625" style="0" customWidth="1"/>
    <col min="5" max="5" width="18.8515625" style="0" customWidth="1"/>
  </cols>
  <sheetData>
    <row r="2" ht="12.75">
      <c r="E2" s="462" t="s">
        <v>620</v>
      </c>
    </row>
    <row r="3" ht="12.75">
      <c r="E3" s="462"/>
    </row>
    <row r="5" ht="15.75">
      <c r="B5" s="29" t="s">
        <v>621</v>
      </c>
    </row>
    <row r="6" spans="2:5" ht="15.75">
      <c r="B6" s="29" t="s">
        <v>622</v>
      </c>
      <c r="C6" s="29"/>
      <c r="D6" s="29"/>
      <c r="E6" s="29"/>
    </row>
    <row r="7" spans="2:5" ht="15.75">
      <c r="B7" s="29"/>
      <c r="C7" s="29"/>
      <c r="D7" s="29"/>
      <c r="E7" s="29"/>
    </row>
    <row r="8" spans="2:5" ht="15.75">
      <c r="B8" s="29"/>
      <c r="C8" s="29"/>
      <c r="D8" s="29" t="s">
        <v>623</v>
      </c>
      <c r="E8" s="29"/>
    </row>
    <row r="9" spans="2:5" ht="15.75">
      <c r="B9" s="29"/>
      <c r="C9" s="29"/>
      <c r="D9" s="29"/>
      <c r="E9" s="29"/>
    </row>
    <row r="10" spans="2:5" ht="15.75">
      <c r="B10" s="29"/>
      <c r="C10" s="29"/>
      <c r="D10" s="29"/>
      <c r="E10" s="29"/>
    </row>
    <row r="12" spans="1:4" ht="15">
      <c r="A12" s="30" t="s">
        <v>624</v>
      </c>
      <c r="B12" s="30"/>
      <c r="C12" s="30"/>
      <c r="D12" s="30"/>
    </row>
    <row r="15" spans="1:5" ht="15">
      <c r="A15" s="30" t="s">
        <v>625</v>
      </c>
      <c r="B15" s="30"/>
      <c r="C15" s="30"/>
      <c r="D15" s="30"/>
      <c r="E15" s="30"/>
    </row>
    <row r="16" spans="1:5" ht="15">
      <c r="A16" s="30" t="s">
        <v>626</v>
      </c>
      <c r="B16" s="30"/>
      <c r="C16" s="30"/>
      <c r="D16" s="30"/>
      <c r="E16" s="30"/>
    </row>
    <row r="17" ht="12.75">
      <c r="A17" s="571" t="s">
        <v>627</v>
      </c>
    </row>
    <row r="18" ht="12.75">
      <c r="A18" s="571"/>
    </row>
    <row r="19" ht="12.75">
      <c r="A19" s="571"/>
    </row>
    <row r="21" spans="1:5" ht="12.75">
      <c r="A21" s="36"/>
      <c r="B21" s="311"/>
      <c r="C21" s="572"/>
      <c r="D21" s="573"/>
      <c r="E21" s="246" t="s">
        <v>628</v>
      </c>
    </row>
    <row r="22" spans="1:5" ht="12.75">
      <c r="A22" s="574" t="s">
        <v>629</v>
      </c>
      <c r="B22" s="1228" t="s">
        <v>630</v>
      </c>
      <c r="C22" s="1228"/>
      <c r="D22" s="1228"/>
      <c r="E22" s="574" t="s">
        <v>631</v>
      </c>
    </row>
    <row r="23" spans="1:5" ht="12.75">
      <c r="A23" s="247"/>
      <c r="B23" s="250"/>
      <c r="C23" s="575"/>
      <c r="D23" s="576"/>
      <c r="E23" s="248" t="s">
        <v>632</v>
      </c>
    </row>
    <row r="24" spans="1:5" ht="12.75">
      <c r="A24" s="36"/>
      <c r="B24" s="37"/>
      <c r="C24" s="37"/>
      <c r="D24" s="37"/>
      <c r="E24" s="246"/>
    </row>
    <row r="25" spans="1:5" ht="12.75">
      <c r="A25" s="577">
        <v>1</v>
      </c>
      <c r="B25" s="578" t="s">
        <v>633</v>
      </c>
      <c r="C25" s="578"/>
      <c r="D25" s="578"/>
      <c r="E25" s="19"/>
    </row>
    <row r="26" spans="1:5" ht="12.75">
      <c r="A26" s="579">
        <v>2</v>
      </c>
      <c r="B26" s="37" t="s">
        <v>634</v>
      </c>
      <c r="C26" s="37"/>
      <c r="D26" s="378"/>
      <c r="E26" s="65"/>
    </row>
    <row r="27" spans="1:5" ht="12.75">
      <c r="A27" s="577"/>
      <c r="B27" s="578" t="s">
        <v>635</v>
      </c>
      <c r="C27" s="578"/>
      <c r="D27" s="580"/>
      <c r="E27" s="19"/>
    </row>
    <row r="28" spans="1:5" ht="12.75">
      <c r="A28" s="579">
        <v>3</v>
      </c>
      <c r="B28" s="37" t="s">
        <v>636</v>
      </c>
      <c r="C28" s="37"/>
      <c r="D28" s="378"/>
      <c r="E28" s="65"/>
    </row>
    <row r="29" spans="1:5" ht="12.75">
      <c r="A29" s="577"/>
      <c r="B29" s="578" t="s">
        <v>637</v>
      </c>
      <c r="C29" s="578"/>
      <c r="D29" s="580"/>
      <c r="E29" s="19"/>
    </row>
    <row r="30" spans="1:5" ht="12.75">
      <c r="A30" s="577">
        <v>4</v>
      </c>
      <c r="B30" s="578" t="s">
        <v>638</v>
      </c>
      <c r="C30" s="578"/>
      <c r="D30" s="580"/>
      <c r="E30" s="19"/>
    </row>
    <row r="31" spans="1:5" ht="12.75">
      <c r="A31" s="579">
        <v>5</v>
      </c>
      <c r="B31" s="37" t="s">
        <v>639</v>
      </c>
      <c r="C31" s="37"/>
      <c r="D31" s="378"/>
      <c r="E31" s="65"/>
    </row>
    <row r="32" spans="1:5" ht="12.75">
      <c r="A32" s="577"/>
      <c r="B32" s="578" t="s">
        <v>640</v>
      </c>
      <c r="C32" s="578"/>
      <c r="D32" s="580"/>
      <c r="E32" s="19"/>
    </row>
    <row r="33" spans="1:5" ht="12.75">
      <c r="A33" s="581">
        <v>6</v>
      </c>
      <c r="B33" s="88" t="s">
        <v>641</v>
      </c>
      <c r="C33" s="341"/>
      <c r="D33" s="349"/>
      <c r="E33" s="8"/>
    </row>
    <row r="34" spans="1:5" ht="12.75">
      <c r="A34" s="582">
        <v>7</v>
      </c>
      <c r="B34" s="575" t="s">
        <v>642</v>
      </c>
      <c r="C34" s="575"/>
      <c r="D34" s="576"/>
      <c r="E34" s="234"/>
    </row>
    <row r="35" spans="2:5" ht="15.75">
      <c r="B35" s="84" t="s">
        <v>182</v>
      </c>
      <c r="C35" s="344"/>
      <c r="D35" s="583"/>
      <c r="E35" s="169"/>
    </row>
    <row r="37" spans="2:5" ht="12.75">
      <c r="B37" s="571" t="s">
        <v>643</v>
      </c>
      <c r="C37" s="571"/>
      <c r="D37" s="571"/>
      <c r="E37" s="571"/>
    </row>
    <row r="38" spans="2:5" ht="12.75">
      <c r="B38" s="571" t="s">
        <v>644</v>
      </c>
      <c r="C38" s="571"/>
      <c r="D38" s="571"/>
      <c r="E38" s="571"/>
    </row>
    <row r="40" ht="12.75">
      <c r="B40" s="81" t="s">
        <v>645</v>
      </c>
    </row>
    <row r="43" ht="12.75">
      <c r="E43" t="s">
        <v>646</v>
      </c>
    </row>
    <row r="44" ht="12.75">
      <c r="E44" t="s">
        <v>647</v>
      </c>
    </row>
  </sheetData>
  <sheetProtection/>
  <mergeCells count="1">
    <mergeCell ref="B22:D22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75"/>
  <sheetViews>
    <sheetView zoomScalePageLayoutView="0" workbookViewId="0" topLeftCell="A1">
      <selection activeCell="A44" sqref="A1:D44"/>
    </sheetView>
  </sheetViews>
  <sheetFormatPr defaultColWidth="9.140625" defaultRowHeight="12.75"/>
  <cols>
    <col min="1" max="1" width="31.28125" style="0" customWidth="1"/>
    <col min="2" max="2" width="15.7109375" style="0" customWidth="1"/>
    <col min="3" max="3" width="15.28125" style="0" customWidth="1"/>
    <col min="4" max="4" width="19.00390625" style="0" customWidth="1"/>
  </cols>
  <sheetData>
    <row r="1" spans="2:3" ht="12.75">
      <c r="B1" s="471"/>
      <c r="C1" s="471" t="s">
        <v>648</v>
      </c>
    </row>
    <row r="2" spans="2:3" ht="12.75">
      <c r="B2" s="471"/>
      <c r="C2" s="471"/>
    </row>
    <row r="4" spans="1:4" ht="18">
      <c r="A4" s="1229" t="s">
        <v>649</v>
      </c>
      <c r="B4" s="1229"/>
      <c r="C4" s="1229"/>
      <c r="D4" s="1229"/>
    </row>
    <row r="5" spans="1:4" ht="18">
      <c r="A5" s="1230" t="s">
        <v>650</v>
      </c>
      <c r="B5" s="1230"/>
      <c r="C5" s="1230"/>
      <c r="D5" s="1230"/>
    </row>
    <row r="7" spans="1:4" ht="18">
      <c r="A7" s="1229" t="s">
        <v>651</v>
      </c>
      <c r="B7" s="1229"/>
      <c r="C7" s="1229"/>
      <c r="D7" s="1229"/>
    </row>
    <row r="8" spans="1:4" ht="18">
      <c r="A8" s="584"/>
      <c r="B8" s="584"/>
      <c r="C8" s="584"/>
      <c r="D8" s="584"/>
    </row>
    <row r="9" spans="1:3" ht="12.75">
      <c r="A9" s="575"/>
      <c r="B9" s="1203" t="s">
        <v>368</v>
      </c>
      <c r="C9" s="1203"/>
    </row>
    <row r="10" spans="1:4" ht="12.75">
      <c r="A10" s="359" t="s">
        <v>5</v>
      </c>
      <c r="B10" s="1231" t="s">
        <v>433</v>
      </c>
      <c r="C10" s="1231"/>
      <c r="D10" s="28"/>
    </row>
    <row r="11" spans="1:4" ht="15">
      <c r="A11" s="585" t="s">
        <v>652</v>
      </c>
      <c r="B11" s="1232">
        <f>571+179+179+6</f>
        <v>935</v>
      </c>
      <c r="C11" s="1232"/>
      <c r="D11" s="30"/>
    </row>
    <row r="12" spans="1:4" ht="15">
      <c r="A12" s="390" t="s">
        <v>653</v>
      </c>
      <c r="B12" s="1233">
        <f>571+179+179+6</f>
        <v>935</v>
      </c>
      <c r="C12" s="1233"/>
      <c r="D12" s="30"/>
    </row>
    <row r="13" spans="1:4" ht="15">
      <c r="A13" s="586" t="s">
        <v>1164</v>
      </c>
      <c r="B13" s="1233">
        <v>200</v>
      </c>
      <c r="C13" s="1233">
        <v>200</v>
      </c>
      <c r="D13" s="30"/>
    </row>
    <row r="14" spans="1:4" ht="15">
      <c r="A14" s="586" t="s">
        <v>1170</v>
      </c>
      <c r="B14" s="1234">
        <f>1523+332+5</f>
        <v>1860</v>
      </c>
      <c r="C14" s="1234"/>
      <c r="D14" s="30"/>
    </row>
    <row r="15" spans="1:4" ht="15.75">
      <c r="A15" s="370" t="s">
        <v>654</v>
      </c>
      <c r="B15" s="1235">
        <f>SUM(B11:B14)</f>
        <v>3930</v>
      </c>
      <c r="C15" s="1235"/>
      <c r="D15" s="29"/>
    </row>
    <row r="17" spans="1:4" ht="18">
      <c r="A17" s="1229" t="s">
        <v>655</v>
      </c>
      <c r="B17" s="1229"/>
      <c r="C17" s="1229"/>
      <c r="D17" s="1229"/>
    </row>
    <row r="18" spans="1:4" ht="18">
      <c r="A18" s="584"/>
      <c r="B18" s="584"/>
      <c r="C18" s="584"/>
      <c r="D18" s="584"/>
    </row>
    <row r="19" spans="2:4" ht="12.75">
      <c r="B19" s="369"/>
      <c r="C19" s="369"/>
      <c r="D19" s="369" t="s">
        <v>368</v>
      </c>
    </row>
    <row r="20" spans="1:4" ht="31.5">
      <c r="A20" s="948" t="s">
        <v>468</v>
      </c>
      <c r="B20" s="949" t="s">
        <v>656</v>
      </c>
      <c r="C20" s="950" t="s">
        <v>657</v>
      </c>
      <c r="D20" s="951" t="s">
        <v>182</v>
      </c>
    </row>
    <row r="21" spans="1:4" ht="23.25" customHeight="1">
      <c r="A21" s="952" t="s">
        <v>658</v>
      </c>
      <c r="B21" s="588">
        <v>0</v>
      </c>
      <c r="C21" s="589">
        <f>1523+255+12</f>
        <v>1790</v>
      </c>
      <c r="D21" s="953">
        <f>C21+B21</f>
        <v>1790</v>
      </c>
    </row>
    <row r="22" spans="1:4" ht="15.75">
      <c r="A22" s="954" t="s">
        <v>659</v>
      </c>
      <c r="B22" s="590">
        <f>50+146-9</f>
        <v>187</v>
      </c>
      <c r="C22" s="591">
        <f>179+13+9</f>
        <v>201</v>
      </c>
      <c r="D22" s="953">
        <f aca="true" t="shared" si="0" ref="D22:D37">C22+B22</f>
        <v>388</v>
      </c>
    </row>
    <row r="23" spans="1:4" ht="15.75">
      <c r="A23" s="955" t="s">
        <v>660</v>
      </c>
      <c r="B23" s="592">
        <v>18</v>
      </c>
      <c r="C23" s="593"/>
      <c r="D23" s="953">
        <f t="shared" si="0"/>
        <v>18</v>
      </c>
    </row>
    <row r="24" spans="1:4" ht="15.75">
      <c r="A24" s="956" t="s">
        <v>661</v>
      </c>
      <c r="B24" s="592"/>
      <c r="C24" s="593">
        <v>124</v>
      </c>
      <c r="D24" s="953">
        <f t="shared" si="0"/>
        <v>124</v>
      </c>
    </row>
    <row r="25" spans="1:4" ht="15.75">
      <c r="A25" s="956" t="s">
        <v>662</v>
      </c>
      <c r="B25" s="592">
        <v>110</v>
      </c>
      <c r="C25" s="593">
        <v>40</v>
      </c>
      <c r="D25" s="953">
        <f t="shared" si="0"/>
        <v>150</v>
      </c>
    </row>
    <row r="26" spans="1:4" ht="15.75">
      <c r="A26" s="957" t="s">
        <v>663</v>
      </c>
      <c r="B26" s="592">
        <v>150</v>
      </c>
      <c r="C26" s="593">
        <v>26</v>
      </c>
      <c r="D26" s="953">
        <f t="shared" si="0"/>
        <v>176</v>
      </c>
    </row>
    <row r="27" spans="1:4" ht="15.75">
      <c r="A27" s="957" t="s">
        <v>664</v>
      </c>
      <c r="B27" s="592">
        <v>250</v>
      </c>
      <c r="C27" s="593">
        <v>100</v>
      </c>
      <c r="D27" s="953">
        <f t="shared" si="0"/>
        <v>350</v>
      </c>
    </row>
    <row r="28" spans="1:4" ht="15.75">
      <c r="A28" s="958" t="s">
        <v>665</v>
      </c>
      <c r="B28" s="592"/>
      <c r="C28" s="593">
        <f>100+30</f>
        <v>130</v>
      </c>
      <c r="D28" s="953">
        <f t="shared" si="0"/>
        <v>130</v>
      </c>
    </row>
    <row r="29" spans="1:4" ht="25.5">
      <c r="A29" s="959" t="s">
        <v>666</v>
      </c>
      <c r="B29" s="588"/>
      <c r="C29" s="589">
        <v>200</v>
      </c>
      <c r="D29" s="953">
        <f t="shared" si="0"/>
        <v>200</v>
      </c>
    </row>
    <row r="30" spans="1:4" ht="15.75">
      <c r="A30" s="960" t="s">
        <v>667</v>
      </c>
      <c r="B30" s="588">
        <v>50</v>
      </c>
      <c r="C30" s="589"/>
      <c r="D30" s="953">
        <f t="shared" si="0"/>
        <v>50</v>
      </c>
    </row>
    <row r="31" spans="1:4" ht="15.75">
      <c r="A31" s="956" t="s">
        <v>668</v>
      </c>
      <c r="B31" s="592">
        <v>44</v>
      </c>
      <c r="C31" s="593"/>
      <c r="D31" s="961">
        <f t="shared" si="0"/>
        <v>44</v>
      </c>
    </row>
    <row r="32" spans="1:4" ht="15.75">
      <c r="A32" s="962" t="s">
        <v>1151</v>
      </c>
      <c r="B32" s="935">
        <v>106</v>
      </c>
      <c r="C32" s="936"/>
      <c r="D32" s="961">
        <f t="shared" si="0"/>
        <v>106</v>
      </c>
    </row>
    <row r="33" spans="1:4" ht="15.75">
      <c r="A33" s="934" t="s">
        <v>1150</v>
      </c>
      <c r="B33" s="930">
        <v>20</v>
      </c>
      <c r="C33" s="931"/>
      <c r="D33" s="961">
        <f t="shared" si="0"/>
        <v>20</v>
      </c>
    </row>
    <row r="34" spans="1:4" ht="15.75">
      <c r="A34" s="934" t="s">
        <v>1256</v>
      </c>
      <c r="B34" s="1113"/>
      <c r="C34" s="1114">
        <v>163</v>
      </c>
      <c r="D34" s="961">
        <f t="shared" si="0"/>
        <v>163</v>
      </c>
    </row>
    <row r="35" spans="1:4" ht="15.75">
      <c r="A35" s="969" t="s">
        <v>1165</v>
      </c>
      <c r="B35" s="932"/>
      <c r="C35" s="933">
        <v>200</v>
      </c>
      <c r="D35" s="961">
        <f t="shared" si="0"/>
        <v>200</v>
      </c>
    </row>
    <row r="36" spans="1:4" ht="15.75">
      <c r="A36" s="963" t="s">
        <v>669</v>
      </c>
      <c r="B36" s="596"/>
      <c r="C36" s="597">
        <v>21</v>
      </c>
      <c r="D36" s="964">
        <f t="shared" si="0"/>
        <v>21</v>
      </c>
    </row>
    <row r="37" spans="1:4" ht="15.75">
      <c r="A37" s="965" t="s">
        <v>670</v>
      </c>
      <c r="B37" s="993">
        <f>SUM(B21:B36)</f>
        <v>935</v>
      </c>
      <c r="C37" s="994">
        <f>SUM(C21:C36)</f>
        <v>2995</v>
      </c>
      <c r="D37" s="995">
        <f t="shared" si="0"/>
        <v>3930</v>
      </c>
    </row>
    <row r="39" spans="1:4" ht="31.5">
      <c r="A39" s="937" t="s">
        <v>468</v>
      </c>
      <c r="B39" s="938" t="s">
        <v>656</v>
      </c>
      <c r="C39" s="939" t="s">
        <v>657</v>
      </c>
      <c r="D39" s="940" t="s">
        <v>182</v>
      </c>
    </row>
    <row r="40" spans="1:4" ht="12.75">
      <c r="A40" s="826" t="s">
        <v>671</v>
      </c>
      <c r="B40" s="88">
        <v>0</v>
      </c>
      <c r="C40" s="243">
        <v>1411</v>
      </c>
      <c r="D40" s="1134">
        <f>SUM(B40:C40)</f>
        <v>1411</v>
      </c>
    </row>
    <row r="41" spans="1:4" ht="12.75">
      <c r="A41" s="826" t="s">
        <v>672</v>
      </c>
      <c r="B41" s="88">
        <v>0</v>
      </c>
      <c r="C41" s="243">
        <v>379</v>
      </c>
      <c r="D41" s="1134">
        <f>SUM(B41:C41)</f>
        <v>379</v>
      </c>
    </row>
    <row r="42" spans="1:4" ht="12.75">
      <c r="A42" s="941" t="s">
        <v>673</v>
      </c>
      <c r="B42" s="929">
        <f>571+106+179+6</f>
        <v>862</v>
      </c>
      <c r="C42" s="851">
        <f>571+179+200+179+6+118+5</f>
        <v>1258</v>
      </c>
      <c r="D42" s="942">
        <f>SUM(B42:C42)</f>
        <v>2120</v>
      </c>
    </row>
    <row r="43" spans="1:4" ht="12.75">
      <c r="A43" s="827" t="s">
        <v>1149</v>
      </c>
      <c r="B43" s="928">
        <v>20</v>
      </c>
      <c r="C43" s="64">
        <v>0</v>
      </c>
      <c r="D43" s="942">
        <f>SUM(B43:C43)</f>
        <v>20</v>
      </c>
    </row>
    <row r="44" spans="1:4" s="91" customFormat="1" ht="12.75">
      <c r="A44" s="943" t="s">
        <v>674</v>
      </c>
      <c r="B44" s="944">
        <f>SUM(B40:B43)</f>
        <v>882</v>
      </c>
      <c r="C44" s="1129">
        <f>SUM(C40:C43)</f>
        <v>3048</v>
      </c>
      <c r="D44" s="996">
        <f>SUM(D40:D43)</f>
        <v>3930</v>
      </c>
    </row>
    <row r="49" spans="2:3" ht="12.75">
      <c r="B49" s="600"/>
      <c r="C49" s="600" t="s">
        <v>675</v>
      </c>
    </row>
    <row r="50" spans="2:3" ht="12.75">
      <c r="B50" s="471"/>
      <c r="C50" s="471"/>
    </row>
    <row r="52" spans="1:4" ht="18">
      <c r="A52" s="1229" t="s">
        <v>676</v>
      </c>
      <c r="B52" s="1229"/>
      <c r="C52" s="1229"/>
      <c r="D52" s="1229"/>
    </row>
    <row r="53" spans="1:4" ht="18">
      <c r="A53" s="1230" t="s">
        <v>650</v>
      </c>
      <c r="B53" s="1230"/>
      <c r="C53" s="1230"/>
      <c r="D53" s="1230"/>
    </row>
    <row r="56" spans="1:4" ht="18">
      <c r="A56" s="1229" t="s">
        <v>651</v>
      </c>
      <c r="B56" s="1229"/>
      <c r="C56" s="1229"/>
      <c r="D56" s="1229"/>
    </row>
    <row r="57" spans="1:4" ht="18">
      <c r="A57" s="584"/>
      <c r="B57" s="584"/>
      <c r="C57" s="584"/>
      <c r="D57" s="584"/>
    </row>
    <row r="58" spans="1:3" ht="12.75">
      <c r="A58" s="575"/>
      <c r="B58" s="1203" t="s">
        <v>368</v>
      </c>
      <c r="C58" s="1203"/>
    </row>
    <row r="59" spans="1:4" ht="12.75">
      <c r="A59" s="359" t="s">
        <v>5</v>
      </c>
      <c r="B59" s="1231" t="s">
        <v>433</v>
      </c>
      <c r="C59" s="1231"/>
      <c r="D59" s="28"/>
    </row>
    <row r="60" spans="1:4" ht="15">
      <c r="A60" s="585" t="s">
        <v>652</v>
      </c>
      <c r="B60" s="1232">
        <v>571</v>
      </c>
      <c r="C60" s="1232"/>
      <c r="D60" s="30"/>
    </row>
    <row r="61" spans="1:4" ht="15">
      <c r="A61" s="390" t="s">
        <v>653</v>
      </c>
      <c r="B61" s="1233"/>
      <c r="C61" s="1233"/>
      <c r="D61" s="30"/>
    </row>
    <row r="62" spans="1:4" ht="15">
      <c r="A62" s="586" t="s">
        <v>677</v>
      </c>
      <c r="B62" s="1234">
        <v>0</v>
      </c>
      <c r="C62" s="1234"/>
      <c r="D62" s="30"/>
    </row>
    <row r="63" spans="1:4" ht="15.75">
      <c r="A63" s="370" t="s">
        <v>654</v>
      </c>
      <c r="B63" s="1235">
        <f>SUM(B60:B61)</f>
        <v>571</v>
      </c>
      <c r="C63" s="1235"/>
      <c r="D63" s="29"/>
    </row>
    <row r="67" spans="1:4" ht="18">
      <c r="A67" s="1229" t="s">
        <v>655</v>
      </c>
      <c r="B67" s="1229"/>
      <c r="C67" s="1229"/>
      <c r="D67" s="1229"/>
    </row>
    <row r="68" spans="1:4" ht="18">
      <c r="A68" s="584"/>
      <c r="B68" s="584"/>
      <c r="C68" s="584"/>
      <c r="D68" s="584"/>
    </row>
    <row r="69" spans="2:4" ht="12.75">
      <c r="B69" s="369"/>
      <c r="C69" s="369"/>
      <c r="D69" s="369" t="s">
        <v>368</v>
      </c>
    </row>
    <row r="70" spans="1:4" ht="31.5">
      <c r="A70" s="370" t="s">
        <v>468</v>
      </c>
      <c r="B70" s="914" t="s">
        <v>656</v>
      </c>
      <c r="C70" s="587" t="s">
        <v>657</v>
      </c>
      <c r="D70" s="472" t="s">
        <v>182</v>
      </c>
    </row>
    <row r="71" spans="1:4" ht="15.75">
      <c r="A71" s="465"/>
      <c r="B71" s="601"/>
      <c r="C71" s="602"/>
      <c r="D71" s="603"/>
    </row>
    <row r="72" spans="1:4" ht="15.75">
      <c r="A72" s="594" t="s">
        <v>678</v>
      </c>
      <c r="B72" s="592">
        <v>416</v>
      </c>
      <c r="C72" s="593">
        <v>0</v>
      </c>
      <c r="D72" s="592">
        <f>C72+B72</f>
        <v>416</v>
      </c>
    </row>
    <row r="73" spans="1:4" ht="15.75">
      <c r="A73" s="594" t="s">
        <v>679</v>
      </c>
      <c r="B73" s="592">
        <v>155</v>
      </c>
      <c r="C73" s="593">
        <v>0</v>
      </c>
      <c r="D73" s="592">
        <f>C73+B73</f>
        <v>155</v>
      </c>
    </row>
    <row r="74" spans="1:4" ht="15.75">
      <c r="A74" s="595"/>
      <c r="B74" s="596"/>
      <c r="C74" s="597"/>
      <c r="D74" s="596"/>
    </row>
    <row r="75" spans="1:4" ht="15.75">
      <c r="A75" s="598" t="s">
        <v>670</v>
      </c>
      <c r="B75" s="599">
        <f>SUM(B72:B73)</f>
        <v>571</v>
      </c>
      <c r="C75" s="599">
        <f>SUM(C72:C73)</f>
        <v>0</v>
      </c>
      <c r="D75" s="599">
        <f>SUM(D72:D73)</f>
        <v>571</v>
      </c>
    </row>
  </sheetData>
  <sheetProtection/>
  <mergeCells count="21">
    <mergeCell ref="B63:C63"/>
    <mergeCell ref="A67:D67"/>
    <mergeCell ref="A56:D56"/>
    <mergeCell ref="B58:C58"/>
    <mergeCell ref="B59:C59"/>
    <mergeCell ref="B60:C60"/>
    <mergeCell ref="B61:C61"/>
    <mergeCell ref="B62:C62"/>
    <mergeCell ref="B12:C12"/>
    <mergeCell ref="B14:C14"/>
    <mergeCell ref="B15:C15"/>
    <mergeCell ref="A17:D17"/>
    <mergeCell ref="A52:D52"/>
    <mergeCell ref="A53:D53"/>
    <mergeCell ref="B13:C13"/>
    <mergeCell ref="A4:D4"/>
    <mergeCell ref="A5:D5"/>
    <mergeCell ref="A7:D7"/>
    <mergeCell ref="B9:C9"/>
    <mergeCell ref="B10:C10"/>
    <mergeCell ref="B11:C1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7" sqref="A1:E27"/>
    </sheetView>
  </sheetViews>
  <sheetFormatPr defaultColWidth="9.140625" defaultRowHeight="12.75"/>
  <cols>
    <col min="1" max="1" width="19.8515625" style="0" customWidth="1"/>
    <col min="2" max="2" width="15.421875" style="0" customWidth="1"/>
    <col min="3" max="3" width="13.7109375" style="0" customWidth="1"/>
    <col min="4" max="4" width="14.57421875" style="0" customWidth="1"/>
    <col min="5" max="5" width="17.57421875" style="0" customWidth="1"/>
  </cols>
  <sheetData>
    <row r="1" ht="15">
      <c r="E1" s="604" t="s">
        <v>680</v>
      </c>
    </row>
    <row r="5" spans="2:3" ht="15.75">
      <c r="B5" s="605" t="s">
        <v>681</v>
      </c>
      <c r="C5" s="29"/>
    </row>
    <row r="6" spans="2:3" ht="15.75">
      <c r="B6" s="30"/>
      <c r="C6" s="605" t="s">
        <v>682</v>
      </c>
    </row>
    <row r="7" spans="2:3" ht="15.75">
      <c r="B7" s="30"/>
      <c r="C7" s="605"/>
    </row>
    <row r="8" spans="2:3" ht="15.75">
      <c r="B8" s="30"/>
      <c r="C8" s="605"/>
    </row>
    <row r="11" ht="12.75">
      <c r="E11" s="369" t="s">
        <v>33</v>
      </c>
    </row>
    <row r="12" spans="1:5" ht="16.5" thickBot="1">
      <c r="A12" s="472" t="s">
        <v>683</v>
      </c>
      <c r="B12" s="606" t="s">
        <v>684</v>
      </c>
      <c r="C12" s="472" t="s">
        <v>685</v>
      </c>
      <c r="D12" s="472" t="s">
        <v>686</v>
      </c>
      <c r="E12" s="607" t="s">
        <v>687</v>
      </c>
    </row>
    <row r="13" spans="1:6" ht="15">
      <c r="A13" s="608" t="s">
        <v>688</v>
      </c>
      <c r="B13" s="609">
        <v>290000</v>
      </c>
      <c r="C13" s="466">
        <v>320000</v>
      </c>
      <c r="D13" s="609">
        <f>C13+E13-B13</f>
        <v>30018</v>
      </c>
      <c r="E13" s="466">
        <v>18</v>
      </c>
      <c r="F13" s="651"/>
    </row>
    <row r="14" spans="1:6" ht="15">
      <c r="A14" s="608" t="s">
        <v>689</v>
      </c>
      <c r="B14" s="609">
        <v>290000</v>
      </c>
      <c r="C14" s="466">
        <v>340000</v>
      </c>
      <c r="D14" s="609">
        <f aca="true" t="shared" si="0" ref="D14:D24">C14+E14-B14</f>
        <v>50018</v>
      </c>
      <c r="E14" s="466">
        <v>18</v>
      </c>
      <c r="F14" s="651"/>
    </row>
    <row r="15" spans="1:6" ht="15">
      <c r="A15" s="608" t="s">
        <v>690</v>
      </c>
      <c r="B15" s="609">
        <v>490000</v>
      </c>
      <c r="C15" s="466">
        <v>488000</v>
      </c>
      <c r="D15" s="609">
        <f t="shared" si="0"/>
        <v>1396</v>
      </c>
      <c r="E15" s="466">
        <v>3396</v>
      </c>
      <c r="F15" s="651"/>
    </row>
    <row r="16" spans="1:6" ht="15">
      <c r="A16" s="608" t="s">
        <v>691</v>
      </c>
      <c r="B16" s="609">
        <f>295000+100000</f>
        <v>395000</v>
      </c>
      <c r="C16" s="466">
        <f>310000+100000</f>
        <v>410000</v>
      </c>
      <c r="D16" s="609">
        <f t="shared" si="0"/>
        <v>15018</v>
      </c>
      <c r="E16" s="466">
        <v>18</v>
      </c>
      <c r="F16" s="651"/>
    </row>
    <row r="17" spans="1:6" ht="15">
      <c r="A17" s="608" t="s">
        <v>692</v>
      </c>
      <c r="B17" s="609">
        <f>310000+50576</f>
        <v>360576</v>
      </c>
      <c r="C17" s="466">
        <f>335000+29473</f>
        <v>364473</v>
      </c>
      <c r="D17" s="609">
        <f t="shared" si="0"/>
        <v>3915</v>
      </c>
      <c r="E17" s="466">
        <v>18</v>
      </c>
      <c r="F17" s="651"/>
    </row>
    <row r="18" spans="1:6" ht="15">
      <c r="A18" s="608" t="s">
        <v>693</v>
      </c>
      <c r="B18" s="609">
        <v>450000</v>
      </c>
      <c r="C18" s="466">
        <v>460000</v>
      </c>
      <c r="D18" s="609">
        <f t="shared" si="0"/>
        <v>13396</v>
      </c>
      <c r="E18" s="466">
        <v>3396</v>
      </c>
      <c r="F18" s="651"/>
    </row>
    <row r="19" spans="1:6" ht="15">
      <c r="A19" s="608" t="s">
        <v>694</v>
      </c>
      <c r="B19" s="609">
        <v>350000</v>
      </c>
      <c r="C19" s="466">
        <v>420000</v>
      </c>
      <c r="D19" s="609">
        <f t="shared" si="0"/>
        <v>70018</v>
      </c>
      <c r="E19" s="466">
        <v>18</v>
      </c>
      <c r="F19" s="651"/>
    </row>
    <row r="20" spans="1:6" ht="15">
      <c r="A20" s="608" t="s">
        <v>695</v>
      </c>
      <c r="B20" s="609">
        <v>345000</v>
      </c>
      <c r="C20" s="466">
        <v>350000</v>
      </c>
      <c r="D20" s="609">
        <f t="shared" si="0"/>
        <v>5018</v>
      </c>
      <c r="E20" s="466">
        <v>18</v>
      </c>
      <c r="F20" s="651"/>
    </row>
    <row r="21" spans="1:6" ht="15">
      <c r="A21" s="608" t="s">
        <v>696</v>
      </c>
      <c r="B21" s="609">
        <v>470000</v>
      </c>
      <c r="C21" s="466">
        <v>473000</v>
      </c>
      <c r="D21" s="609">
        <f t="shared" si="0"/>
        <v>6396</v>
      </c>
      <c r="E21" s="466">
        <v>3396</v>
      </c>
      <c r="F21" s="651"/>
    </row>
    <row r="22" spans="1:6" ht="15">
      <c r="A22" s="608" t="s">
        <v>697</v>
      </c>
      <c r="B22" s="609">
        <v>398500</v>
      </c>
      <c r="C22" s="466">
        <v>411000</v>
      </c>
      <c r="D22" s="609">
        <f t="shared" si="0"/>
        <v>12518</v>
      </c>
      <c r="E22" s="466">
        <v>18</v>
      </c>
      <c r="F22" s="651"/>
    </row>
    <row r="23" spans="1:6" ht="15">
      <c r="A23" s="608" t="s">
        <v>698</v>
      </c>
      <c r="B23" s="609">
        <v>399000</v>
      </c>
      <c r="C23" s="466">
        <v>425000</v>
      </c>
      <c r="D23" s="609">
        <f t="shared" si="0"/>
        <v>26018</v>
      </c>
      <c r="E23" s="467">
        <v>18</v>
      </c>
      <c r="F23" s="651"/>
    </row>
    <row r="24" spans="1:6" ht="15.75" thickBot="1">
      <c r="A24" s="610" t="s">
        <v>699</v>
      </c>
      <c r="B24" s="611">
        <v>467404</v>
      </c>
      <c r="C24" s="612">
        <v>484033</v>
      </c>
      <c r="D24" s="609">
        <f t="shared" si="0"/>
        <v>20026</v>
      </c>
      <c r="E24" s="613">
        <v>3397</v>
      </c>
      <c r="F24" s="651"/>
    </row>
    <row r="25" spans="1:5" ht="16.5" thickBot="1">
      <c r="A25" s="614" t="s">
        <v>182</v>
      </c>
      <c r="B25" s="615">
        <f>SUM(B13:B24)</f>
        <v>4705480</v>
      </c>
      <c r="C25" s="970">
        <f>SUM(C13:C24)</f>
        <v>4945506</v>
      </c>
      <c r="D25" s="970">
        <f>SUM(D13:D24)</f>
        <v>253755</v>
      </c>
      <c r="E25" s="971">
        <f>SUM(E13:E24)</f>
        <v>13729</v>
      </c>
    </row>
    <row r="26" spans="2:4" ht="15">
      <c r="B26" s="972"/>
      <c r="C26" s="972"/>
      <c r="D26" s="972"/>
    </row>
    <row r="27" spans="2:4" ht="12.75">
      <c r="B27" s="651"/>
      <c r="C27" s="651"/>
      <c r="D27" s="651"/>
    </row>
  </sheetData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A35" sqref="A1:K35"/>
    </sheetView>
  </sheetViews>
  <sheetFormatPr defaultColWidth="9.140625" defaultRowHeight="12.75"/>
  <cols>
    <col min="1" max="1" width="11.7109375" style="0" customWidth="1"/>
    <col min="2" max="2" width="11.57421875" style="0" customWidth="1"/>
    <col min="3" max="3" width="11.7109375" style="0" customWidth="1"/>
    <col min="4" max="4" width="10.7109375" style="0" customWidth="1"/>
    <col min="5" max="5" width="12.00390625" style="0" customWidth="1"/>
    <col min="6" max="6" width="13.7109375" style="0" customWidth="1"/>
    <col min="7" max="8" width="12.140625" style="0" customWidth="1"/>
    <col min="9" max="9" width="11.57421875" style="0" customWidth="1"/>
    <col min="10" max="10" width="12.57421875" style="0" customWidth="1"/>
    <col min="11" max="11" width="14.140625" style="0" customWidth="1"/>
  </cols>
  <sheetData>
    <row r="1" spans="4:11" ht="12.75">
      <c r="D1" s="471"/>
      <c r="E1" s="471"/>
      <c r="F1" s="1236" t="s">
        <v>700</v>
      </c>
      <c r="G1" s="1236"/>
      <c r="H1" s="1236"/>
      <c r="I1" s="1236"/>
      <c r="J1" s="1236"/>
      <c r="K1" s="1236"/>
    </row>
    <row r="2" ht="7.5" customHeight="1"/>
    <row r="3" spans="1:11" ht="12.75">
      <c r="A3" s="1236" t="s">
        <v>701</v>
      </c>
      <c r="B3" s="1236"/>
      <c r="C3" s="1236"/>
      <c r="D3" s="1236"/>
      <c r="E3" s="1236"/>
      <c r="F3" s="1236"/>
      <c r="G3" s="1236"/>
      <c r="H3" s="1236"/>
      <c r="I3" s="1236"/>
      <c r="J3" s="1236"/>
      <c r="K3" s="1236"/>
    </row>
    <row r="4" spans="1:11" ht="12.75">
      <c r="A4" s="1236" t="s">
        <v>702</v>
      </c>
      <c r="B4" s="1236"/>
      <c r="C4" s="1236"/>
      <c r="D4" s="1236"/>
      <c r="E4" s="1236"/>
      <c r="F4" s="1236"/>
      <c r="G4" s="1236"/>
      <c r="H4" s="1236"/>
      <c r="I4" s="1236"/>
      <c r="J4" s="1236"/>
      <c r="K4" s="1236"/>
    </row>
    <row r="5" spans="1:11" ht="12.75">
      <c r="A5" s="471"/>
      <c r="B5" s="471"/>
      <c r="C5" s="471"/>
      <c r="D5" s="471"/>
      <c r="E5" s="471"/>
      <c r="F5" s="471"/>
      <c r="G5" s="471"/>
      <c r="H5" s="471"/>
      <c r="I5" s="471"/>
      <c r="J5" s="471"/>
      <c r="K5" s="471" t="s">
        <v>703</v>
      </c>
    </row>
    <row r="6" spans="1:11" ht="12.75">
      <c r="A6" s="1237" t="s">
        <v>704</v>
      </c>
      <c r="B6" s="1238" t="s">
        <v>705</v>
      </c>
      <c r="C6" s="1238"/>
      <c r="D6" s="1239" t="s">
        <v>706</v>
      </c>
      <c r="E6" s="1239"/>
      <c r="F6" s="1239"/>
      <c r="G6" s="1239"/>
      <c r="H6" s="1239"/>
      <c r="I6" s="1239"/>
      <c r="J6" s="1239"/>
      <c r="K6" s="1237" t="s">
        <v>707</v>
      </c>
    </row>
    <row r="7" spans="1:11" ht="30" customHeight="1">
      <c r="A7" s="1237"/>
      <c r="B7" s="616" t="s">
        <v>708</v>
      </c>
      <c r="C7" s="616" t="s">
        <v>709</v>
      </c>
      <c r="D7" s="616" t="s">
        <v>710</v>
      </c>
      <c r="E7" s="617" t="s">
        <v>711</v>
      </c>
      <c r="F7" s="617" t="s">
        <v>712</v>
      </c>
      <c r="G7" s="617" t="s">
        <v>713</v>
      </c>
      <c r="H7" s="617" t="s">
        <v>714</v>
      </c>
      <c r="I7" s="617" t="s">
        <v>715</v>
      </c>
      <c r="J7" s="617" t="s">
        <v>716</v>
      </c>
      <c r="K7" s="1237"/>
    </row>
    <row r="8" spans="1:11" ht="43.5" customHeight="1">
      <c r="A8" s="618" t="s">
        <v>717</v>
      </c>
      <c r="B8" s="619">
        <v>0</v>
      </c>
      <c r="C8" s="620">
        <v>0</v>
      </c>
      <c r="D8" s="620"/>
      <c r="E8" s="620">
        <v>50000</v>
      </c>
      <c r="F8" s="621">
        <v>40000</v>
      </c>
      <c r="G8" s="622"/>
      <c r="H8" s="622">
        <v>3005480</v>
      </c>
      <c r="I8" s="622"/>
      <c r="J8" s="622">
        <v>138693</v>
      </c>
      <c r="K8" s="622">
        <f>SUM(B8:J8)</f>
        <v>3234173</v>
      </c>
    </row>
    <row r="9" spans="1:11" ht="28.5" customHeight="1">
      <c r="A9" s="623" t="s">
        <v>718</v>
      </c>
      <c r="B9" s="624">
        <v>227407</v>
      </c>
      <c r="C9" s="625"/>
      <c r="D9" s="625">
        <v>24949</v>
      </c>
      <c r="E9" s="625"/>
      <c r="F9" s="626">
        <v>0</v>
      </c>
      <c r="G9" s="627">
        <v>1399</v>
      </c>
      <c r="H9" s="627"/>
      <c r="I9" s="627">
        <v>0</v>
      </c>
      <c r="J9" s="627"/>
      <c r="K9" s="628">
        <f>SUM(B9:J9)</f>
        <v>253755</v>
      </c>
    </row>
    <row r="10" spans="1:11" ht="23.25" customHeight="1">
      <c r="A10" s="623" t="s">
        <v>719</v>
      </c>
      <c r="B10" s="629"/>
      <c r="C10" s="625"/>
      <c r="D10" s="625"/>
      <c r="E10" s="625"/>
      <c r="F10" s="626"/>
      <c r="G10" s="627"/>
      <c r="H10" s="627"/>
      <c r="I10" s="627"/>
      <c r="J10" s="627"/>
      <c r="K10" s="628"/>
    </row>
    <row r="11" spans="1:11" ht="12.75">
      <c r="A11" s="630">
        <v>2009</v>
      </c>
      <c r="B11" s="631"/>
      <c r="C11" s="624">
        <v>0</v>
      </c>
      <c r="D11" s="624"/>
      <c r="E11" s="625">
        <v>2940</v>
      </c>
      <c r="F11" s="632">
        <v>1875</v>
      </c>
      <c r="G11" s="633">
        <v>218</v>
      </c>
      <c r="H11" s="633">
        <v>0</v>
      </c>
      <c r="I11" s="633"/>
      <c r="J11" s="633">
        <v>8696</v>
      </c>
      <c r="K11" s="628">
        <f aca="true" t="shared" si="0" ref="K11:K27">SUM(B11:J11)</f>
        <v>13729</v>
      </c>
    </row>
    <row r="12" spans="1:11" ht="12.75">
      <c r="A12" s="634">
        <v>2010</v>
      </c>
      <c r="B12" s="631">
        <f>B9</f>
        <v>227407</v>
      </c>
      <c r="C12" s="624">
        <v>0</v>
      </c>
      <c r="D12" s="624"/>
      <c r="E12" s="625">
        <v>2940</v>
      </c>
      <c r="F12" s="632">
        <v>2500</v>
      </c>
      <c r="G12" s="633">
        <v>292</v>
      </c>
      <c r="H12" s="633">
        <v>0</v>
      </c>
      <c r="I12" s="633"/>
      <c r="J12" s="633">
        <v>8696</v>
      </c>
      <c r="K12" s="628">
        <f t="shared" si="0"/>
        <v>241835</v>
      </c>
    </row>
    <row r="13" spans="1:11" ht="12.75">
      <c r="A13" s="634">
        <v>2011</v>
      </c>
      <c r="B13" s="631">
        <v>0</v>
      </c>
      <c r="C13" s="624">
        <v>0</v>
      </c>
      <c r="D13" s="624"/>
      <c r="E13" s="625">
        <v>2940</v>
      </c>
      <c r="F13" s="632">
        <v>2500</v>
      </c>
      <c r="G13" s="633">
        <v>380</v>
      </c>
      <c r="H13" s="633">
        <v>0</v>
      </c>
      <c r="I13" s="633"/>
      <c r="J13" s="633">
        <v>8696</v>
      </c>
      <c r="K13" s="628">
        <f t="shared" si="0"/>
        <v>14516</v>
      </c>
    </row>
    <row r="14" spans="1:11" ht="12.75">
      <c r="A14" s="635">
        <v>2012</v>
      </c>
      <c r="B14" s="631">
        <v>0</v>
      </c>
      <c r="C14" s="636">
        <v>0</v>
      </c>
      <c r="D14" s="636"/>
      <c r="E14" s="625">
        <v>2940</v>
      </c>
      <c r="F14" s="632">
        <v>2500</v>
      </c>
      <c r="G14" s="633">
        <v>467</v>
      </c>
      <c r="H14" s="633">
        <v>0</v>
      </c>
      <c r="I14" s="633"/>
      <c r="J14" s="633">
        <v>8696</v>
      </c>
      <c r="K14" s="637">
        <f t="shared" si="0"/>
        <v>14603</v>
      </c>
    </row>
    <row r="15" spans="1:11" ht="12.75">
      <c r="A15" s="634">
        <v>2013</v>
      </c>
      <c r="B15" s="631">
        <v>0</v>
      </c>
      <c r="C15" s="636">
        <v>0</v>
      </c>
      <c r="D15" s="638">
        <v>1075</v>
      </c>
      <c r="E15" s="625">
        <v>2940</v>
      </c>
      <c r="F15" s="632">
        <v>2500</v>
      </c>
      <c r="G15" s="639">
        <v>42</v>
      </c>
      <c r="H15" s="639">
        <v>69113</v>
      </c>
      <c r="I15" s="639">
        <v>0</v>
      </c>
      <c r="J15" s="633">
        <v>8696</v>
      </c>
      <c r="K15" s="639">
        <f t="shared" si="0"/>
        <v>84366</v>
      </c>
    </row>
    <row r="16" spans="1:11" ht="12.75">
      <c r="A16" s="634">
        <v>2014</v>
      </c>
      <c r="B16" s="631">
        <v>0</v>
      </c>
      <c r="C16" s="636">
        <v>0</v>
      </c>
      <c r="D16" s="638">
        <v>1432</v>
      </c>
      <c r="E16" s="625">
        <v>2940</v>
      </c>
      <c r="F16" s="632">
        <v>2500</v>
      </c>
      <c r="G16" s="639">
        <v>0</v>
      </c>
      <c r="H16" s="639">
        <v>76792</v>
      </c>
      <c r="I16" s="639">
        <v>0</v>
      </c>
      <c r="J16" s="633">
        <v>8696</v>
      </c>
      <c r="K16" s="639">
        <f t="shared" si="0"/>
        <v>92360</v>
      </c>
    </row>
    <row r="17" spans="1:11" ht="12.75">
      <c r="A17" s="634">
        <v>2015</v>
      </c>
      <c r="B17" s="631">
        <v>0</v>
      </c>
      <c r="C17" s="636">
        <v>0</v>
      </c>
      <c r="D17" s="638">
        <v>1432</v>
      </c>
      <c r="E17" s="625">
        <v>2940</v>
      </c>
      <c r="F17" s="632">
        <v>2500</v>
      </c>
      <c r="G17" s="639">
        <v>0</v>
      </c>
      <c r="H17" s="639">
        <v>85796</v>
      </c>
      <c r="I17" s="639">
        <v>0</v>
      </c>
      <c r="J17" s="633">
        <v>8696</v>
      </c>
      <c r="K17" s="639">
        <f t="shared" si="0"/>
        <v>101364</v>
      </c>
    </row>
    <row r="18" spans="1:11" ht="12.75">
      <c r="A18" s="634">
        <v>2016</v>
      </c>
      <c r="B18" s="631">
        <v>0</v>
      </c>
      <c r="C18" s="636">
        <v>0</v>
      </c>
      <c r="D18" s="638">
        <v>1432</v>
      </c>
      <c r="E18" s="625">
        <v>2940</v>
      </c>
      <c r="F18" s="632">
        <v>2500</v>
      </c>
      <c r="G18" s="639">
        <v>0</v>
      </c>
      <c r="H18" s="639">
        <v>85796</v>
      </c>
      <c r="I18" s="639">
        <v>0</v>
      </c>
      <c r="J18" s="633">
        <v>8696</v>
      </c>
      <c r="K18" s="639">
        <f t="shared" si="0"/>
        <v>101364</v>
      </c>
    </row>
    <row r="19" spans="1:11" ht="12.75">
      <c r="A19" s="634">
        <v>2017</v>
      </c>
      <c r="B19" s="631">
        <v>0</v>
      </c>
      <c r="C19" s="636">
        <v>0</v>
      </c>
      <c r="D19" s="638">
        <v>1432</v>
      </c>
      <c r="E19" s="625">
        <v>2940</v>
      </c>
      <c r="F19" s="632">
        <v>2500</v>
      </c>
      <c r="G19" s="639">
        <v>0</v>
      </c>
      <c r="H19" s="639">
        <v>88443</v>
      </c>
      <c r="I19" s="639">
        <v>0</v>
      </c>
      <c r="J19" s="633">
        <v>8696</v>
      </c>
      <c r="K19" s="639">
        <f t="shared" si="0"/>
        <v>104011</v>
      </c>
    </row>
    <row r="20" spans="1:11" ht="12.75">
      <c r="A20" s="634">
        <v>2018</v>
      </c>
      <c r="B20" s="631">
        <v>0</v>
      </c>
      <c r="C20" s="636">
        <v>0</v>
      </c>
      <c r="D20" s="638">
        <v>1432</v>
      </c>
      <c r="E20" s="625">
        <v>2940</v>
      </c>
      <c r="F20" s="632">
        <v>2500</v>
      </c>
      <c r="G20" s="639">
        <v>0</v>
      </c>
      <c r="H20" s="639">
        <v>94798</v>
      </c>
      <c r="I20" s="639"/>
      <c r="J20" s="633">
        <v>8696</v>
      </c>
      <c r="K20" s="639">
        <f t="shared" si="0"/>
        <v>110366</v>
      </c>
    </row>
    <row r="21" spans="1:11" ht="12.75">
      <c r="A21" s="634">
        <v>2019</v>
      </c>
      <c r="B21" s="631">
        <v>0</v>
      </c>
      <c r="C21" s="636">
        <v>0</v>
      </c>
      <c r="D21" s="638">
        <v>1432</v>
      </c>
      <c r="E21" s="625">
        <v>2940</v>
      </c>
      <c r="F21" s="632">
        <v>2500</v>
      </c>
      <c r="G21" s="639">
        <v>0</v>
      </c>
      <c r="H21" s="639">
        <v>96387</v>
      </c>
      <c r="I21" s="639"/>
      <c r="J21" s="633">
        <v>8696</v>
      </c>
      <c r="K21" s="639">
        <f t="shared" si="0"/>
        <v>111955</v>
      </c>
    </row>
    <row r="22" spans="1:11" ht="12.75">
      <c r="A22" s="634">
        <v>2020</v>
      </c>
      <c r="B22" s="631">
        <v>0</v>
      </c>
      <c r="C22" s="636">
        <v>0</v>
      </c>
      <c r="D22" s="638">
        <v>1432</v>
      </c>
      <c r="E22" s="625">
        <v>2940</v>
      </c>
      <c r="F22" s="632">
        <v>2500</v>
      </c>
      <c r="G22" s="639">
        <v>0</v>
      </c>
      <c r="H22" s="639">
        <v>97446</v>
      </c>
      <c r="I22" s="639"/>
      <c r="J22" s="633">
        <v>8696</v>
      </c>
      <c r="K22" s="639">
        <f t="shared" si="0"/>
        <v>113014</v>
      </c>
    </row>
    <row r="23" spans="1:11" ht="12.75">
      <c r="A23" s="634">
        <v>2021</v>
      </c>
      <c r="B23" s="631">
        <v>0</v>
      </c>
      <c r="C23" s="636">
        <v>0</v>
      </c>
      <c r="D23" s="638">
        <v>1432</v>
      </c>
      <c r="E23" s="625">
        <v>2940</v>
      </c>
      <c r="F23" s="632">
        <v>2500</v>
      </c>
      <c r="G23" s="639">
        <v>0</v>
      </c>
      <c r="H23" s="639">
        <v>102213</v>
      </c>
      <c r="I23" s="639"/>
      <c r="J23" s="633">
        <v>8696</v>
      </c>
      <c r="K23" s="639">
        <f t="shared" si="0"/>
        <v>117781</v>
      </c>
    </row>
    <row r="24" spans="1:11" ht="12.75">
      <c r="A24" s="634">
        <v>2022</v>
      </c>
      <c r="B24" s="631">
        <v>0</v>
      </c>
      <c r="C24" s="636">
        <v>0</v>
      </c>
      <c r="D24" s="638">
        <v>1432</v>
      </c>
      <c r="E24" s="625">
        <v>2940</v>
      </c>
      <c r="F24" s="632">
        <v>2500</v>
      </c>
      <c r="G24" s="639">
        <v>0</v>
      </c>
      <c r="H24" s="639">
        <v>105390</v>
      </c>
      <c r="I24" s="639"/>
      <c r="J24" s="633">
        <v>8696</v>
      </c>
      <c r="K24" s="639">
        <f t="shared" si="0"/>
        <v>120958</v>
      </c>
    </row>
    <row r="25" spans="1:11" ht="12.75">
      <c r="A25" s="634">
        <v>2023</v>
      </c>
      <c r="B25" s="631">
        <v>0</v>
      </c>
      <c r="C25" s="636">
        <v>0</v>
      </c>
      <c r="D25" s="638">
        <v>1432</v>
      </c>
      <c r="E25" s="625">
        <v>2940</v>
      </c>
      <c r="F25" s="632">
        <v>2500</v>
      </c>
      <c r="G25" s="639">
        <v>0</v>
      </c>
      <c r="H25" s="639">
        <v>108038</v>
      </c>
      <c r="I25" s="639"/>
      <c r="J25" s="633">
        <v>8696</v>
      </c>
      <c r="K25" s="639">
        <f t="shared" si="0"/>
        <v>123606</v>
      </c>
    </row>
    <row r="26" spans="1:11" ht="12.75">
      <c r="A26" s="634">
        <v>2024</v>
      </c>
      <c r="B26" s="631">
        <v>0</v>
      </c>
      <c r="C26" s="636">
        <v>0</v>
      </c>
      <c r="D26" s="638">
        <v>1432</v>
      </c>
      <c r="E26" s="625">
        <v>2940</v>
      </c>
      <c r="F26" s="632">
        <v>2500</v>
      </c>
      <c r="G26" s="639">
        <v>0</v>
      </c>
      <c r="H26" s="639">
        <v>112804</v>
      </c>
      <c r="I26" s="639"/>
      <c r="J26" s="633">
        <v>8253</v>
      </c>
      <c r="K26" s="639">
        <f t="shared" si="0"/>
        <v>127929</v>
      </c>
    </row>
    <row r="27" spans="1:11" ht="12.75">
      <c r="A27" s="635">
        <v>2025</v>
      </c>
      <c r="B27" s="640">
        <v>0</v>
      </c>
      <c r="C27" s="636">
        <v>0</v>
      </c>
      <c r="D27" s="638">
        <v>1432</v>
      </c>
      <c r="E27" s="636">
        <v>2960</v>
      </c>
      <c r="F27" s="641">
        <v>625</v>
      </c>
      <c r="G27" s="642">
        <v>0</v>
      </c>
      <c r="H27" s="642">
        <v>118630</v>
      </c>
      <c r="I27" s="642"/>
      <c r="J27" s="643"/>
      <c r="K27" s="642">
        <f t="shared" si="0"/>
        <v>123647</v>
      </c>
    </row>
    <row r="28" spans="1:11" ht="12.75">
      <c r="A28" s="634">
        <v>2026</v>
      </c>
      <c r="B28" s="631"/>
      <c r="C28" s="624"/>
      <c r="D28" s="638">
        <v>1432</v>
      </c>
      <c r="E28" s="624"/>
      <c r="F28" s="644"/>
      <c r="G28" s="639"/>
      <c r="H28" s="639">
        <v>126045</v>
      </c>
      <c r="I28" s="639"/>
      <c r="J28" s="645"/>
      <c r="K28" s="642">
        <f aca="true" t="shared" si="1" ref="K28:K35">SUM(B28:J28)</f>
        <v>127477</v>
      </c>
    </row>
    <row r="29" spans="1:11" ht="12.75">
      <c r="A29" s="634">
        <v>2027</v>
      </c>
      <c r="B29" s="631"/>
      <c r="C29" s="624"/>
      <c r="D29" s="638">
        <v>1432</v>
      </c>
      <c r="E29" s="624"/>
      <c r="F29" s="644"/>
      <c r="G29" s="639"/>
      <c r="H29" s="639">
        <v>67789</v>
      </c>
      <c r="I29" s="639"/>
      <c r="J29" s="645"/>
      <c r="K29" s="642">
        <f t="shared" si="1"/>
        <v>69221</v>
      </c>
    </row>
    <row r="30" spans="1:11" ht="12.75">
      <c r="A30" s="634">
        <v>2028</v>
      </c>
      <c r="B30" s="631"/>
      <c r="C30" s="624"/>
      <c r="D30" s="638">
        <v>1432</v>
      </c>
      <c r="E30" s="624"/>
      <c r="F30" s="644"/>
      <c r="G30" s="639"/>
      <c r="H30" s="639">
        <v>1570000</v>
      </c>
      <c r="I30" s="639"/>
      <c r="J30" s="645"/>
      <c r="K30" s="642">
        <f t="shared" si="1"/>
        <v>1571432</v>
      </c>
    </row>
    <row r="31" spans="1:11" ht="12.75">
      <c r="A31" s="634">
        <v>2029</v>
      </c>
      <c r="B31" s="631"/>
      <c r="C31" s="624"/>
      <c r="D31" s="638">
        <v>1432</v>
      </c>
      <c r="E31" s="624"/>
      <c r="F31" s="644"/>
      <c r="G31" s="639"/>
      <c r="H31" s="639">
        <v>0</v>
      </c>
      <c r="I31" s="639"/>
      <c r="J31" s="645"/>
      <c r="K31" s="642">
        <f t="shared" si="1"/>
        <v>1432</v>
      </c>
    </row>
    <row r="32" spans="1:11" ht="12.75">
      <c r="A32" s="634">
        <v>2030</v>
      </c>
      <c r="B32" s="631"/>
      <c r="C32" s="624"/>
      <c r="D32" s="638">
        <v>1432</v>
      </c>
      <c r="E32" s="624"/>
      <c r="F32" s="644"/>
      <c r="G32" s="639"/>
      <c r="H32" s="639">
        <v>0</v>
      </c>
      <c r="I32" s="639"/>
      <c r="J32" s="645"/>
      <c r="K32" s="642">
        <f t="shared" si="1"/>
        <v>1432</v>
      </c>
    </row>
    <row r="33" spans="1:11" ht="12.75">
      <c r="A33" s="634">
        <v>2031</v>
      </c>
      <c r="B33" s="631"/>
      <c r="C33" s="624"/>
      <c r="D33" s="638">
        <v>1432</v>
      </c>
      <c r="E33" s="624"/>
      <c r="F33" s="644"/>
      <c r="G33" s="639"/>
      <c r="H33" s="639">
        <v>0</v>
      </c>
      <c r="I33" s="639"/>
      <c r="J33" s="645"/>
      <c r="K33" s="642">
        <f t="shared" si="1"/>
        <v>1432</v>
      </c>
    </row>
    <row r="34" spans="1:11" ht="12.75">
      <c r="A34" s="634">
        <v>2032</v>
      </c>
      <c r="B34" s="631"/>
      <c r="C34" s="624"/>
      <c r="D34" s="638">
        <v>1432</v>
      </c>
      <c r="E34" s="624"/>
      <c r="F34" s="644"/>
      <c r="G34" s="639"/>
      <c r="H34" s="639">
        <v>0</v>
      </c>
      <c r="I34" s="639"/>
      <c r="J34" s="645"/>
      <c r="K34" s="639">
        <f t="shared" si="1"/>
        <v>1432</v>
      </c>
    </row>
    <row r="35" spans="1:11" ht="12.75">
      <c r="A35" s="646">
        <v>2033</v>
      </c>
      <c r="B35" s="358"/>
      <c r="C35" s="358"/>
      <c r="D35" s="358">
        <v>645</v>
      </c>
      <c r="E35" s="358"/>
      <c r="F35" s="244"/>
      <c r="G35" s="647"/>
      <c r="H35" s="202">
        <v>0</v>
      </c>
      <c r="I35" s="647"/>
      <c r="J35" s="647"/>
      <c r="K35" s="648">
        <f t="shared" si="1"/>
        <v>645</v>
      </c>
    </row>
    <row r="36" spans="1:11" ht="12.75">
      <c r="A36" s="649"/>
      <c r="B36" s="37"/>
      <c r="C36" s="37"/>
      <c r="D36" s="37"/>
      <c r="E36" s="37"/>
      <c r="F36" s="37"/>
      <c r="G36" s="37"/>
      <c r="H36" s="37"/>
      <c r="I36" s="37"/>
      <c r="J36" s="37"/>
      <c r="K36" s="650"/>
    </row>
    <row r="37" spans="1:11" ht="12.75">
      <c r="A37" s="649"/>
      <c r="B37" s="37"/>
      <c r="C37" s="37"/>
      <c r="D37" s="37"/>
      <c r="E37" s="37"/>
      <c r="F37" s="37"/>
      <c r="G37" s="37"/>
      <c r="H37" s="37"/>
      <c r="I37" s="37"/>
      <c r="J37" s="37"/>
      <c r="K37" s="650"/>
    </row>
    <row r="38" spans="1:11" ht="12.75">
      <c r="A38" s="649"/>
      <c r="B38" s="37"/>
      <c r="C38" s="37"/>
      <c r="D38" s="37"/>
      <c r="E38" s="37"/>
      <c r="F38" s="37"/>
      <c r="G38" s="37"/>
      <c r="H38" s="37"/>
      <c r="I38" s="37"/>
      <c r="J38" s="37"/>
      <c r="K38" s="650"/>
    </row>
    <row r="39" spans="1:11" ht="12.75">
      <c r="A39" s="649"/>
      <c r="B39" s="37"/>
      <c r="C39" s="37"/>
      <c r="D39" s="37"/>
      <c r="E39" s="37"/>
      <c r="F39" s="37"/>
      <c r="G39" s="37"/>
      <c r="H39" s="37"/>
      <c r="I39" s="37"/>
      <c r="J39" s="37"/>
      <c r="K39" s="650"/>
    </row>
    <row r="40" spans="1:11" ht="12.75">
      <c r="A40" s="81" t="s">
        <v>720</v>
      </c>
      <c r="B40" s="651">
        <f>SUM(B11:B35)</f>
        <v>227407</v>
      </c>
      <c r="C40" s="651">
        <f aca="true" t="shared" si="2" ref="C40:K40">SUM(C11:C35)</f>
        <v>0</v>
      </c>
      <c r="D40" s="651">
        <f t="shared" si="2"/>
        <v>28928</v>
      </c>
      <c r="E40" s="651">
        <f t="shared" si="2"/>
        <v>50000</v>
      </c>
      <c r="F40" s="651">
        <f t="shared" si="2"/>
        <v>40000</v>
      </c>
      <c r="G40" s="651">
        <f t="shared" si="2"/>
        <v>1399</v>
      </c>
      <c r="H40" s="651">
        <f t="shared" si="2"/>
        <v>3005480</v>
      </c>
      <c r="I40" s="651">
        <f t="shared" si="2"/>
        <v>0</v>
      </c>
      <c r="J40" s="651">
        <f t="shared" si="2"/>
        <v>138693</v>
      </c>
      <c r="K40" s="651">
        <f t="shared" si="2"/>
        <v>3491907</v>
      </c>
    </row>
  </sheetData>
  <sheetProtection/>
  <mergeCells count="7">
    <mergeCell ref="F1:K1"/>
    <mergeCell ref="A3:K3"/>
    <mergeCell ref="A4:K4"/>
    <mergeCell ref="A6:A7"/>
    <mergeCell ref="B6:C6"/>
    <mergeCell ref="D6:J6"/>
    <mergeCell ref="K6:K7"/>
  </mergeCells>
  <printOptions/>
  <pageMargins left="0.5902777777777778" right="0.5902777777777778" top="0.5902777777777778" bottom="0.5902777777777779" header="0.5118055555555556" footer="0.5118055555555556"/>
  <pageSetup horizontalDpi="300" verticalDpi="300" orientation="landscape" paperSize="9" r:id="rId1"/>
  <headerFooter alignWithMargins="0">
    <oddFooter>&amp;C                                                                               **     A kötvény visszafizetését a kibocsátáskori MNB által közölt € árfolyamon számítva tartalmazza a táblázat.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22">
      <selection activeCell="A19" sqref="A19"/>
    </sheetView>
  </sheetViews>
  <sheetFormatPr defaultColWidth="9.140625" defaultRowHeight="12.75"/>
  <cols>
    <col min="1" max="1" width="40.28125" style="0" customWidth="1"/>
    <col min="2" max="2" width="19.28125" style="0" customWidth="1"/>
    <col min="3" max="3" width="21.28125" style="0" customWidth="1"/>
  </cols>
  <sheetData>
    <row r="1" ht="12.75">
      <c r="C1" s="652" t="s">
        <v>721</v>
      </c>
    </row>
    <row r="5" spans="1:3" ht="15.75">
      <c r="A5" s="1219" t="s">
        <v>722</v>
      </c>
      <c r="B5" s="1219"/>
      <c r="C5" s="1219"/>
    </row>
    <row r="6" spans="1:3" ht="15.75">
      <c r="A6" s="1176" t="s">
        <v>723</v>
      </c>
      <c r="B6" s="1176"/>
      <c r="C6" s="1176"/>
    </row>
    <row r="7" spans="1:3" ht="15.75">
      <c r="A7" s="1176" t="s">
        <v>724</v>
      </c>
      <c r="B7" s="1176"/>
      <c r="C7" s="1176"/>
    </row>
    <row r="8" spans="1:3" ht="15.75">
      <c r="A8" s="27"/>
      <c r="B8" s="27"/>
      <c r="C8" s="27"/>
    </row>
    <row r="12" ht="12.75">
      <c r="C12" s="369" t="s">
        <v>33</v>
      </c>
    </row>
    <row r="13" spans="1:3" ht="38.25">
      <c r="A13" s="464" t="s">
        <v>5</v>
      </c>
      <c r="B13" s="119" t="s">
        <v>725</v>
      </c>
      <c r="C13" s="653" t="s">
        <v>726</v>
      </c>
    </row>
    <row r="14" spans="1:3" ht="15">
      <c r="A14" s="585" t="s">
        <v>727</v>
      </c>
      <c r="B14" s="654">
        <v>5000</v>
      </c>
      <c r="C14" s="655" t="s">
        <v>728</v>
      </c>
    </row>
    <row r="15" spans="1:3" ht="15">
      <c r="A15" s="390" t="s">
        <v>729</v>
      </c>
      <c r="B15" s="656">
        <v>1000</v>
      </c>
      <c r="C15" s="657" t="s">
        <v>728</v>
      </c>
    </row>
    <row r="16" spans="1:3" ht="15">
      <c r="A16" s="390" t="s">
        <v>730</v>
      </c>
      <c r="B16" s="656">
        <v>0</v>
      </c>
      <c r="C16" s="657" t="s">
        <v>728</v>
      </c>
    </row>
    <row r="17" spans="1:3" ht="15">
      <c r="A17" s="586"/>
      <c r="B17" s="658"/>
      <c r="C17" s="659"/>
    </row>
    <row r="18" spans="1:3" ht="12.75">
      <c r="A18" s="295"/>
      <c r="B18" s="235"/>
      <c r="C18" s="660"/>
    </row>
    <row r="19" spans="1:3" ht="15.75">
      <c r="A19" s="370" t="s">
        <v>449</v>
      </c>
      <c r="B19" s="468">
        <f>SUM(B14:B17)</f>
        <v>6000</v>
      </c>
      <c r="C19" s="583"/>
    </row>
  </sheetData>
  <sheetProtection/>
  <mergeCells count="3">
    <mergeCell ref="A5:C5"/>
    <mergeCell ref="A6:C6"/>
    <mergeCell ref="A7:C7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9">
      <selection activeCell="A42" sqref="A42"/>
    </sheetView>
  </sheetViews>
  <sheetFormatPr defaultColWidth="9.140625" defaultRowHeight="12.75"/>
  <cols>
    <col min="1" max="1" width="58.57421875" style="0" customWidth="1"/>
    <col min="2" max="2" width="22.7109375" style="0" customWidth="1"/>
  </cols>
  <sheetData>
    <row r="1" spans="1:2" ht="14.25">
      <c r="A1" s="661"/>
      <c r="B1" s="662" t="s">
        <v>731</v>
      </c>
    </row>
    <row r="2" spans="1:2" ht="12" customHeight="1">
      <c r="A2" s="661"/>
      <c r="B2" s="662"/>
    </row>
    <row r="3" spans="1:5" ht="15.75">
      <c r="A3" s="1241" t="s">
        <v>722</v>
      </c>
      <c r="B3" s="1241"/>
      <c r="C3" s="463"/>
      <c r="D3" s="463"/>
      <c r="E3" s="463"/>
    </row>
    <row r="4" spans="1:5" ht="15.75">
      <c r="A4" s="1242" t="s">
        <v>732</v>
      </c>
      <c r="B4" s="1242"/>
      <c r="C4" s="27"/>
      <c r="D4" s="27"/>
      <c r="E4" s="27"/>
    </row>
    <row r="5" spans="1:2" ht="12.75">
      <c r="A5" s="663"/>
      <c r="B5" s="664"/>
    </row>
    <row r="6" spans="1:2" ht="12.75">
      <c r="A6" s="663"/>
      <c r="B6" s="665" t="s">
        <v>33</v>
      </c>
    </row>
    <row r="7" spans="1:2" ht="12.75">
      <c r="A7" s="1244" t="s">
        <v>733</v>
      </c>
      <c r="B7" s="1245" t="s">
        <v>734</v>
      </c>
    </row>
    <row r="8" spans="1:2" ht="12.75">
      <c r="A8" s="1244"/>
      <c r="B8" s="1245"/>
    </row>
    <row r="9" spans="1:2" ht="15.75">
      <c r="A9" s="666" t="s">
        <v>735</v>
      </c>
      <c r="B9" s="667">
        <v>0</v>
      </c>
    </row>
    <row r="10" spans="1:2" ht="15.75">
      <c r="A10" s="668" t="s">
        <v>736</v>
      </c>
      <c r="B10" s="669"/>
    </row>
    <row r="11" spans="1:2" ht="15.75">
      <c r="A11" s="670" t="s">
        <v>737</v>
      </c>
      <c r="B11" s="671">
        <v>1200</v>
      </c>
    </row>
    <row r="12" spans="1:2" ht="15.75">
      <c r="A12" s="672"/>
      <c r="B12" s="673"/>
    </row>
    <row r="13" spans="1:2" ht="15.75">
      <c r="A13" s="674"/>
      <c r="B13" s="675"/>
    </row>
    <row r="14" spans="1:2" ht="15.75">
      <c r="A14" s="674" t="s">
        <v>738</v>
      </c>
      <c r="B14" s="671"/>
    </row>
    <row r="15" spans="1:2" ht="15.75">
      <c r="A15" s="674"/>
      <c r="B15" s="675"/>
    </row>
    <row r="16" spans="1:2" ht="31.5">
      <c r="A16" s="676" t="s">
        <v>739</v>
      </c>
      <c r="B16" s="677">
        <v>9300</v>
      </c>
    </row>
    <row r="17" spans="1:2" ht="15.75">
      <c r="A17" s="678" t="s">
        <v>740</v>
      </c>
      <c r="B17" s="679">
        <f>SUM(B10:B16)</f>
        <v>10500</v>
      </c>
    </row>
    <row r="18" spans="1:2" ht="12.75">
      <c r="A18" s="661"/>
      <c r="B18" s="661"/>
    </row>
    <row r="19" spans="1:2" ht="12.75">
      <c r="A19" s="1240" t="s">
        <v>741</v>
      </c>
      <c r="B19" s="1240"/>
    </row>
    <row r="20" spans="1:2" ht="12.75">
      <c r="A20" s="1240" t="s">
        <v>742</v>
      </c>
      <c r="B20" s="1240"/>
    </row>
    <row r="21" spans="1:2" ht="13.5" customHeight="1">
      <c r="A21" s="1240" t="s">
        <v>743</v>
      </c>
      <c r="B21" s="1240"/>
    </row>
    <row r="22" spans="1:2" ht="13.5" customHeight="1">
      <c r="A22" s="680" t="s">
        <v>744</v>
      </c>
      <c r="B22" s="680"/>
    </row>
    <row r="23" spans="1:2" ht="12.75">
      <c r="A23" s="661"/>
      <c r="B23" s="661"/>
    </row>
    <row r="24" spans="1:2" ht="12.75">
      <c r="A24" s="661" t="s">
        <v>745</v>
      </c>
      <c r="B24" s="661"/>
    </row>
    <row r="25" spans="1:2" ht="12.75">
      <c r="A25" s="661" t="s">
        <v>746</v>
      </c>
      <c r="B25" s="661"/>
    </row>
    <row r="26" spans="1:2" ht="12.75">
      <c r="A26" s="661"/>
      <c r="B26" s="661"/>
    </row>
    <row r="27" spans="1:2" ht="12.75">
      <c r="A27" s="661"/>
      <c r="B27" s="661"/>
    </row>
    <row r="28" spans="1:2" ht="12.75">
      <c r="A28" s="661"/>
      <c r="B28" s="661"/>
    </row>
    <row r="29" spans="1:2" ht="14.25">
      <c r="A29" s="661"/>
      <c r="B29" s="662" t="s">
        <v>747</v>
      </c>
    </row>
    <row r="30" spans="1:2" ht="14.25">
      <c r="A30" s="661"/>
      <c r="B30" s="681"/>
    </row>
    <row r="31" spans="1:2" ht="15.75">
      <c r="A31" s="1241" t="s">
        <v>722</v>
      </c>
      <c r="B31" s="1241"/>
    </row>
    <row r="32" spans="1:2" ht="15.75">
      <c r="A32" s="1242" t="s">
        <v>748</v>
      </c>
      <c r="B32" s="1242"/>
    </row>
    <row r="33" spans="1:2" ht="12.75">
      <c r="A33" s="1243"/>
      <c r="B33" s="1243"/>
    </row>
    <row r="34" spans="1:2" ht="12.75">
      <c r="A34" s="661"/>
      <c r="B34" s="664" t="s">
        <v>33</v>
      </c>
    </row>
    <row r="35" spans="1:2" ht="12.75">
      <c r="A35" s="682" t="s">
        <v>749</v>
      </c>
      <c r="B35" s="683" t="s">
        <v>750</v>
      </c>
    </row>
    <row r="36" spans="1:2" ht="12.75">
      <c r="A36" s="684" t="s">
        <v>751</v>
      </c>
      <c r="B36" s="685">
        <v>3191114</v>
      </c>
    </row>
    <row r="37" spans="1:2" ht="12.75">
      <c r="A37" s="684" t="s">
        <v>752</v>
      </c>
      <c r="B37" s="686">
        <f>'1_sz_ melléklet'!B29</f>
        <v>4959235</v>
      </c>
    </row>
    <row r="38" spans="1:2" ht="12.75">
      <c r="A38" s="684" t="s">
        <v>753</v>
      </c>
      <c r="B38" s="687">
        <f>'1_sz_ melléklet'!D29</f>
        <v>4959235</v>
      </c>
    </row>
    <row r="39" spans="1:2" ht="12.75">
      <c r="A39" s="688" t="s">
        <v>754</v>
      </c>
      <c r="B39" s="689">
        <f>B36+B37-B38</f>
        <v>3191114</v>
      </c>
    </row>
  </sheetData>
  <sheetProtection/>
  <mergeCells count="10">
    <mergeCell ref="A21:B21"/>
    <mergeCell ref="A31:B31"/>
    <mergeCell ref="A32:B32"/>
    <mergeCell ref="A33:B33"/>
    <mergeCell ref="A3:B3"/>
    <mergeCell ref="A4:B4"/>
    <mergeCell ref="A7:A8"/>
    <mergeCell ref="B7:B8"/>
    <mergeCell ref="A19:B19"/>
    <mergeCell ref="A20:B20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9">
      <selection activeCell="A38" sqref="A38"/>
    </sheetView>
  </sheetViews>
  <sheetFormatPr defaultColWidth="9.140625" defaultRowHeight="12.75"/>
  <cols>
    <col min="1" max="1" width="26.28125" style="0" customWidth="1"/>
    <col min="2" max="2" width="24.28125" style="0" customWidth="1"/>
    <col min="3" max="3" width="21.57421875" style="0" customWidth="1"/>
    <col min="4" max="4" width="16.7109375" style="0" customWidth="1"/>
    <col min="5" max="5" width="18.00390625" style="0" customWidth="1"/>
    <col min="6" max="6" width="16.28125" style="0" customWidth="1"/>
  </cols>
  <sheetData>
    <row r="1" spans="5:6" ht="15">
      <c r="E1" s="1185" t="s">
        <v>755</v>
      </c>
      <c r="F1" s="1185"/>
    </row>
    <row r="2" ht="15.75">
      <c r="C2" s="29" t="s">
        <v>756</v>
      </c>
    </row>
    <row r="3" spans="1:6" ht="12.75">
      <c r="A3" s="1196" t="s">
        <v>757</v>
      </c>
      <c r="B3" s="1196"/>
      <c r="C3" s="1196"/>
      <c r="D3" s="1196"/>
      <c r="E3" s="1196"/>
      <c r="F3" s="1196"/>
    </row>
    <row r="4" spans="2:4" ht="12.75">
      <c r="B4" s="462"/>
      <c r="C4" s="462" t="s">
        <v>758</v>
      </c>
      <c r="D4" s="462"/>
    </row>
    <row r="5" ht="12.75">
      <c r="F5" s="31" t="s">
        <v>33</v>
      </c>
    </row>
    <row r="6" spans="1:6" ht="12.75">
      <c r="A6" s="1247" t="s">
        <v>759</v>
      </c>
      <c r="B6" s="1248" t="s">
        <v>760</v>
      </c>
      <c r="C6" s="690" t="s">
        <v>761</v>
      </c>
      <c r="D6" s="691" t="s">
        <v>557</v>
      </c>
      <c r="E6" s="690" t="s">
        <v>762</v>
      </c>
      <c r="F6" s="692" t="s">
        <v>763</v>
      </c>
    </row>
    <row r="7" spans="1:6" ht="12.75">
      <c r="A7" s="1247"/>
      <c r="B7" s="1247"/>
      <c r="C7" s="579" t="s">
        <v>764</v>
      </c>
      <c r="D7" s="693" t="s">
        <v>765</v>
      </c>
      <c r="E7" s="579" t="s">
        <v>766</v>
      </c>
      <c r="F7" s="694" t="s">
        <v>767</v>
      </c>
    </row>
    <row r="8" spans="1:6" ht="12.75">
      <c r="A8" s="1247"/>
      <c r="B8" s="1248"/>
      <c r="C8" s="582" t="s">
        <v>768</v>
      </c>
      <c r="D8" s="695" t="s">
        <v>769</v>
      </c>
      <c r="E8" s="582" t="s">
        <v>769</v>
      </c>
      <c r="F8" s="696" t="s">
        <v>770</v>
      </c>
    </row>
    <row r="9" spans="1:6" ht="12.75">
      <c r="A9" s="88" t="s">
        <v>771</v>
      </c>
      <c r="B9" s="177" t="s">
        <v>772</v>
      </c>
      <c r="C9" s="69"/>
      <c r="D9" s="49"/>
      <c r="E9" s="69"/>
      <c r="F9" s="94"/>
    </row>
    <row r="10" spans="1:6" ht="12.75">
      <c r="A10" s="88" t="s">
        <v>771</v>
      </c>
      <c r="B10" s="426" t="s">
        <v>773</v>
      </c>
      <c r="C10" s="39"/>
      <c r="D10" s="40"/>
      <c r="E10" s="39"/>
      <c r="F10" s="56"/>
    </row>
    <row r="11" spans="1:6" ht="12.75">
      <c r="A11" s="88" t="s">
        <v>771</v>
      </c>
      <c r="B11" s="19" t="s">
        <v>774</v>
      </c>
      <c r="C11" s="48"/>
      <c r="D11" s="49"/>
      <c r="E11" s="48"/>
      <c r="F11" s="94"/>
    </row>
    <row r="12" spans="1:6" ht="12.75">
      <c r="A12" s="88" t="s">
        <v>771</v>
      </c>
      <c r="B12" s="426" t="s">
        <v>775</v>
      </c>
      <c r="C12" s="39"/>
      <c r="D12" s="40"/>
      <c r="E12" s="58"/>
      <c r="F12" s="59"/>
    </row>
    <row r="13" spans="1:6" ht="12.75">
      <c r="A13" s="88" t="s">
        <v>771</v>
      </c>
      <c r="B13" s="426"/>
      <c r="C13" s="39"/>
      <c r="D13" s="40"/>
      <c r="E13" s="39"/>
      <c r="F13" s="56"/>
    </row>
    <row r="14" spans="1:6" ht="12.75">
      <c r="A14" s="88" t="s">
        <v>771</v>
      </c>
      <c r="B14" s="8"/>
      <c r="C14" s="8"/>
      <c r="D14" s="341"/>
      <c r="E14" s="8"/>
      <c r="F14" s="349"/>
    </row>
    <row r="15" spans="1:6" ht="12.75">
      <c r="A15" s="88" t="s">
        <v>771</v>
      </c>
      <c r="B15" s="426"/>
      <c r="C15" s="39"/>
      <c r="D15" s="40"/>
      <c r="E15" s="39"/>
      <c r="F15" s="56"/>
    </row>
    <row r="16" spans="1:6" ht="12.75">
      <c r="A16" s="88" t="s">
        <v>771</v>
      </c>
      <c r="B16" s="426"/>
      <c r="C16" s="39"/>
      <c r="D16" s="40"/>
      <c r="E16" s="39"/>
      <c r="F16" s="56"/>
    </row>
    <row r="17" spans="1:6" ht="12.75">
      <c r="A17" s="88" t="s">
        <v>771</v>
      </c>
      <c r="B17" s="426"/>
      <c r="C17" s="39"/>
      <c r="D17" s="40"/>
      <c r="E17" s="39"/>
      <c r="F17" s="56"/>
    </row>
    <row r="18" spans="1:6" ht="12.75">
      <c r="A18" s="88" t="s">
        <v>771</v>
      </c>
      <c r="B18" s="8"/>
      <c r="C18" s="8"/>
      <c r="D18" s="341"/>
      <c r="E18" s="8"/>
      <c r="F18" s="349"/>
    </row>
    <row r="19" spans="1:6" ht="12.75">
      <c r="A19" s="295"/>
      <c r="B19" s="426"/>
      <c r="C19" s="39"/>
      <c r="D19" s="40"/>
      <c r="E19" s="39"/>
      <c r="F19" s="56"/>
    </row>
    <row r="20" spans="1:6" ht="12.75">
      <c r="A20" s="88"/>
      <c r="B20" s="426"/>
      <c r="C20" s="39"/>
      <c r="D20" s="40"/>
      <c r="E20" s="39"/>
      <c r="F20" s="56"/>
    </row>
    <row r="21" spans="1:6" ht="12.75">
      <c r="A21" s="250" t="s">
        <v>182</v>
      </c>
      <c r="B21" s="582" t="s">
        <v>776</v>
      </c>
      <c r="C21" s="190">
        <f>SUM(C9:C20)</f>
        <v>0</v>
      </c>
      <c r="D21" s="697">
        <f>SUM(D9:D20)</f>
        <v>0</v>
      </c>
      <c r="E21" s="190">
        <f>SUM(E9:E20)</f>
        <v>0</v>
      </c>
      <c r="F21" s="352">
        <f>SUM(F9:F20)</f>
        <v>0</v>
      </c>
    </row>
    <row r="22" spans="1:6" ht="12.75">
      <c r="A22" s="37"/>
      <c r="B22" s="693"/>
      <c r="C22" s="72"/>
      <c r="D22" s="72"/>
      <c r="E22" s="72"/>
      <c r="F22" s="72"/>
    </row>
    <row r="23" spans="5:6" ht="15">
      <c r="E23" s="1185" t="s">
        <v>777</v>
      </c>
      <c r="F23" s="1185"/>
    </row>
    <row r="24" spans="1:6" ht="15.75">
      <c r="A24" s="1176" t="s">
        <v>778</v>
      </c>
      <c r="B24" s="1176"/>
      <c r="C24" s="1176"/>
      <c r="D24" s="1176"/>
      <c r="E24" s="1176"/>
      <c r="F24" s="1176"/>
    </row>
    <row r="25" spans="1:6" ht="12.75">
      <c r="A25" s="1196" t="s">
        <v>779</v>
      </c>
      <c r="B25" s="1196"/>
      <c r="C25" s="1196"/>
      <c r="D25" s="1196"/>
      <c r="E25" s="1196"/>
      <c r="F25" s="1196"/>
    </row>
    <row r="26" spans="1:6" ht="12.75">
      <c r="A26" s="1196" t="s">
        <v>780</v>
      </c>
      <c r="B26" s="1196"/>
      <c r="C26" s="1196"/>
      <c r="D26" s="1196"/>
      <c r="E26" s="1196"/>
      <c r="F26" s="1196"/>
    </row>
    <row r="27" spans="2:6" ht="12.75">
      <c r="B27" s="462"/>
      <c r="C27" s="462"/>
      <c r="D27" s="462"/>
      <c r="F27" s="31" t="s">
        <v>33</v>
      </c>
    </row>
    <row r="28" spans="1:6" ht="12.75">
      <c r="A28" s="1246" t="s">
        <v>781</v>
      </c>
      <c r="B28" s="1246"/>
      <c r="C28" s="690" t="s">
        <v>782</v>
      </c>
      <c r="D28" s="691" t="s">
        <v>783</v>
      </c>
      <c r="E28" s="690" t="s">
        <v>784</v>
      </c>
      <c r="F28" s="692" t="s">
        <v>785</v>
      </c>
    </row>
    <row r="29" spans="1:6" ht="12.75">
      <c r="A29" s="1246"/>
      <c r="B29" s="1246"/>
      <c r="C29" s="579" t="s">
        <v>764</v>
      </c>
      <c r="D29" s="693" t="s">
        <v>786</v>
      </c>
      <c r="E29" s="579" t="s">
        <v>787</v>
      </c>
      <c r="F29" s="694" t="s">
        <v>788</v>
      </c>
    </row>
    <row r="30" spans="1:6" ht="12.75">
      <c r="A30" s="1246"/>
      <c r="B30" s="1246"/>
      <c r="C30" s="582" t="s">
        <v>789</v>
      </c>
      <c r="D30" s="695" t="s">
        <v>790</v>
      </c>
      <c r="E30" s="582" t="s">
        <v>769</v>
      </c>
      <c r="F30" s="696" t="s">
        <v>791</v>
      </c>
    </row>
    <row r="31" spans="1:6" ht="12.75">
      <c r="A31" s="356"/>
      <c r="B31" s="698"/>
      <c r="C31" s="177"/>
      <c r="D31" s="178"/>
      <c r="E31" s="177"/>
      <c r="F31" s="698"/>
    </row>
    <row r="32" spans="1:6" ht="12.75">
      <c r="A32" s="87"/>
      <c r="B32" s="580"/>
      <c r="C32" s="19"/>
      <c r="D32" s="578"/>
      <c r="E32" s="19"/>
      <c r="F32" s="580"/>
    </row>
    <row r="33" spans="1:6" ht="12.75">
      <c r="A33" s="87"/>
      <c r="B33" s="580"/>
      <c r="C33" s="19"/>
      <c r="D33" s="578"/>
      <c r="E33" s="19"/>
      <c r="F33" s="580"/>
    </row>
    <row r="34" spans="1:6" ht="12.75">
      <c r="A34" s="87"/>
      <c r="B34" s="580"/>
      <c r="C34" s="19"/>
      <c r="D34" s="578"/>
      <c r="E34" s="19"/>
      <c r="F34" s="580"/>
    </row>
    <row r="35" spans="1:6" ht="12.75">
      <c r="A35" s="194"/>
      <c r="B35" s="378"/>
      <c r="C35" s="65"/>
      <c r="D35" s="37"/>
      <c r="E35" s="65"/>
      <c r="F35" s="378"/>
    </row>
    <row r="36" spans="1:6" ht="12.75">
      <c r="A36" s="90" t="s">
        <v>182</v>
      </c>
      <c r="B36" s="699"/>
      <c r="C36" s="169"/>
      <c r="D36" s="344"/>
      <c r="E36" s="169"/>
      <c r="F36" s="583"/>
    </row>
  </sheetData>
  <sheetProtection/>
  <mergeCells count="9">
    <mergeCell ref="A25:F25"/>
    <mergeCell ref="A26:F26"/>
    <mergeCell ref="A28:B30"/>
    <mergeCell ref="E1:F1"/>
    <mergeCell ref="A3:F3"/>
    <mergeCell ref="A6:A8"/>
    <mergeCell ref="B6:B8"/>
    <mergeCell ref="E23:F23"/>
    <mergeCell ref="A24:F24"/>
  </mergeCells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9">
      <selection activeCell="A33" sqref="A33"/>
    </sheetView>
  </sheetViews>
  <sheetFormatPr defaultColWidth="9.140625" defaultRowHeight="12.75"/>
  <cols>
    <col min="1" max="1" width="43.140625" style="0" customWidth="1"/>
    <col min="2" max="2" width="17.140625" style="0" customWidth="1"/>
    <col min="3" max="3" width="18.140625" style="0" customWidth="1"/>
  </cols>
  <sheetData>
    <row r="1" ht="15">
      <c r="C1" s="604" t="s">
        <v>792</v>
      </c>
    </row>
    <row r="2" ht="14.25">
      <c r="C2" s="326"/>
    </row>
    <row r="3" spans="1:3" ht="15.75">
      <c r="A3" s="1219" t="s">
        <v>722</v>
      </c>
      <c r="B3" s="1219"/>
      <c r="C3" s="1219"/>
    </row>
    <row r="4" spans="1:3" ht="15.75">
      <c r="A4" s="1176" t="s">
        <v>793</v>
      </c>
      <c r="B4" s="1176"/>
      <c r="C4" s="1176"/>
    </row>
    <row r="5" spans="1:3" ht="15.75">
      <c r="A5" s="1176" t="s">
        <v>2</v>
      </c>
      <c r="B5" s="1176"/>
      <c r="C5" s="1176"/>
    </row>
    <row r="6" spans="1:3" ht="15.75">
      <c r="A6" s="27"/>
      <c r="B6" s="27"/>
      <c r="C6" s="27"/>
    </row>
    <row r="7" ht="12.75">
      <c r="C7" s="700" t="s">
        <v>80</v>
      </c>
    </row>
    <row r="8" spans="1:3" ht="15.75">
      <c r="A8" s="1249" t="s">
        <v>794</v>
      </c>
      <c r="B8" s="84" t="s">
        <v>795</v>
      </c>
      <c r="C8" s="701"/>
    </row>
    <row r="9" spans="1:3" ht="15.75">
      <c r="A9" s="1249"/>
      <c r="B9" s="702" t="s">
        <v>796</v>
      </c>
      <c r="C9" s="366" t="s">
        <v>797</v>
      </c>
    </row>
    <row r="10" spans="1:3" ht="15">
      <c r="A10" s="585" t="s">
        <v>735</v>
      </c>
      <c r="B10" s="608"/>
      <c r="C10" s="608"/>
    </row>
    <row r="11" spans="1:3" ht="15">
      <c r="A11" s="585" t="s">
        <v>798</v>
      </c>
      <c r="B11" s="608"/>
      <c r="C11" s="608"/>
    </row>
    <row r="12" spans="1:3" ht="15">
      <c r="A12" s="585"/>
      <c r="B12" s="608"/>
      <c r="C12" s="608"/>
    </row>
    <row r="13" spans="1:3" ht="15">
      <c r="A13" s="585"/>
      <c r="B13" s="608"/>
      <c r="C13" s="608"/>
    </row>
    <row r="14" spans="1:3" ht="15">
      <c r="A14" s="585"/>
      <c r="B14" s="608"/>
      <c r="C14" s="608"/>
    </row>
    <row r="15" spans="1:3" ht="15">
      <c r="A15" s="703"/>
      <c r="B15" s="704"/>
      <c r="C15" s="704"/>
    </row>
    <row r="16" spans="1:3" ht="15.75">
      <c r="A16" s="370" t="s">
        <v>182</v>
      </c>
      <c r="B16" s="705"/>
      <c r="C16" s="705"/>
    </row>
    <row r="17" spans="1:2" ht="12.75">
      <c r="A17" s="323"/>
      <c r="B17" s="37"/>
    </row>
    <row r="18" spans="1:2" ht="12.75">
      <c r="A18" s="323"/>
      <c r="B18" s="37"/>
    </row>
    <row r="19" ht="15">
      <c r="C19" s="604" t="s">
        <v>799</v>
      </c>
    </row>
    <row r="21" spans="1:3" ht="15.75">
      <c r="A21" s="1219" t="s">
        <v>722</v>
      </c>
      <c r="B21" s="1219"/>
      <c r="C21" s="1219"/>
    </row>
    <row r="22" spans="1:3" ht="15.75">
      <c r="A22" s="1176" t="s">
        <v>800</v>
      </c>
      <c r="B22" s="1176"/>
      <c r="C22" s="1176"/>
    </row>
    <row r="23" spans="1:3" ht="15.75">
      <c r="A23" s="1176" t="s">
        <v>2</v>
      </c>
      <c r="B23" s="1176"/>
      <c r="C23" s="1176"/>
    </row>
    <row r="25" ht="12.75">
      <c r="C25" s="700" t="s">
        <v>801</v>
      </c>
    </row>
    <row r="26" spans="1:3" ht="15.75">
      <c r="A26" s="1249" t="s">
        <v>5</v>
      </c>
      <c r="B26" s="84" t="s">
        <v>795</v>
      </c>
      <c r="C26" s="706"/>
    </row>
    <row r="27" spans="1:3" ht="15.75">
      <c r="A27" s="1249"/>
      <c r="B27" s="707" t="s">
        <v>796</v>
      </c>
      <c r="C27" s="366" t="s">
        <v>802</v>
      </c>
    </row>
    <row r="28" spans="1:3" ht="15">
      <c r="A28" s="708" t="s">
        <v>803</v>
      </c>
      <c r="B28" s="387"/>
      <c r="C28" s="708"/>
    </row>
    <row r="29" spans="1:3" ht="15">
      <c r="A29" s="608" t="s">
        <v>804</v>
      </c>
      <c r="B29" s="709"/>
      <c r="C29" s="608"/>
    </row>
    <row r="30" spans="1:3" ht="15">
      <c r="A30" s="608" t="s">
        <v>805</v>
      </c>
      <c r="B30" s="709"/>
      <c r="C30" s="608"/>
    </row>
    <row r="31" spans="1:3" ht="15">
      <c r="A31" s="710" t="s">
        <v>806</v>
      </c>
      <c r="B31" s="711"/>
      <c r="C31" s="710"/>
    </row>
  </sheetData>
  <sheetProtection/>
  <mergeCells count="8">
    <mergeCell ref="A23:C23"/>
    <mergeCell ref="A26:A27"/>
    <mergeCell ref="A3:C3"/>
    <mergeCell ref="A4:C4"/>
    <mergeCell ref="A5:C5"/>
    <mergeCell ref="A8:A9"/>
    <mergeCell ref="A21:C21"/>
    <mergeCell ref="A22:C22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A52" sqref="A1:D52"/>
    </sheetView>
  </sheetViews>
  <sheetFormatPr defaultColWidth="9.140625" defaultRowHeight="12.75"/>
  <cols>
    <col min="1" max="1" width="33.00390625" style="0" customWidth="1"/>
    <col min="2" max="2" width="14.28125" style="0" customWidth="1"/>
    <col min="3" max="3" width="15.140625" style="0" customWidth="1"/>
    <col min="4" max="4" width="15.7109375" style="0" customWidth="1"/>
  </cols>
  <sheetData>
    <row r="1" spans="1:4" ht="14.25">
      <c r="A1" s="26"/>
      <c r="B1" s="26"/>
      <c r="C1" s="1177" t="s">
        <v>77</v>
      </c>
      <c r="D1" s="1177"/>
    </row>
    <row r="2" spans="1:4" ht="15.75">
      <c r="A2" s="1176" t="s">
        <v>78</v>
      </c>
      <c r="B2" s="1176"/>
      <c r="C2" s="1176"/>
      <c r="D2" s="1176"/>
    </row>
    <row r="3" spans="1:4" ht="15.75">
      <c r="A3" s="1176" t="s">
        <v>79</v>
      </c>
      <c r="B3" s="1176"/>
      <c r="C3" s="1176"/>
      <c r="D3" s="1176"/>
    </row>
    <row r="4" ht="6.75" customHeight="1"/>
    <row r="5" ht="12.75">
      <c r="D5" s="31" t="s">
        <v>80</v>
      </c>
    </row>
    <row r="6" spans="1:4" ht="29.25" customHeight="1">
      <c r="A6" s="84" t="s">
        <v>81</v>
      </c>
      <c r="B6" s="85" t="s">
        <v>82</v>
      </c>
      <c r="C6" s="85" t="s">
        <v>83</v>
      </c>
      <c r="D6" s="86" t="s">
        <v>84</v>
      </c>
    </row>
    <row r="7" spans="1:4" ht="12.75">
      <c r="A7" s="68" t="s">
        <v>42</v>
      </c>
      <c r="B7" s="69"/>
      <c r="C7" s="52"/>
      <c r="D7" s="52"/>
    </row>
    <row r="8" spans="1:4" ht="12.75">
      <c r="A8" s="70" t="s">
        <v>43</v>
      </c>
      <c r="B8" s="39">
        <f>154260+13255+2148+683+2115+6954-4928</f>
        <v>174487</v>
      </c>
      <c r="C8" s="39">
        <f>199029+12673+2473+2375+8</f>
        <v>216558</v>
      </c>
      <c r="D8" s="39">
        <f>SUM(B8:C8)</f>
        <v>391045</v>
      </c>
    </row>
    <row r="9" spans="1:4" ht="12.75">
      <c r="A9" s="87" t="s">
        <v>44</v>
      </c>
      <c r="B9" s="39">
        <f>48053+2953+687+219+677-1577</f>
        <v>51012</v>
      </c>
      <c r="C9" s="48">
        <f>60938+1279+794+762</f>
        <v>63773</v>
      </c>
      <c r="D9" s="39">
        <f aca="true" t="shared" si="0" ref="D9:D15">SUM(B9:C9)</f>
        <v>114785</v>
      </c>
    </row>
    <row r="10" spans="1:4" ht="12.75">
      <c r="A10" s="87" t="s">
        <v>45</v>
      </c>
      <c r="B10" s="39">
        <f>123252+13145-3358</f>
        <v>133039</v>
      </c>
      <c r="C10" s="48">
        <f>20578+3891+15483+10000+354-8</f>
        <v>50298</v>
      </c>
      <c r="D10" s="39">
        <f t="shared" si="0"/>
        <v>183337</v>
      </c>
    </row>
    <row r="11" spans="1:4" ht="12.75">
      <c r="A11" s="87" t="s">
        <v>85</v>
      </c>
      <c r="B11" s="48">
        <v>0</v>
      </c>
      <c r="C11" s="48">
        <v>0</v>
      </c>
      <c r="D11" s="39">
        <f t="shared" si="0"/>
        <v>0</v>
      </c>
    </row>
    <row r="12" spans="1:4" ht="12.75">
      <c r="A12" s="87" t="s">
        <v>47</v>
      </c>
      <c r="B12" s="39">
        <v>0</v>
      </c>
      <c r="C12" s="48"/>
      <c r="D12" s="39">
        <f t="shared" si="0"/>
        <v>0</v>
      </c>
    </row>
    <row r="13" spans="1:4" ht="12.75">
      <c r="A13" s="88" t="s">
        <v>86</v>
      </c>
      <c r="B13" s="39">
        <v>0</v>
      </c>
      <c r="C13" s="48">
        <v>0</v>
      </c>
      <c r="D13" s="39">
        <f t="shared" si="0"/>
        <v>0</v>
      </c>
    </row>
    <row r="14" spans="1:4" ht="12.75">
      <c r="A14" s="88" t="s">
        <v>87</v>
      </c>
      <c r="B14" s="39"/>
      <c r="C14" s="48"/>
      <c r="D14" s="39">
        <f t="shared" si="0"/>
        <v>0</v>
      </c>
    </row>
    <row r="15" spans="1:4" ht="12.75">
      <c r="A15" s="89" t="s">
        <v>88</v>
      </c>
      <c r="B15" s="39">
        <v>0</v>
      </c>
      <c r="C15" s="39">
        <v>0</v>
      </c>
      <c r="D15" s="39">
        <f t="shared" si="0"/>
        <v>0</v>
      </c>
    </row>
    <row r="16" spans="1:4" s="91" customFormat="1" ht="12.75">
      <c r="A16" s="90" t="s">
        <v>89</v>
      </c>
      <c r="B16" s="16">
        <f>SUM(B8:B13)</f>
        <v>358538</v>
      </c>
      <c r="C16" s="16">
        <f>SUM(C8:C13)</f>
        <v>330629</v>
      </c>
      <c r="D16" s="16">
        <f>SUM(D8:D13)</f>
        <v>689167</v>
      </c>
    </row>
    <row r="17" spans="1:4" ht="12.75">
      <c r="A17" s="66"/>
      <c r="B17" s="52"/>
      <c r="C17" s="92"/>
      <c r="D17" s="64"/>
    </row>
    <row r="18" spans="1:4" ht="12.75">
      <c r="A18" s="93" t="s">
        <v>51</v>
      </c>
      <c r="B18" s="48"/>
      <c r="C18" s="94"/>
      <c r="D18" s="48"/>
    </row>
    <row r="19" spans="1:4" ht="12.75">
      <c r="A19" s="87" t="s">
        <v>52</v>
      </c>
      <c r="B19" s="39">
        <f>'4_sz_ melléklet'!B13</f>
        <v>1812</v>
      </c>
      <c r="C19" s="94">
        <f>'4_sz_ melléklet'!B22</f>
        <v>5306</v>
      </c>
      <c r="D19" s="48">
        <f>SUM(B19:C19)</f>
        <v>7118</v>
      </c>
    </row>
    <row r="20" spans="1:4" ht="12.75">
      <c r="A20" s="87" t="s">
        <v>90</v>
      </c>
      <c r="B20" s="39">
        <f>'3_sz_ melléklet'!B14</f>
        <v>4300</v>
      </c>
      <c r="C20" s="94">
        <f>'3_sz_ melléklet'!B10</f>
        <v>4908</v>
      </c>
      <c r="D20" s="48">
        <f>SUM(B20:C20)</f>
        <v>9208</v>
      </c>
    </row>
    <row r="21" spans="1:4" ht="12.75">
      <c r="A21" s="87" t="s">
        <v>54</v>
      </c>
      <c r="B21" s="39">
        <v>0</v>
      </c>
      <c r="C21" s="94">
        <v>0</v>
      </c>
      <c r="D21" s="48">
        <f>SUM(B21:C21)</f>
        <v>0</v>
      </c>
    </row>
    <row r="22" spans="1:4" ht="12.75">
      <c r="A22" s="95" t="s">
        <v>55</v>
      </c>
      <c r="B22" s="48">
        <f>-B11</f>
        <v>0</v>
      </c>
      <c r="C22" s="48">
        <f>-C11</f>
        <v>0</v>
      </c>
      <c r="D22" s="48">
        <f>SUM(B22:C22)</f>
        <v>0</v>
      </c>
    </row>
    <row r="23" spans="1:4" s="91" customFormat="1" ht="12.75">
      <c r="A23" s="90" t="s">
        <v>91</v>
      </c>
      <c r="B23" s="16">
        <f>SUM(B19:B22)</f>
        <v>6112</v>
      </c>
      <c r="C23" s="16">
        <f>SUM(C19:C22)</f>
        <v>10214</v>
      </c>
      <c r="D23" s="16">
        <f>SUM(D19:D22)</f>
        <v>16326</v>
      </c>
    </row>
    <row r="24" spans="1:4" ht="12.75">
      <c r="A24" s="96"/>
      <c r="B24" s="52"/>
      <c r="C24" s="72"/>
      <c r="D24" s="52"/>
    </row>
    <row r="25" spans="1:4" ht="12.75">
      <c r="A25" s="96" t="s">
        <v>92</v>
      </c>
      <c r="B25" s="64"/>
      <c r="C25" s="72"/>
      <c r="D25" s="64"/>
    </row>
    <row r="26" spans="1:4" ht="12.75">
      <c r="A26" s="97" t="s">
        <v>58</v>
      </c>
      <c r="B26" s="39"/>
      <c r="C26" s="40">
        <v>0</v>
      </c>
      <c r="D26" s="39">
        <f>SUM(B26:C26)</f>
        <v>0</v>
      </c>
    </row>
    <row r="27" spans="1:4" ht="12.75">
      <c r="A27" s="98" t="s">
        <v>59</v>
      </c>
      <c r="B27" s="78">
        <v>0</v>
      </c>
      <c r="C27" s="72">
        <v>0</v>
      </c>
      <c r="D27" s="39">
        <f>SUM(B27:C27)</f>
        <v>0</v>
      </c>
    </row>
    <row r="28" spans="1:4" s="91" customFormat="1" ht="12.75">
      <c r="A28" s="90" t="s">
        <v>93</v>
      </c>
      <c r="B28" s="16">
        <f>SUM(B26:B27)</f>
        <v>0</v>
      </c>
      <c r="C28" s="61">
        <f>SUM(C26:C27)</f>
        <v>0</v>
      </c>
      <c r="D28" s="61">
        <f>SUM(D26:D27)</f>
        <v>0</v>
      </c>
    </row>
    <row r="29" spans="1:4" ht="12.75">
      <c r="A29" s="96"/>
      <c r="B29" s="64"/>
      <c r="C29" s="64"/>
      <c r="D29" s="64"/>
    </row>
    <row r="30" spans="1:4" ht="12.75">
      <c r="A30" s="99" t="s">
        <v>94</v>
      </c>
      <c r="B30" s="64"/>
      <c r="C30" s="64"/>
      <c r="D30" s="64"/>
    </row>
    <row r="31" spans="1:4" ht="12.75">
      <c r="A31" s="97" t="s">
        <v>58</v>
      </c>
      <c r="B31" s="39">
        <v>0</v>
      </c>
      <c r="C31" s="39">
        <v>0</v>
      </c>
      <c r="D31" s="39">
        <f>SUM(B31:C31)</f>
        <v>0</v>
      </c>
    </row>
    <row r="32" spans="1:4" ht="12.75">
      <c r="A32" s="100" t="s">
        <v>59</v>
      </c>
      <c r="B32" s="58">
        <v>0</v>
      </c>
      <c r="C32" s="58">
        <v>0</v>
      </c>
      <c r="D32" s="39">
        <f>SUM(B32:C32)</f>
        <v>0</v>
      </c>
    </row>
    <row r="33" spans="1:4" ht="12.75">
      <c r="A33" s="90" t="s">
        <v>95</v>
      </c>
      <c r="B33" s="16">
        <f>B31+B32</f>
        <v>0</v>
      </c>
      <c r="C33" s="61">
        <f>C31+C32</f>
        <v>0</v>
      </c>
      <c r="D33" s="61">
        <f>D31+D32</f>
        <v>0</v>
      </c>
    </row>
    <row r="34" spans="1:4" ht="12.75">
      <c r="A34" s="96"/>
      <c r="B34" s="64"/>
      <c r="C34" s="64"/>
      <c r="D34" s="64"/>
    </row>
    <row r="35" spans="1:4" ht="12.75">
      <c r="A35" s="101" t="s">
        <v>63</v>
      </c>
      <c r="B35" s="78"/>
      <c r="C35" s="78"/>
      <c r="D35" s="78"/>
    </row>
    <row r="36" spans="1:4" ht="12.75">
      <c r="A36" s="70" t="s">
        <v>96</v>
      </c>
      <c r="B36" s="48">
        <v>0</v>
      </c>
      <c r="C36" s="48">
        <v>0</v>
      </c>
      <c r="D36" s="48">
        <f>SUM(B36:C36)</f>
        <v>0</v>
      </c>
    </row>
    <row r="37" spans="1:4" ht="12.75">
      <c r="A37" s="102" t="s">
        <v>97</v>
      </c>
      <c r="B37" s="78">
        <v>0</v>
      </c>
      <c r="C37" s="78">
        <v>0</v>
      </c>
      <c r="D37" s="39">
        <f>SUM(B37:C37)</f>
        <v>0</v>
      </c>
    </row>
    <row r="38" spans="1:4" ht="12.75">
      <c r="A38" s="66" t="s">
        <v>98</v>
      </c>
      <c r="B38" s="16">
        <f>B36+B37</f>
        <v>0</v>
      </c>
      <c r="C38" s="61">
        <f>C36+C37</f>
        <v>0</v>
      </c>
      <c r="D38" s="61">
        <f>D36+D37</f>
        <v>0</v>
      </c>
    </row>
    <row r="39" spans="1:4" ht="12.75">
      <c r="A39" s="66"/>
      <c r="B39" s="52"/>
      <c r="C39" s="52"/>
      <c r="D39" s="52"/>
    </row>
    <row r="40" spans="1:4" ht="12.75">
      <c r="A40" s="103" t="s">
        <v>67</v>
      </c>
      <c r="B40" s="39"/>
      <c r="C40" s="39"/>
      <c r="D40" s="39"/>
    </row>
    <row r="41" spans="1:4" ht="12.75">
      <c r="A41" s="70" t="s">
        <v>68</v>
      </c>
      <c r="B41" s="48">
        <v>0</v>
      </c>
      <c r="C41" s="39">
        <v>0</v>
      </c>
      <c r="D41" s="39">
        <f>SUM(B41:C41)</f>
        <v>0</v>
      </c>
    </row>
    <row r="42" spans="1:4" ht="12.75">
      <c r="A42" s="71" t="s">
        <v>69</v>
      </c>
      <c r="B42" s="48">
        <v>0</v>
      </c>
      <c r="C42" s="64">
        <v>0</v>
      </c>
      <c r="D42" s="39">
        <f>SUM(B42:C42)</f>
        <v>0</v>
      </c>
    </row>
    <row r="43" spans="1:4" ht="12.75">
      <c r="A43" s="90" t="s">
        <v>70</v>
      </c>
      <c r="B43" s="60">
        <f>B41+B42</f>
        <v>0</v>
      </c>
      <c r="C43" s="60">
        <f>C41+C42</f>
        <v>0</v>
      </c>
      <c r="D43" s="16">
        <f>D41+D42</f>
        <v>0</v>
      </c>
    </row>
    <row r="44" spans="1:4" ht="11.25" customHeight="1">
      <c r="A44" s="90"/>
      <c r="B44" s="104"/>
      <c r="C44" s="52"/>
      <c r="D44" s="52"/>
    </row>
    <row r="45" spans="1:4" s="91" customFormat="1" ht="12.75">
      <c r="A45" s="105" t="s">
        <v>99</v>
      </c>
      <c r="B45" s="106">
        <f>B43+B38+B33+B28+B23+B16</f>
        <v>364650</v>
      </c>
      <c r="C45" s="16">
        <f>SUM(C43+C38+C33+C28+C23+C16)</f>
        <v>340843</v>
      </c>
      <c r="D45" s="16">
        <f>SUM(D43+D38+D33+D28+D23+D16)</f>
        <v>705493</v>
      </c>
    </row>
    <row r="46" spans="1:4" ht="12.75" customHeight="1">
      <c r="A46" s="107"/>
      <c r="B46" s="108"/>
      <c r="C46" s="67"/>
      <c r="D46" s="67"/>
    </row>
    <row r="47" spans="1:4" ht="12.75">
      <c r="A47" s="68" t="s">
        <v>100</v>
      </c>
      <c r="B47" s="109"/>
      <c r="C47" s="69"/>
      <c r="D47" s="110"/>
    </row>
    <row r="48" spans="1:4" s="81" customFormat="1" ht="12.75">
      <c r="A48" s="70" t="s">
        <v>73</v>
      </c>
      <c r="B48" s="111">
        <v>0</v>
      </c>
      <c r="C48" s="20">
        <v>0</v>
      </c>
      <c r="D48" s="112">
        <v>0</v>
      </c>
    </row>
    <row r="49" spans="1:4" s="81" customFormat="1" ht="12.75">
      <c r="A49" s="113" t="s">
        <v>101</v>
      </c>
      <c r="B49" s="114">
        <v>0</v>
      </c>
      <c r="C49" s="115">
        <v>0</v>
      </c>
      <c r="D49" s="116">
        <v>0</v>
      </c>
    </row>
    <row r="50" spans="1:4" ht="12.75">
      <c r="A50" s="90" t="s">
        <v>75</v>
      </c>
      <c r="B50" s="60">
        <f>B48+B49</f>
        <v>0</v>
      </c>
      <c r="C50" s="16">
        <f>C48+C49</f>
        <v>0</v>
      </c>
      <c r="D50" s="16">
        <f>D48+D49</f>
        <v>0</v>
      </c>
    </row>
    <row r="51" spans="1:4" ht="12.75">
      <c r="A51" s="96"/>
      <c r="B51" s="51"/>
      <c r="C51" s="64"/>
      <c r="D51" s="64"/>
    </row>
    <row r="52" spans="1:4" ht="12.75">
      <c r="A52" s="117" t="s">
        <v>102</v>
      </c>
      <c r="B52" s="16">
        <f>SUM(B50+B45)</f>
        <v>364650</v>
      </c>
      <c r="C52" s="16">
        <f>SUM(C50+C45)</f>
        <v>340843</v>
      </c>
      <c r="D52" s="61">
        <f>SUM(D50+D45)</f>
        <v>705493</v>
      </c>
    </row>
    <row r="57" ht="6" customHeight="1"/>
    <row r="59" ht="15.75" customHeight="1"/>
    <row r="60" ht="24.75" customHeight="1"/>
    <row r="70" s="91" customFormat="1" ht="12.75"/>
    <row r="77" s="91" customFormat="1" ht="12.75"/>
    <row r="82" s="91" customFormat="1" ht="12.75"/>
    <row r="87" s="91" customFormat="1" ht="12.75"/>
    <row r="92" s="91" customFormat="1" ht="12.75"/>
    <row r="97" s="91" customFormat="1" ht="12.75"/>
    <row r="98" ht="12" customHeight="1"/>
    <row r="99" s="91" customFormat="1" ht="12.75"/>
    <row r="100" ht="11.25" customHeight="1"/>
    <row r="104" s="91" customFormat="1" ht="12.75"/>
    <row r="105" ht="9.75" customHeight="1"/>
    <row r="106" s="91" customFormat="1" ht="15" customHeight="1"/>
  </sheetData>
  <sheetProtection/>
  <mergeCells count="3">
    <mergeCell ref="C1:D1"/>
    <mergeCell ref="A2:D2"/>
    <mergeCell ref="A3:D3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7">
      <selection activeCell="G13" sqref="G13"/>
    </sheetView>
  </sheetViews>
  <sheetFormatPr defaultColWidth="9.140625" defaultRowHeight="12.75"/>
  <cols>
    <col min="1" max="1" width="14.00390625" style="0" customWidth="1"/>
    <col min="2" max="2" width="8.8515625" style="0" customWidth="1"/>
    <col min="3" max="3" width="8.28125" style="0" customWidth="1"/>
    <col min="4" max="4" width="8.57421875" style="0" customWidth="1"/>
    <col min="5" max="5" width="9.28125" style="0" customWidth="1"/>
    <col min="6" max="6" width="8.57421875" style="0" customWidth="1"/>
    <col min="7" max="7" width="8.140625" style="0" customWidth="1"/>
    <col min="8" max="8" width="8.7109375" style="0" customWidth="1"/>
    <col min="9" max="9" width="9.57421875" style="0" customWidth="1"/>
    <col min="11" max="11" width="8.28125" style="0" customWidth="1"/>
    <col min="14" max="14" width="8.140625" style="0" customWidth="1"/>
    <col min="15" max="19" width="7.00390625" style="0" customWidth="1"/>
    <col min="20" max="20" width="13.00390625" style="0" customWidth="1"/>
  </cols>
  <sheetData>
    <row r="1" spans="3:20" ht="12.75">
      <c r="C1" s="471"/>
      <c r="D1" s="471"/>
      <c r="E1" s="471"/>
      <c r="F1" s="471"/>
      <c r="G1" s="471"/>
      <c r="H1" s="471"/>
      <c r="I1" s="471"/>
      <c r="J1" s="471"/>
      <c r="K1" s="471"/>
      <c r="L1" s="471" t="s">
        <v>807</v>
      </c>
      <c r="M1" s="471"/>
      <c r="N1" s="471"/>
      <c r="O1" s="550"/>
      <c r="P1" s="550"/>
      <c r="Q1" s="550"/>
      <c r="R1" s="550"/>
      <c r="T1" s="550"/>
    </row>
    <row r="2" spans="15:20" ht="12.75">
      <c r="O2" s="712"/>
      <c r="P2" s="712"/>
      <c r="Q2" s="712"/>
      <c r="R2" s="712"/>
      <c r="T2" s="550"/>
    </row>
    <row r="3" spans="1:20" ht="18">
      <c r="A3" s="1229" t="s">
        <v>808</v>
      </c>
      <c r="B3" s="1229"/>
      <c r="C3" s="1229"/>
      <c r="D3" s="1229"/>
      <c r="E3" s="1229"/>
      <c r="F3" s="1229"/>
      <c r="G3" s="1229"/>
      <c r="H3" s="1229"/>
      <c r="I3" s="1229"/>
      <c r="J3" s="1229"/>
      <c r="K3" s="1229"/>
      <c r="L3" s="1229"/>
      <c r="M3" s="1229"/>
      <c r="N3" s="1229"/>
      <c r="T3" s="550"/>
    </row>
    <row r="4" spans="15:20" ht="12.75">
      <c r="O4" s="713"/>
      <c r="P4" s="713"/>
      <c r="Q4" s="713"/>
      <c r="R4" s="713"/>
      <c r="T4" s="550"/>
    </row>
    <row r="5" spans="1:20" ht="16.5" thickBot="1">
      <c r="A5" s="550"/>
      <c r="B5" s="550"/>
      <c r="C5" s="714"/>
      <c r="D5" s="714"/>
      <c r="E5" s="714"/>
      <c r="F5" s="714"/>
      <c r="G5" s="714"/>
      <c r="H5" s="714"/>
      <c r="I5" s="714"/>
      <c r="J5" s="714"/>
      <c r="K5" s="714"/>
      <c r="L5" s="714" t="s">
        <v>368</v>
      </c>
      <c r="M5" s="714"/>
      <c r="N5" s="714"/>
      <c r="T5" s="550"/>
    </row>
    <row r="6" spans="1:20" ht="13.5" thickBot="1">
      <c r="A6" s="715" t="s">
        <v>5</v>
      </c>
      <c r="B6" s="716">
        <v>2010</v>
      </c>
      <c r="C6" s="715">
        <v>2011</v>
      </c>
      <c r="D6" s="716">
        <v>2012</v>
      </c>
      <c r="E6" s="715">
        <v>2013</v>
      </c>
      <c r="F6" s="716">
        <v>2014</v>
      </c>
      <c r="G6" s="715">
        <v>2015</v>
      </c>
      <c r="H6" s="715">
        <v>2016</v>
      </c>
      <c r="I6" s="715">
        <v>2017</v>
      </c>
      <c r="J6" s="715">
        <v>2018</v>
      </c>
      <c r="K6" s="715">
        <v>2019</v>
      </c>
      <c r="L6" s="715">
        <v>2020</v>
      </c>
      <c r="M6" s="715">
        <v>2021</v>
      </c>
      <c r="N6" s="1167" t="s">
        <v>39</v>
      </c>
      <c r="T6" s="550"/>
    </row>
    <row r="7" spans="1:20" ht="45.75" customHeight="1" thickBot="1">
      <c r="A7" s="717" t="s">
        <v>809</v>
      </c>
      <c r="B7" s="718">
        <v>31656</v>
      </c>
      <c r="C7" s="719">
        <v>31656</v>
      </c>
      <c r="D7" s="720">
        <v>31656</v>
      </c>
      <c r="E7" s="721">
        <v>2638</v>
      </c>
      <c r="F7" s="720">
        <v>0</v>
      </c>
      <c r="G7" s="721">
        <v>0</v>
      </c>
      <c r="H7" s="722">
        <v>0</v>
      </c>
      <c r="I7" s="722">
        <v>0</v>
      </c>
      <c r="J7" s="722">
        <v>0</v>
      </c>
      <c r="K7" s="722">
        <v>0</v>
      </c>
      <c r="L7" s="722">
        <v>0</v>
      </c>
      <c r="M7" s="1166">
        <v>0</v>
      </c>
      <c r="N7" s="1168">
        <f>SUM(B7:M7)</f>
        <v>97606</v>
      </c>
      <c r="T7" s="550"/>
    </row>
    <row r="8" spans="1:20" ht="38.25" customHeight="1" thickBot="1">
      <c r="A8" s="1160" t="s">
        <v>1280</v>
      </c>
      <c r="B8" s="1162">
        <v>1438</v>
      </c>
      <c r="C8" s="1164">
        <v>1438</v>
      </c>
      <c r="D8" s="1165">
        <v>1438</v>
      </c>
      <c r="E8" s="1164">
        <v>1437</v>
      </c>
      <c r="F8" s="1165">
        <v>1437</v>
      </c>
      <c r="G8" s="1164">
        <v>1437</v>
      </c>
      <c r="H8" s="1163">
        <v>1437</v>
      </c>
      <c r="I8" s="1161"/>
      <c r="J8" s="723"/>
      <c r="K8" s="723"/>
      <c r="L8" s="723"/>
      <c r="M8" s="1169"/>
      <c r="N8" s="1168">
        <f>SUM(B8:M8)</f>
        <v>10062</v>
      </c>
      <c r="T8" s="550"/>
    </row>
    <row r="9" spans="1:20" ht="32.25" customHeight="1" thickBot="1">
      <c r="A9" s="717" t="s">
        <v>1281</v>
      </c>
      <c r="B9" s="724">
        <v>2000</v>
      </c>
      <c r="C9" s="725">
        <v>2000</v>
      </c>
      <c r="D9" s="726">
        <v>2000</v>
      </c>
      <c r="E9" s="727">
        <v>2000</v>
      </c>
      <c r="F9" s="726">
        <v>2000</v>
      </c>
      <c r="G9" s="727">
        <v>490000</v>
      </c>
      <c r="H9" s="722"/>
      <c r="I9" s="722"/>
      <c r="J9" s="722"/>
      <c r="K9" s="722"/>
      <c r="L9" s="722"/>
      <c r="M9" s="722"/>
      <c r="N9" s="1168">
        <f>SUM(B9:M9)</f>
        <v>500000</v>
      </c>
      <c r="T9" s="550"/>
    </row>
    <row r="10" spans="1:20" ht="16.5" thickBot="1">
      <c r="A10" s="728" t="s">
        <v>810</v>
      </c>
      <c r="B10" s="729">
        <f>SUM(B7:B9)</f>
        <v>35094</v>
      </c>
      <c r="C10" s="729">
        <f aca="true" t="shared" si="0" ref="C10:M10">SUM(C7:C9)</f>
        <v>35094</v>
      </c>
      <c r="D10" s="729">
        <f t="shared" si="0"/>
        <v>35094</v>
      </c>
      <c r="E10" s="729">
        <f t="shared" si="0"/>
        <v>6075</v>
      </c>
      <c r="F10" s="729">
        <f t="shared" si="0"/>
        <v>3437</v>
      </c>
      <c r="G10" s="729">
        <f t="shared" si="0"/>
        <v>491437</v>
      </c>
      <c r="H10" s="729">
        <f t="shared" si="0"/>
        <v>1437</v>
      </c>
      <c r="I10" s="729">
        <f t="shared" si="0"/>
        <v>0</v>
      </c>
      <c r="J10" s="729">
        <f t="shared" si="0"/>
        <v>0</v>
      </c>
      <c r="K10" s="729">
        <f t="shared" si="0"/>
        <v>0</v>
      </c>
      <c r="L10" s="729">
        <f t="shared" si="0"/>
        <v>0</v>
      </c>
      <c r="M10" s="729">
        <f t="shared" si="0"/>
        <v>0</v>
      </c>
      <c r="N10" s="730">
        <f>SUM(N7:N9)</f>
        <v>607668</v>
      </c>
      <c r="T10" s="550"/>
    </row>
    <row r="11" spans="1:20" ht="12.75">
      <c r="A11" s="550"/>
      <c r="B11" s="550"/>
      <c r="C11" s="550"/>
      <c r="D11" s="550"/>
      <c r="E11" s="550"/>
      <c r="F11" s="550"/>
      <c r="G11" s="550"/>
      <c r="H11" s="550"/>
      <c r="I11" s="550"/>
      <c r="J11" s="550"/>
      <c r="K11" s="550"/>
      <c r="L11" s="550"/>
      <c r="M11" s="550"/>
      <c r="N11" s="550"/>
      <c r="T11" s="550"/>
    </row>
    <row r="12" spans="1:20" ht="12.75">
      <c r="A12" s="550"/>
      <c r="B12" s="550"/>
      <c r="C12" s="550"/>
      <c r="D12" s="550"/>
      <c r="E12" s="550"/>
      <c r="F12" s="550"/>
      <c r="G12" s="550"/>
      <c r="H12" s="550"/>
      <c r="I12" s="550"/>
      <c r="J12" s="550"/>
      <c r="K12" s="550"/>
      <c r="L12" s="550"/>
      <c r="M12" s="550"/>
      <c r="N12" s="550"/>
      <c r="T12" s="550"/>
    </row>
    <row r="13" spans="1:20" ht="12.75">
      <c r="A13" s="550"/>
      <c r="B13" s="550"/>
      <c r="C13" s="550"/>
      <c r="D13" s="550"/>
      <c r="E13" s="550"/>
      <c r="F13" s="550"/>
      <c r="G13" s="550"/>
      <c r="H13" s="550"/>
      <c r="I13" s="550"/>
      <c r="J13" s="550"/>
      <c r="K13" s="550"/>
      <c r="L13" s="550"/>
      <c r="M13" s="550"/>
      <c r="N13" s="550"/>
      <c r="T13" s="731"/>
    </row>
    <row r="14" spans="1:14" ht="12.75">
      <c r="A14" s="550"/>
      <c r="B14" s="550"/>
      <c r="C14" s="550"/>
      <c r="D14" s="550"/>
      <c r="E14" s="550"/>
      <c r="F14" s="550"/>
      <c r="G14" s="550"/>
      <c r="H14" s="550"/>
      <c r="I14" s="550"/>
      <c r="J14" s="550"/>
      <c r="K14" s="550"/>
      <c r="L14" s="550"/>
      <c r="M14" s="550"/>
      <c r="N14" s="550"/>
    </row>
    <row r="15" spans="1:20" ht="32.25" customHeight="1">
      <c r="A15" s="1250" t="s">
        <v>811</v>
      </c>
      <c r="B15" s="1250"/>
      <c r="C15" s="1250"/>
      <c r="D15" s="1250"/>
      <c r="E15" s="1250"/>
      <c r="F15" s="1250"/>
      <c r="G15" s="1250"/>
      <c r="H15" s="1250"/>
      <c r="I15" s="1250"/>
      <c r="J15" s="1250"/>
      <c r="K15" s="1250"/>
      <c r="L15" s="1250"/>
      <c r="M15" s="1250"/>
      <c r="N15" s="1250"/>
      <c r="T15" s="713"/>
    </row>
    <row r="17" spans="1:14" ht="12.75">
      <c r="A17" s="713"/>
      <c r="B17" s="713"/>
      <c r="C17" s="713"/>
      <c r="D17" s="713"/>
      <c r="E17" s="713"/>
      <c r="F17" s="713"/>
      <c r="G17" s="713"/>
      <c r="H17" s="713"/>
      <c r="I17" s="713"/>
      <c r="J17" s="713"/>
      <c r="K17" s="713"/>
      <c r="L17" s="713"/>
      <c r="M17" s="713"/>
      <c r="N17" s="713"/>
    </row>
    <row r="20" ht="39.75" customHeight="1"/>
    <row r="22" ht="25.5" customHeight="1"/>
  </sheetData>
  <sheetProtection/>
  <mergeCells count="2">
    <mergeCell ref="A3:N3"/>
    <mergeCell ref="A15:N15"/>
  </mergeCells>
  <printOptions/>
  <pageMargins left="0.7875" right="0.7875" top="0.9840277777777778" bottom="0.9840277777777778" header="0.5118055555555556" footer="0.5118055555555556"/>
  <pageSetup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241"/>
  <sheetViews>
    <sheetView zoomScalePageLayoutView="0" workbookViewId="0" topLeftCell="A1">
      <selection activeCell="A241" sqref="A241"/>
    </sheetView>
  </sheetViews>
  <sheetFormatPr defaultColWidth="9.140625" defaultRowHeight="12.75"/>
  <cols>
    <col min="1" max="1" width="55.8515625" style="0" customWidth="1"/>
    <col min="2" max="2" width="10.00390625" style="0" customWidth="1"/>
    <col min="3" max="3" width="10.57421875" style="0" customWidth="1"/>
    <col min="4" max="4" width="9.421875" style="0" customWidth="1"/>
  </cols>
  <sheetData>
    <row r="1" ht="12.75">
      <c r="C1" t="s">
        <v>812</v>
      </c>
    </row>
    <row r="2" ht="12" customHeight="1"/>
    <row r="3" spans="1:4" ht="15.75">
      <c r="A3" s="1252" t="s">
        <v>813</v>
      </c>
      <c r="B3" s="1252"/>
      <c r="C3" s="1252"/>
      <c r="D3" s="1252"/>
    </row>
    <row r="4" spans="1:4" ht="15.75">
      <c r="A4" s="1252" t="s">
        <v>814</v>
      </c>
      <c r="B4" s="1252"/>
      <c r="C4" s="1252"/>
      <c r="D4" s="1252"/>
    </row>
    <row r="5" ht="12.75">
      <c r="D5" t="s">
        <v>815</v>
      </c>
    </row>
    <row r="6" spans="1:4" ht="15.75">
      <c r="A6" s="732" t="s">
        <v>816</v>
      </c>
      <c r="B6" s="733" t="s">
        <v>817</v>
      </c>
      <c r="C6" s="733" t="s">
        <v>818</v>
      </c>
      <c r="D6" s="733" t="s">
        <v>819</v>
      </c>
    </row>
    <row r="7" spans="1:4" ht="12.75">
      <c r="A7" s="734" t="s">
        <v>820</v>
      </c>
      <c r="B7" s="734"/>
      <c r="C7" s="735"/>
      <c r="D7" s="734"/>
    </row>
    <row r="8" spans="1:4" ht="12.75">
      <c r="A8" s="736" t="s">
        <v>821</v>
      </c>
      <c r="B8" s="735">
        <f>17603*1.38</f>
        <v>24292.14</v>
      </c>
      <c r="C8" s="735">
        <f>17520*1.43</f>
        <v>25053.6</v>
      </c>
      <c r="D8" s="737">
        <f>17389*1.057</f>
        <v>18380.173</v>
      </c>
    </row>
    <row r="9" spans="1:4" ht="12.75">
      <c r="A9" s="736" t="s">
        <v>822</v>
      </c>
      <c r="B9" s="735"/>
      <c r="C9" s="735"/>
      <c r="D9" s="737">
        <f>17.389*500</f>
        <v>8694.5</v>
      </c>
    </row>
    <row r="10" spans="1:4" ht="12.75">
      <c r="A10" s="738" t="s">
        <v>823</v>
      </c>
      <c r="B10" s="735">
        <f>12*370</f>
        <v>4440</v>
      </c>
      <c r="C10" s="735">
        <f>12*370</f>
        <v>4440</v>
      </c>
      <c r="D10" s="737">
        <f>12*300</f>
        <v>3600</v>
      </c>
    </row>
    <row r="11" spans="1:4" ht="12.75">
      <c r="A11" s="734" t="s">
        <v>824</v>
      </c>
      <c r="B11" s="735"/>
      <c r="C11" s="735"/>
      <c r="D11" s="737"/>
    </row>
    <row r="12" spans="1:4" ht="12.75">
      <c r="A12" s="734" t="s">
        <v>825</v>
      </c>
      <c r="B12" s="735">
        <f>12000*2</f>
        <v>24000</v>
      </c>
      <c r="C12" s="735">
        <f>14000*2</f>
        <v>28000</v>
      </c>
      <c r="D12" s="737">
        <f>16000*2</f>
        <v>32000</v>
      </c>
    </row>
    <row r="13" spans="1:4" ht="12.75">
      <c r="A13" s="734" t="s">
        <v>826</v>
      </c>
      <c r="B13" s="735"/>
      <c r="C13" s="735"/>
      <c r="D13" s="737"/>
    </row>
    <row r="14" spans="1:4" ht="12.75">
      <c r="A14" s="734" t="s">
        <v>827</v>
      </c>
      <c r="B14" s="735">
        <f>55*700</f>
        <v>38500</v>
      </c>
      <c r="C14" s="735"/>
      <c r="D14" s="737"/>
    </row>
    <row r="15" spans="1:4" ht="12.75">
      <c r="A15" s="734" t="s">
        <v>828</v>
      </c>
      <c r="B15" s="735"/>
      <c r="C15" s="735"/>
      <c r="D15" s="737"/>
    </row>
    <row r="16" spans="1:4" ht="12.75">
      <c r="A16" s="734" t="s">
        <v>829</v>
      </c>
      <c r="B16" s="735">
        <f>48*547</f>
        <v>26256</v>
      </c>
      <c r="C16" s="735">
        <f>56*547</f>
        <v>30632</v>
      </c>
      <c r="D16" s="737">
        <f>56*540.15</f>
        <v>30248.399999999998</v>
      </c>
    </row>
    <row r="17" spans="1:4" ht="12.75">
      <c r="A17" s="734" t="s">
        <v>830</v>
      </c>
      <c r="B17" s="735">
        <f>6*50</f>
        <v>300</v>
      </c>
      <c r="C17" s="735">
        <f>10*50</f>
        <v>500</v>
      </c>
      <c r="D17" s="737">
        <f>19*65</f>
        <v>1235</v>
      </c>
    </row>
    <row r="18" spans="1:4" ht="12.75">
      <c r="A18" s="734" t="s">
        <v>831</v>
      </c>
      <c r="B18" s="735">
        <f>'[1]Munka1'!$G$8</f>
        <v>0</v>
      </c>
      <c r="C18" s="735"/>
      <c r="D18" s="737"/>
    </row>
    <row r="19" spans="1:4" ht="12.75">
      <c r="A19" s="734" t="s">
        <v>832</v>
      </c>
      <c r="B19" s="735"/>
      <c r="C19" s="735"/>
      <c r="D19" s="737"/>
    </row>
    <row r="20" spans="1:4" ht="25.5">
      <c r="A20" s="739" t="s">
        <v>833</v>
      </c>
      <c r="B20" s="740">
        <f>'[1]Munka1'!$G$9</f>
        <v>0</v>
      </c>
      <c r="C20" s="740">
        <f>9*2550000*8/12/1000</f>
        <v>15300</v>
      </c>
      <c r="D20" s="741"/>
    </row>
    <row r="21" spans="1:4" ht="23.25" customHeight="1">
      <c r="A21" s="739" t="s">
        <v>834</v>
      </c>
      <c r="B21" s="740"/>
      <c r="C21" s="740">
        <f>34.1*2550000*8/12/1000</f>
        <v>57970</v>
      </c>
      <c r="D21" s="741"/>
    </row>
    <row r="22" spans="1:4" ht="22.5" customHeight="1">
      <c r="A22" s="739" t="s">
        <v>835</v>
      </c>
      <c r="B22" s="740"/>
      <c r="C22" s="740">
        <v>7225</v>
      </c>
      <c r="D22" s="741">
        <v>30770</v>
      </c>
    </row>
    <row r="23" spans="1:4" ht="25.5">
      <c r="A23" s="739" t="s">
        <v>836</v>
      </c>
      <c r="B23" s="740"/>
      <c r="C23" s="740">
        <v>28390</v>
      </c>
      <c r="D23" s="741">
        <v>37230</v>
      </c>
    </row>
    <row r="24" spans="1:4" ht="14.25" customHeight="1">
      <c r="A24" s="739" t="s">
        <v>837</v>
      </c>
      <c r="B24" s="740"/>
      <c r="C24" s="740"/>
      <c r="D24" s="741">
        <v>30903</v>
      </c>
    </row>
    <row r="25" spans="1:4" ht="12.75">
      <c r="A25" s="736" t="s">
        <v>838</v>
      </c>
      <c r="B25" s="740">
        <f>'[1]Munka1'!$G$10</f>
        <v>0</v>
      </c>
      <c r="C25" s="740"/>
      <c r="D25" s="741"/>
    </row>
    <row r="26" spans="1:4" ht="12.75">
      <c r="A26" s="736" t="s">
        <v>839</v>
      </c>
      <c r="B26" s="740">
        <v>0</v>
      </c>
      <c r="C26" s="740">
        <v>0</v>
      </c>
      <c r="D26" s="741"/>
    </row>
    <row r="27" spans="1:4" ht="25.5">
      <c r="A27" s="739" t="s">
        <v>840</v>
      </c>
      <c r="B27" s="740">
        <f>3*417.6*8/12</f>
        <v>835.2000000000002</v>
      </c>
      <c r="C27" s="740">
        <v>0</v>
      </c>
      <c r="D27" s="741"/>
    </row>
    <row r="28" spans="1:4" ht="12.75">
      <c r="A28" s="739" t="s">
        <v>841</v>
      </c>
      <c r="B28" s="740">
        <f>'[1]Munka1'!$G$12</f>
        <v>0</v>
      </c>
      <c r="C28" s="740">
        <v>0</v>
      </c>
      <c r="D28" s="741"/>
    </row>
    <row r="29" spans="1:4" ht="12.75">
      <c r="A29" s="738" t="s">
        <v>842</v>
      </c>
      <c r="B29" s="735">
        <f>'[1]Munka1'!$G$57</f>
        <v>0</v>
      </c>
      <c r="C29" s="735"/>
      <c r="D29" s="737"/>
    </row>
    <row r="30" spans="1:4" ht="12.75">
      <c r="A30" s="738" t="s">
        <v>843</v>
      </c>
      <c r="B30" s="735"/>
      <c r="C30" s="735">
        <f>7.5*2550000*8/12/1000</f>
        <v>12750</v>
      </c>
      <c r="D30" s="737"/>
    </row>
    <row r="31" spans="1:4" ht="12.75">
      <c r="A31" s="738" t="s">
        <v>844</v>
      </c>
      <c r="B31" s="735"/>
      <c r="C31" s="735">
        <f>18.7*2550000*8/12/1000</f>
        <v>31790</v>
      </c>
      <c r="D31" s="737"/>
    </row>
    <row r="32" spans="1:4" ht="12.75">
      <c r="A32" s="738" t="s">
        <v>845</v>
      </c>
      <c r="B32" s="735"/>
      <c r="C32" s="735">
        <f>15*2550000*8/12/1000</f>
        <v>25500</v>
      </c>
      <c r="D32" s="737"/>
    </row>
    <row r="33" spans="1:4" ht="12.75">
      <c r="A33" s="738" t="s">
        <v>846</v>
      </c>
      <c r="B33" s="735"/>
      <c r="C33" s="735">
        <f>15.4*2550000*4/12/1000</f>
        <v>13090</v>
      </c>
      <c r="D33" s="737">
        <f>22610</f>
        <v>22610</v>
      </c>
    </row>
    <row r="34" spans="1:4" ht="12.75">
      <c r="A34" s="738" t="s">
        <v>847</v>
      </c>
      <c r="B34" s="735"/>
      <c r="C34" s="735">
        <f>8.5*2550000*4/12/1000</f>
        <v>7225</v>
      </c>
      <c r="D34" s="737">
        <v>14450</v>
      </c>
    </row>
    <row r="35" spans="1:4" ht="12.75">
      <c r="A35" s="738" t="s">
        <v>848</v>
      </c>
      <c r="B35" s="735"/>
      <c r="C35" s="735">
        <f>12.1*2550000*4/12/1000</f>
        <v>10285</v>
      </c>
      <c r="D35" s="737">
        <v>21760</v>
      </c>
    </row>
    <row r="36" spans="1:4" ht="12.75">
      <c r="A36" s="738" t="s">
        <v>849</v>
      </c>
      <c r="B36" s="735"/>
      <c r="C36" s="735"/>
      <c r="D36" s="737">
        <v>11007</v>
      </c>
    </row>
    <row r="37" spans="1:4" ht="12.75">
      <c r="A37" s="738" t="s">
        <v>850</v>
      </c>
      <c r="B37" s="735"/>
      <c r="C37" s="735"/>
      <c r="D37" s="737">
        <v>6350</v>
      </c>
    </row>
    <row r="38" spans="1:4" ht="12.75">
      <c r="A38" s="738" t="s">
        <v>851</v>
      </c>
      <c r="B38" s="735"/>
      <c r="C38" s="735"/>
      <c r="D38" s="737">
        <v>9906</v>
      </c>
    </row>
    <row r="39" spans="1:4" ht="12.75">
      <c r="A39" s="736" t="s">
        <v>852</v>
      </c>
      <c r="B39" s="735">
        <f>'[1]Munka1'!$G$58</f>
        <v>0</v>
      </c>
      <c r="C39" s="735"/>
      <c r="D39" s="737"/>
    </row>
    <row r="40" spans="1:4" ht="12.75">
      <c r="A40" s="736" t="s">
        <v>853</v>
      </c>
      <c r="B40" s="735">
        <f>'[1]Munka1'!$G$59</f>
        <v>0</v>
      </c>
      <c r="C40" s="735"/>
      <c r="D40" s="737"/>
    </row>
    <row r="41" spans="1:4" ht="12.75">
      <c r="A41" s="736" t="s">
        <v>854</v>
      </c>
      <c r="B41" s="735">
        <f>'[1]Munka1'!$G$60</f>
        <v>0</v>
      </c>
      <c r="C41" s="735"/>
      <c r="D41" s="737"/>
    </row>
    <row r="42" spans="1:4" ht="25.5">
      <c r="A42" s="739" t="s">
        <v>855</v>
      </c>
      <c r="B42" s="735">
        <f>'[1]Munka1'!$G$69</f>
        <v>0</v>
      </c>
      <c r="C42" s="735"/>
      <c r="D42" s="737"/>
    </row>
    <row r="43" spans="1:4" ht="25.5">
      <c r="A43" s="739" t="s">
        <v>856</v>
      </c>
      <c r="B43" s="735">
        <f>'[1]Munka1'!$G$70</f>
        <v>0</v>
      </c>
      <c r="C43" s="735"/>
      <c r="D43" s="737"/>
    </row>
    <row r="44" spans="1:4" ht="25.5">
      <c r="A44" s="739" t="s">
        <v>857</v>
      </c>
      <c r="B44" s="735">
        <f>'[1]Munka1'!$G$71</f>
        <v>0</v>
      </c>
      <c r="C44" s="735"/>
      <c r="D44" s="737"/>
    </row>
    <row r="45" spans="1:4" ht="25.5">
      <c r="A45" s="739" t="s">
        <v>858</v>
      </c>
      <c r="B45" s="735">
        <f>'[1]Munka1'!$G$77</f>
        <v>0</v>
      </c>
      <c r="C45" s="735"/>
      <c r="D45" s="737"/>
    </row>
    <row r="46" spans="1:4" ht="21.75" customHeight="1">
      <c r="A46" s="739" t="s">
        <v>859</v>
      </c>
      <c r="B46" s="735">
        <f>'[1]Munka1'!$G$78</f>
        <v>0</v>
      </c>
      <c r="C46" s="735"/>
      <c r="D46" s="737"/>
    </row>
    <row r="47" spans="1:4" ht="25.5">
      <c r="A47" s="739" t="s">
        <v>860</v>
      </c>
      <c r="B47" s="735">
        <f>'[1]Munka1'!$G$72</f>
        <v>0</v>
      </c>
      <c r="C47" s="735"/>
      <c r="D47" s="737"/>
    </row>
    <row r="48" spans="1:4" ht="12.75">
      <c r="A48" s="742"/>
      <c r="B48" s="743"/>
      <c r="C48" s="743"/>
      <c r="D48" s="744"/>
    </row>
    <row r="49" spans="1:4" ht="12.75">
      <c r="A49" s="1182">
        <v>2</v>
      </c>
      <c r="B49" s="1182"/>
      <c r="C49" s="1182"/>
      <c r="D49" s="1182"/>
    </row>
    <row r="50" spans="1:4" ht="15.75">
      <c r="A50" s="745" t="s">
        <v>816</v>
      </c>
      <c r="B50" s="746" t="s">
        <v>817</v>
      </c>
      <c r="C50" s="746" t="s">
        <v>818</v>
      </c>
      <c r="D50" s="746" t="s">
        <v>861</v>
      </c>
    </row>
    <row r="51" spans="1:4" ht="12.75">
      <c r="A51" s="734" t="s">
        <v>862</v>
      </c>
      <c r="B51" s="735">
        <f>'[1]Munka1'!$G$61</f>
        <v>0</v>
      </c>
      <c r="C51" s="735"/>
      <c r="D51" s="737"/>
    </row>
    <row r="52" spans="1:4" ht="12.75">
      <c r="A52" s="734" t="s">
        <v>863</v>
      </c>
      <c r="B52" s="735"/>
      <c r="C52" s="735">
        <f>11.3*2550000*8/12/1000</f>
        <v>19210</v>
      </c>
      <c r="D52" s="737"/>
    </row>
    <row r="53" spans="1:4" ht="12.75">
      <c r="A53" s="734" t="s">
        <v>864</v>
      </c>
      <c r="B53" s="735"/>
      <c r="C53" s="735">
        <f>13.3*2550000*8/12/1000</f>
        <v>22610</v>
      </c>
      <c r="D53" s="737"/>
    </row>
    <row r="54" spans="1:4" ht="12.75">
      <c r="A54" s="734" t="s">
        <v>865</v>
      </c>
      <c r="B54" s="735"/>
      <c r="C54" s="735">
        <f>28.9*2550000*8/12/1000</f>
        <v>49130</v>
      </c>
      <c r="D54" s="737"/>
    </row>
    <row r="55" spans="1:4" ht="12.75">
      <c r="A55" s="734" t="s">
        <v>866</v>
      </c>
      <c r="B55" s="735"/>
      <c r="C55" s="735">
        <f>21.3*2550000*4/12/1000</f>
        <v>18105</v>
      </c>
      <c r="D55" s="737">
        <v>34850</v>
      </c>
    </row>
    <row r="56" spans="1:4" ht="12.75">
      <c r="A56" s="734" t="s">
        <v>867</v>
      </c>
      <c r="B56" s="735"/>
      <c r="C56" s="735">
        <f>29*2550000*4/12/1000</f>
        <v>24650</v>
      </c>
      <c r="D56" s="737">
        <v>48620</v>
      </c>
    </row>
    <row r="57" spans="1:4" ht="12.75">
      <c r="A57" s="734" t="s">
        <v>868</v>
      </c>
      <c r="B57" s="735"/>
      <c r="C57" s="735"/>
      <c r="D57" s="737">
        <v>16172</v>
      </c>
    </row>
    <row r="58" spans="1:4" ht="12.75">
      <c r="A58" s="734" t="s">
        <v>869</v>
      </c>
      <c r="B58" s="735"/>
      <c r="C58" s="735"/>
      <c r="D58" s="737">
        <v>9821</v>
      </c>
    </row>
    <row r="59" spans="1:4" ht="12.75">
      <c r="A59" s="734" t="s">
        <v>870</v>
      </c>
      <c r="B59" s="735"/>
      <c r="C59" s="735"/>
      <c r="D59" s="737">
        <v>13123</v>
      </c>
    </row>
    <row r="60" spans="1:4" ht="12.75">
      <c r="A60" s="736" t="s">
        <v>871</v>
      </c>
      <c r="B60" s="735">
        <f>'[1]Munka1'!$G$62</f>
        <v>0</v>
      </c>
      <c r="C60" s="735"/>
      <c r="D60" s="737"/>
    </row>
    <row r="61" spans="1:4" ht="12.75">
      <c r="A61" s="736" t="s">
        <v>872</v>
      </c>
      <c r="B61" s="735">
        <f>'[1]Munka1'!$G$63</f>
        <v>0</v>
      </c>
      <c r="C61" s="735"/>
      <c r="D61" s="737"/>
    </row>
    <row r="62" spans="1:4" ht="12.75">
      <c r="A62" s="736" t="s">
        <v>873</v>
      </c>
      <c r="B62" s="735">
        <f>'[1]Munka1'!$G$64</f>
        <v>0</v>
      </c>
      <c r="C62" s="735"/>
      <c r="D62" s="737"/>
    </row>
    <row r="63" spans="1:4" ht="25.5">
      <c r="A63" s="739" t="s">
        <v>874</v>
      </c>
      <c r="B63" s="735">
        <f>'[1]Munka1'!$G$73</f>
        <v>0</v>
      </c>
      <c r="C63" s="735"/>
      <c r="D63" s="737"/>
    </row>
    <row r="64" spans="1:4" ht="25.5">
      <c r="A64" s="739" t="s">
        <v>875</v>
      </c>
      <c r="B64" s="735">
        <f>'[1]Munka1'!$G$74</f>
        <v>0</v>
      </c>
      <c r="C64" s="735"/>
      <c r="D64" s="737"/>
    </row>
    <row r="65" spans="1:4" ht="25.5">
      <c r="A65" s="739" t="s">
        <v>876</v>
      </c>
      <c r="B65" s="735">
        <f>21*371.2*8/12</f>
        <v>5196.8</v>
      </c>
      <c r="C65" s="735"/>
      <c r="D65" s="737"/>
    </row>
    <row r="66" spans="1:4" ht="25.5">
      <c r="A66" s="739" t="s">
        <v>877</v>
      </c>
      <c r="B66" s="735">
        <f>'[1]Munka1'!$G$79</f>
        <v>0</v>
      </c>
      <c r="C66" s="735"/>
      <c r="D66" s="737"/>
    </row>
    <row r="67" spans="1:4" ht="25.5">
      <c r="A67" s="739" t="s">
        <v>878</v>
      </c>
      <c r="B67" s="735">
        <f>'[1]Munka1'!$G$76</f>
        <v>0</v>
      </c>
      <c r="C67" s="735"/>
      <c r="D67" s="737"/>
    </row>
    <row r="68" spans="1:4" ht="25.5">
      <c r="A68" s="739" t="s">
        <v>879</v>
      </c>
      <c r="B68" s="735">
        <f>'[1]Munka1'!$G$80</f>
        <v>0</v>
      </c>
      <c r="C68" s="735"/>
      <c r="D68" s="737"/>
    </row>
    <row r="69" spans="1:4" ht="12.75">
      <c r="A69" s="739" t="s">
        <v>880</v>
      </c>
      <c r="B69" s="735"/>
      <c r="C69" s="735">
        <f>2*240000*4/12/1000</f>
        <v>160</v>
      </c>
      <c r="D69" s="737">
        <v>320</v>
      </c>
    </row>
    <row r="70" spans="1:4" ht="12.75">
      <c r="A70" s="739" t="s">
        <v>881</v>
      </c>
      <c r="B70" s="735"/>
      <c r="C70" s="735"/>
      <c r="D70" s="737">
        <v>159</v>
      </c>
    </row>
    <row r="71" spans="1:4" ht="25.5">
      <c r="A71" s="739" t="s">
        <v>882</v>
      </c>
      <c r="B71" s="735"/>
      <c r="C71" s="735">
        <f>5*384000*8/12/1000</f>
        <v>1280</v>
      </c>
      <c r="D71" s="737">
        <v>1024</v>
      </c>
    </row>
    <row r="72" spans="1:4" ht="25.5">
      <c r="A72" s="739" t="s">
        <v>883</v>
      </c>
      <c r="B72" s="735"/>
      <c r="C72" s="735">
        <f>4*384000*4/12/1000</f>
        <v>512</v>
      </c>
      <c r="D72" s="737">
        <v>382</v>
      </c>
    </row>
    <row r="73" spans="1:4" ht="38.25">
      <c r="A73" s="739" t="s">
        <v>884</v>
      </c>
      <c r="B73" s="735"/>
      <c r="C73" s="735">
        <f>40*8/12*192000/1000</f>
        <v>5120</v>
      </c>
      <c r="D73" s="737">
        <v>3584</v>
      </c>
    </row>
    <row r="74" spans="1:4" ht="38.25">
      <c r="A74" s="739" t="s">
        <v>885</v>
      </c>
      <c r="B74" s="735"/>
      <c r="C74" s="735">
        <f>35*192000*4/12/1000</f>
        <v>2240</v>
      </c>
      <c r="D74" s="737">
        <v>1593</v>
      </c>
    </row>
    <row r="75" spans="1:4" ht="25.5">
      <c r="A75" s="739" t="s">
        <v>886</v>
      </c>
      <c r="B75" s="735"/>
      <c r="C75" s="735"/>
      <c r="D75" s="737">
        <v>1147</v>
      </c>
    </row>
    <row r="76" spans="1:4" ht="25.5">
      <c r="A76" s="739" t="s">
        <v>887</v>
      </c>
      <c r="B76" s="735"/>
      <c r="C76" s="735">
        <f>30*144000*4/12/1000</f>
        <v>1440</v>
      </c>
      <c r="D76" s="737">
        <v>2592</v>
      </c>
    </row>
    <row r="77" spans="1:4" ht="12.75">
      <c r="A77" s="736" t="s">
        <v>888</v>
      </c>
      <c r="B77" s="735">
        <f>'[1]Munka1'!$G$140+'[1]Munka1'!$G$191</f>
        <v>0</v>
      </c>
      <c r="C77" s="735"/>
      <c r="D77" s="737"/>
    </row>
    <row r="78" spans="1:4" ht="12.75">
      <c r="A78" s="736" t="s">
        <v>889</v>
      </c>
      <c r="B78" s="735">
        <f>'[1]Munka1'!$G$192+'[1]Munka1'!$G$141</f>
        <v>0</v>
      </c>
      <c r="C78" s="735"/>
      <c r="D78" s="737"/>
    </row>
    <row r="79" spans="1:4" ht="12.75">
      <c r="A79" s="736" t="s">
        <v>890</v>
      </c>
      <c r="B79" s="735">
        <f>'[1]Munka1'!$G$142+'[1]Munka1'!$G$193</f>
        <v>0</v>
      </c>
      <c r="C79" s="735"/>
      <c r="D79" s="737"/>
    </row>
    <row r="80" spans="1:4" ht="12.75">
      <c r="A80" s="736" t="s">
        <v>891</v>
      </c>
      <c r="B80" s="735">
        <f>'[1]Munka1'!$G$194+'[1]Munka1'!$G$143</f>
        <v>0</v>
      </c>
      <c r="C80" s="735"/>
      <c r="D80" s="737"/>
    </row>
    <row r="81" spans="1:4" ht="12.75">
      <c r="A81" s="736" t="s">
        <v>892</v>
      </c>
      <c r="B81" s="735"/>
      <c r="C81" s="735">
        <f>28.4*2550000*8/12/1000</f>
        <v>48280</v>
      </c>
      <c r="D81" s="737"/>
    </row>
    <row r="82" spans="1:4" ht="12.75">
      <c r="A82" s="736" t="s">
        <v>893</v>
      </c>
      <c r="B82" s="735"/>
      <c r="C82" s="735">
        <f>32.4*2550000*8/12/1000</f>
        <v>55080</v>
      </c>
      <c r="D82" s="737"/>
    </row>
    <row r="83" spans="1:4" ht="12.75">
      <c r="A83" s="736" t="s">
        <v>894</v>
      </c>
      <c r="B83" s="735"/>
      <c r="C83" s="735">
        <f>53.9*2550000*8/12/1000</f>
        <v>91630</v>
      </c>
      <c r="D83" s="737"/>
    </row>
    <row r="84" spans="1:4" ht="12.75">
      <c r="A84" s="736" t="s">
        <v>895</v>
      </c>
      <c r="B84" s="735"/>
      <c r="C84" s="735">
        <f>60.7*2550000*4/12/1000</f>
        <v>51595</v>
      </c>
      <c r="D84" s="737">
        <v>105740</v>
      </c>
    </row>
    <row r="85" spans="1:4" ht="12.75">
      <c r="A85" s="736" t="s">
        <v>896</v>
      </c>
      <c r="B85" s="735"/>
      <c r="C85" s="735"/>
      <c r="D85" s="737">
        <v>53933</v>
      </c>
    </row>
    <row r="86" spans="1:4" ht="12.75">
      <c r="A86" s="736" t="s">
        <v>897</v>
      </c>
      <c r="B86" s="735"/>
      <c r="C86" s="735">
        <f>58.3*2550000*4/12/1000</f>
        <v>49555</v>
      </c>
      <c r="D86" s="737">
        <v>95710</v>
      </c>
    </row>
    <row r="87" spans="1:4" ht="12.75">
      <c r="A87" s="736" t="s">
        <v>898</v>
      </c>
      <c r="B87" s="735"/>
      <c r="C87" s="735"/>
      <c r="D87" s="737">
        <v>20320</v>
      </c>
    </row>
    <row r="88" spans="1:4" ht="12.75">
      <c r="A88" s="736" t="s">
        <v>899</v>
      </c>
      <c r="B88" s="735"/>
      <c r="C88" s="735"/>
      <c r="D88" s="737">
        <v>26501</v>
      </c>
    </row>
    <row r="89" spans="1:4" ht="12.75">
      <c r="A89" s="738" t="s">
        <v>900</v>
      </c>
      <c r="B89" s="735">
        <f>'[1]Munka1'!$G$144+'[1]Munka1'!$G$195</f>
        <v>0</v>
      </c>
      <c r="C89" s="735"/>
      <c r="D89" s="737"/>
    </row>
    <row r="90" spans="1:4" ht="12.75">
      <c r="A90" s="747"/>
      <c r="B90" s="743"/>
      <c r="C90" s="743"/>
      <c r="D90" s="744"/>
    </row>
    <row r="91" spans="1:4" ht="12.75">
      <c r="A91" s="747"/>
      <c r="B91" s="743"/>
      <c r="C91" s="743"/>
      <c r="D91" s="744"/>
    </row>
    <row r="92" spans="1:4" ht="12.75">
      <c r="A92" s="1253">
        <v>3</v>
      </c>
      <c r="B92" s="1253"/>
      <c r="C92" s="1253"/>
      <c r="D92" s="1253"/>
    </row>
    <row r="93" spans="1:4" ht="15.75">
      <c r="A93" s="745" t="s">
        <v>816</v>
      </c>
      <c r="B93" s="746" t="s">
        <v>817</v>
      </c>
      <c r="C93" s="746" t="s">
        <v>818</v>
      </c>
      <c r="D93" s="746" t="s">
        <v>861</v>
      </c>
    </row>
    <row r="94" spans="1:4" ht="25.5">
      <c r="A94" s="739" t="s">
        <v>901</v>
      </c>
      <c r="B94" s="735">
        <f>'[1]Munka1'!$G$145+'[1]Munka1'!$G$196</f>
        <v>0</v>
      </c>
      <c r="C94" s="735"/>
      <c r="D94" s="737"/>
    </row>
    <row r="95" spans="1:4" ht="25.5">
      <c r="A95" s="739" t="s">
        <v>902</v>
      </c>
      <c r="B95" s="735">
        <f>10.4*2550*4/12</f>
        <v>8840</v>
      </c>
      <c r="C95" s="735"/>
      <c r="D95" s="737"/>
    </row>
    <row r="96" spans="1:4" ht="12.75">
      <c r="A96" s="739" t="s">
        <v>903</v>
      </c>
      <c r="B96" s="735"/>
      <c r="C96" s="735">
        <f>13.4*2550000*8/12/1000</f>
        <v>22780</v>
      </c>
      <c r="D96" s="737">
        <v>38420</v>
      </c>
    </row>
    <row r="97" spans="1:4" ht="12.75">
      <c r="A97" s="739" t="s">
        <v>904</v>
      </c>
      <c r="B97" s="735"/>
      <c r="C97" s="735">
        <f>10.6*2550000*8/12/1000</f>
        <v>18020</v>
      </c>
      <c r="D97" s="737">
        <v>3910</v>
      </c>
    </row>
    <row r="98" spans="1:4" ht="12.75">
      <c r="A98" s="739" t="s">
        <v>905</v>
      </c>
      <c r="B98" s="735"/>
      <c r="C98" s="735">
        <f>22.8*2550000*4/12/1000</f>
        <v>19380</v>
      </c>
      <c r="D98" s="737">
        <v>25061</v>
      </c>
    </row>
    <row r="99" spans="1:4" ht="12.75">
      <c r="A99" s="739" t="s">
        <v>906</v>
      </c>
      <c r="B99" s="735"/>
      <c r="C99" s="735">
        <f>2.7*2550000*4/12/1000</f>
        <v>2295</v>
      </c>
      <c r="D99" s="737"/>
    </row>
    <row r="100" spans="1:4" ht="12.75">
      <c r="A100" s="736" t="s">
        <v>907</v>
      </c>
      <c r="B100" s="735">
        <f>'[1]Munka1'!$G$202</f>
        <v>0</v>
      </c>
      <c r="C100" s="735">
        <f>215*40*8/12</f>
        <v>5733.333333333333</v>
      </c>
      <c r="D100" s="737">
        <v>5627</v>
      </c>
    </row>
    <row r="101" spans="1:4" ht="12.75">
      <c r="A101" s="736" t="s">
        <v>908</v>
      </c>
      <c r="B101" s="735"/>
      <c r="C101" s="735">
        <f>205*40*4/12</f>
        <v>2733.3333333333335</v>
      </c>
      <c r="D101" s="737">
        <v>2609</v>
      </c>
    </row>
    <row r="102" spans="1:4" ht="12.75">
      <c r="A102" s="736" t="s">
        <v>909</v>
      </c>
      <c r="B102" s="735">
        <f>'[1]Munka1'!$G$198</f>
        <v>0</v>
      </c>
      <c r="C102" s="735">
        <f>6*112*4/12</f>
        <v>224</v>
      </c>
      <c r="D102" s="737">
        <v>672</v>
      </c>
    </row>
    <row r="103" spans="1:4" ht="12.75">
      <c r="A103" s="736" t="s">
        <v>910</v>
      </c>
      <c r="B103" s="735"/>
      <c r="C103" s="735"/>
      <c r="D103" s="737">
        <v>671</v>
      </c>
    </row>
    <row r="104" spans="1:4" ht="12.75">
      <c r="A104" s="734" t="s">
        <v>911</v>
      </c>
      <c r="B104" s="735">
        <f>'[1]Munka1'!$G$199</f>
        <v>0</v>
      </c>
      <c r="C104" s="735">
        <f>77*156800*8/12/1000</f>
        <v>8049.066666666667</v>
      </c>
      <c r="D104" s="737">
        <v>4809</v>
      </c>
    </row>
    <row r="105" spans="1:4" ht="12.75">
      <c r="A105" s="736" t="s">
        <v>912</v>
      </c>
      <c r="B105" s="735"/>
      <c r="C105" s="735">
        <f>75*156.8*4/12</f>
        <v>3920</v>
      </c>
      <c r="D105" s="737">
        <v>2177</v>
      </c>
    </row>
    <row r="106" spans="1:4" ht="12.75">
      <c r="A106" s="734" t="s">
        <v>913</v>
      </c>
      <c r="B106" s="735">
        <f>'[1]Munka1'!$G$201</f>
        <v>0</v>
      </c>
      <c r="C106" s="735">
        <f>121*22.4*8/12</f>
        <v>1806.9333333333332</v>
      </c>
      <c r="D106" s="737">
        <v>2494</v>
      </c>
    </row>
    <row r="107" spans="1:4" ht="12.75">
      <c r="A107" s="734" t="s">
        <v>914</v>
      </c>
      <c r="B107" s="735"/>
      <c r="C107" s="735">
        <f>120*22.4*4/12</f>
        <v>896</v>
      </c>
      <c r="D107" s="737">
        <v>1244</v>
      </c>
    </row>
    <row r="108" spans="1:4" ht="12.75">
      <c r="A108" s="734" t="s">
        <v>915</v>
      </c>
      <c r="B108" s="735">
        <f>'[1]Munka1'!$G$200</f>
        <v>0</v>
      </c>
      <c r="C108" s="735">
        <f>63*67.2*8/12</f>
        <v>2822.4</v>
      </c>
      <c r="D108" s="737">
        <v>1882</v>
      </c>
    </row>
    <row r="109" spans="1:4" ht="12.75">
      <c r="A109" s="734" t="s">
        <v>916</v>
      </c>
      <c r="B109" s="735"/>
      <c r="C109" s="735">
        <f>60*67.2*4/12</f>
        <v>1344</v>
      </c>
      <c r="D109" s="737">
        <v>742</v>
      </c>
    </row>
    <row r="110" spans="1:4" ht="12.75">
      <c r="A110" s="734" t="s">
        <v>917</v>
      </c>
      <c r="B110" s="735"/>
      <c r="C110" s="735"/>
      <c r="D110" s="737">
        <v>96</v>
      </c>
    </row>
    <row r="111" spans="1:4" ht="12.75">
      <c r="A111" s="734" t="s">
        <v>918</v>
      </c>
      <c r="B111" s="735">
        <v>0</v>
      </c>
      <c r="C111" s="735">
        <v>0</v>
      </c>
      <c r="D111" s="737"/>
    </row>
    <row r="112" spans="1:4" ht="12.75">
      <c r="A112" s="736" t="s">
        <v>919</v>
      </c>
      <c r="B112" s="735">
        <v>0</v>
      </c>
      <c r="C112" s="735">
        <v>0</v>
      </c>
      <c r="D112" s="737"/>
    </row>
    <row r="113" spans="1:4" ht="12.75">
      <c r="A113" s="734" t="s">
        <v>920</v>
      </c>
      <c r="B113" s="735">
        <v>0</v>
      </c>
      <c r="C113" s="735">
        <v>0</v>
      </c>
      <c r="D113" s="737"/>
    </row>
    <row r="114" spans="1:4" ht="12.75">
      <c r="A114" s="736" t="s">
        <v>921</v>
      </c>
      <c r="B114" s="735">
        <v>0</v>
      </c>
      <c r="C114" s="735">
        <v>0</v>
      </c>
      <c r="D114" s="737"/>
    </row>
    <row r="115" spans="1:4" ht="12.75">
      <c r="A115" s="734" t="s">
        <v>922</v>
      </c>
      <c r="B115" s="735">
        <f>5*240</f>
        <v>1200</v>
      </c>
      <c r="C115" s="735">
        <f>10*240</f>
        <v>2400</v>
      </c>
      <c r="D115" s="737"/>
    </row>
    <row r="116" spans="1:4" ht="12.75">
      <c r="A116" s="734" t="s">
        <v>923</v>
      </c>
      <c r="B116" s="735">
        <f>3*325</f>
        <v>975</v>
      </c>
      <c r="C116" s="735">
        <f>2*325</f>
        <v>650</v>
      </c>
      <c r="D116" s="737"/>
    </row>
    <row r="117" spans="1:4" ht="12.75">
      <c r="A117" s="738" t="s">
        <v>924</v>
      </c>
      <c r="B117" s="735">
        <f>'[1]Munka1'!$G$65</f>
        <v>0</v>
      </c>
      <c r="C117" s="735">
        <f>252*105*8/12</f>
        <v>17640</v>
      </c>
      <c r="D117" s="737">
        <v>8840</v>
      </c>
    </row>
    <row r="118" spans="1:4" ht="12.75">
      <c r="A118" s="748" t="s">
        <v>925</v>
      </c>
      <c r="B118" s="735">
        <f>144*50*8/12/8*6</f>
        <v>3600</v>
      </c>
      <c r="C118" s="735">
        <f>152*40*8/12</f>
        <v>4053.3333333333335</v>
      </c>
      <c r="D118" s="737">
        <v>1870</v>
      </c>
    </row>
    <row r="119" spans="1:4" ht="12.75">
      <c r="A119" s="748" t="s">
        <v>926</v>
      </c>
      <c r="B119" s="735"/>
      <c r="C119" s="735">
        <v>4930</v>
      </c>
      <c r="D119" s="737">
        <v>4403</v>
      </c>
    </row>
    <row r="120" spans="1:4" ht="12.75">
      <c r="A120" s="748" t="s">
        <v>927</v>
      </c>
      <c r="B120" s="735"/>
      <c r="C120" s="735">
        <v>1020</v>
      </c>
      <c r="D120" s="737">
        <v>931</v>
      </c>
    </row>
    <row r="121" spans="1:4" ht="12.75">
      <c r="A121" s="738" t="s">
        <v>928</v>
      </c>
      <c r="B121" s="735">
        <f>116*40*6/12</f>
        <v>2320</v>
      </c>
      <c r="C121" s="735">
        <f>275*51*4/12</f>
        <v>4675</v>
      </c>
      <c r="D121" s="737">
        <v>8364</v>
      </c>
    </row>
    <row r="122" spans="1:4" ht="21.75" customHeight="1">
      <c r="A122" s="738" t="s">
        <v>929</v>
      </c>
      <c r="B122" s="735"/>
      <c r="C122" s="735"/>
      <c r="D122" s="737">
        <v>3977</v>
      </c>
    </row>
    <row r="123" spans="1:4" ht="12.75">
      <c r="A123" s="738" t="s">
        <v>930</v>
      </c>
      <c r="B123" s="735">
        <f>'[1]Munka1'!$G$68</f>
        <v>0</v>
      </c>
      <c r="C123" s="735">
        <f>152*20*4/12</f>
        <v>1013.3333333333334</v>
      </c>
      <c r="D123" s="737">
        <v>1840</v>
      </c>
    </row>
    <row r="124" spans="1:4" ht="12.75">
      <c r="A124" s="738" t="s">
        <v>931</v>
      </c>
      <c r="B124" s="735"/>
      <c r="C124" s="735"/>
      <c r="D124" s="737">
        <v>874</v>
      </c>
    </row>
    <row r="125" spans="1:4" ht="12.75">
      <c r="A125" s="734" t="s">
        <v>932</v>
      </c>
      <c r="B125" s="735">
        <f>'[1]Munka1'!$G$243</f>
        <v>0</v>
      </c>
      <c r="C125" s="735">
        <f>78*318000*8/12/1000</f>
        <v>16536</v>
      </c>
      <c r="D125" s="737">
        <v>6290</v>
      </c>
    </row>
    <row r="126" spans="1:4" ht="12.75">
      <c r="A126" s="734" t="s">
        <v>933</v>
      </c>
      <c r="B126" s="735"/>
      <c r="C126" s="735">
        <f>4.1*2550000*4/12/1000</f>
        <v>3485</v>
      </c>
      <c r="D126" s="737">
        <v>3133</v>
      </c>
    </row>
    <row r="127" spans="1:4" ht="12.75">
      <c r="A127" s="736" t="s">
        <v>934</v>
      </c>
      <c r="B127" s="741"/>
      <c r="C127" s="735">
        <f>78*186*4/12</f>
        <v>4836</v>
      </c>
      <c r="D127" s="737">
        <v>8928</v>
      </c>
    </row>
    <row r="128" spans="1:4" ht="12.75">
      <c r="A128" s="736" t="s">
        <v>935</v>
      </c>
      <c r="B128" s="741"/>
      <c r="C128" s="740"/>
      <c r="D128" s="741">
        <f>177*72*4/12</f>
        <v>4248</v>
      </c>
    </row>
    <row r="129" spans="1:4" ht="12.75">
      <c r="A129" s="734" t="s">
        <v>936</v>
      </c>
      <c r="B129" s="735">
        <f>375*23</f>
        <v>8625</v>
      </c>
      <c r="C129" s="735">
        <f>534*23000*8/12/1000</f>
        <v>8188</v>
      </c>
      <c r="D129" s="737"/>
    </row>
    <row r="130" spans="1:4" ht="12.75">
      <c r="A130" s="734" t="s">
        <v>937</v>
      </c>
      <c r="B130" s="735"/>
      <c r="C130" s="735">
        <v>3230</v>
      </c>
      <c r="D130" s="737">
        <v>6120</v>
      </c>
    </row>
    <row r="131" spans="1:4" ht="12.75">
      <c r="A131" s="734" t="s">
        <v>938</v>
      </c>
      <c r="B131" s="735"/>
      <c r="C131" s="735">
        <v>765</v>
      </c>
      <c r="D131" s="737">
        <v>1530</v>
      </c>
    </row>
    <row r="132" spans="1:4" ht="12.75">
      <c r="A132" s="734" t="s">
        <v>939</v>
      </c>
      <c r="B132" s="735"/>
      <c r="C132" s="735"/>
      <c r="D132" s="737">
        <v>2964</v>
      </c>
    </row>
    <row r="133" spans="1:4" ht="12.75">
      <c r="A133" s="734" t="s">
        <v>940</v>
      </c>
      <c r="B133" s="735"/>
      <c r="C133" s="735"/>
      <c r="D133" s="737">
        <v>677</v>
      </c>
    </row>
    <row r="134" spans="1:4" ht="12.75">
      <c r="A134" s="736" t="s">
        <v>941</v>
      </c>
      <c r="B134" s="735">
        <f>'[1]Munka1'!$G$84</f>
        <v>0</v>
      </c>
      <c r="C134" s="735"/>
      <c r="D134" s="737"/>
    </row>
    <row r="135" spans="1:4" ht="12.75">
      <c r="A135" s="736" t="s">
        <v>942</v>
      </c>
      <c r="B135" s="735">
        <f>'[1]Munka1'!$G$85</f>
        <v>0</v>
      </c>
      <c r="C135" s="735"/>
      <c r="D135" s="737"/>
    </row>
    <row r="136" spans="1:4" ht="12.75">
      <c r="A136" s="734" t="s">
        <v>943</v>
      </c>
      <c r="B136" s="735">
        <f>'[1]Munka1'!$G$204+'[1]Munka1'!$G$203+'[1]Munka1'!$G$151+'[1]Munka1'!$G$152</f>
        <v>0</v>
      </c>
      <c r="C136" s="735">
        <f>49*71.5*8/12</f>
        <v>2335.6666666666665</v>
      </c>
      <c r="D136" s="737">
        <v>10678</v>
      </c>
    </row>
    <row r="137" spans="1:4" ht="12.75">
      <c r="A137" s="734" t="s">
        <v>944</v>
      </c>
      <c r="B137" s="735"/>
      <c r="C137" s="735">
        <f>35*71.5*4/12</f>
        <v>834.1666666666666</v>
      </c>
      <c r="D137" s="737">
        <v>5213</v>
      </c>
    </row>
    <row r="138" spans="1:4" ht="12.75">
      <c r="A138" s="736" t="s">
        <v>945</v>
      </c>
      <c r="B138" s="735"/>
      <c r="C138" s="735">
        <f>173*55</f>
        <v>9515</v>
      </c>
      <c r="D138" s="737">
        <v>10855</v>
      </c>
    </row>
    <row r="139" spans="1:4" ht="12.75">
      <c r="A139" s="736" t="s">
        <v>946</v>
      </c>
      <c r="B139" s="735"/>
      <c r="C139" s="735">
        <f>235*55</f>
        <v>12925</v>
      </c>
      <c r="D139" s="737">
        <v>17745</v>
      </c>
    </row>
    <row r="140" spans="1:4" s="91" customFormat="1" ht="12.75">
      <c r="A140" s="736" t="s">
        <v>947</v>
      </c>
      <c r="B140" s="735"/>
      <c r="C140" s="735">
        <f>75*55</f>
        <v>4125</v>
      </c>
      <c r="D140" s="737"/>
    </row>
    <row r="141" spans="1:4" ht="12.75">
      <c r="A141" s="736" t="s">
        <v>948</v>
      </c>
      <c r="B141" s="735"/>
      <c r="C141" s="735"/>
      <c r="D141" s="737">
        <v>4225</v>
      </c>
    </row>
    <row r="142" spans="1:4" ht="12.75">
      <c r="A142" s="736" t="s">
        <v>949</v>
      </c>
      <c r="B142" s="735"/>
      <c r="C142" s="735"/>
      <c r="D142" s="737">
        <v>910</v>
      </c>
    </row>
    <row r="143" spans="1:4" ht="12.75">
      <c r="A143" s="736" t="s">
        <v>950</v>
      </c>
      <c r="B143" s="735"/>
      <c r="C143" s="735">
        <f>44*55</f>
        <v>2420</v>
      </c>
      <c r="D143" s="737">
        <v>2990</v>
      </c>
    </row>
    <row r="144" spans="1:4" ht="25.5">
      <c r="A144" s="739" t="s">
        <v>951</v>
      </c>
      <c r="B144" s="737"/>
      <c r="C144" s="735">
        <f>27*16</f>
        <v>432</v>
      </c>
      <c r="D144" s="737">
        <v>660</v>
      </c>
    </row>
    <row r="145" spans="1:4" ht="12.75">
      <c r="A145" s="742"/>
      <c r="B145" s="744"/>
      <c r="C145" s="743"/>
      <c r="D145" s="744"/>
    </row>
    <row r="146" spans="1:4" ht="12.75">
      <c r="A146" s="37"/>
      <c r="B146" s="72"/>
      <c r="C146" s="72"/>
      <c r="D146" s="72"/>
    </row>
    <row r="147" spans="1:4" ht="12.75">
      <c r="A147" s="1182">
        <v>4</v>
      </c>
      <c r="B147" s="1182"/>
      <c r="C147" s="1182"/>
      <c r="D147" s="1182"/>
    </row>
    <row r="148" spans="1:4" ht="15.75">
      <c r="A148" s="745" t="s">
        <v>816</v>
      </c>
      <c r="B148" s="746" t="s">
        <v>817</v>
      </c>
      <c r="C148" s="746" t="s">
        <v>818</v>
      </c>
      <c r="D148" s="746" t="s">
        <v>861</v>
      </c>
    </row>
    <row r="149" spans="1:4" ht="12.75">
      <c r="A149" s="736" t="s">
        <v>952</v>
      </c>
      <c r="B149" s="735">
        <f>50*55</f>
        <v>2750</v>
      </c>
      <c r="C149" s="735"/>
      <c r="D149" s="737"/>
    </row>
    <row r="150" spans="1:4" ht="12.75">
      <c r="A150" s="736" t="s">
        <v>953</v>
      </c>
      <c r="B150" s="735">
        <f>255*55</f>
        <v>14025</v>
      </c>
      <c r="C150" s="735"/>
      <c r="D150" s="737"/>
    </row>
    <row r="151" spans="1:4" ht="12.75">
      <c r="A151" s="738" t="s">
        <v>954</v>
      </c>
      <c r="B151" s="735">
        <f>300*55</f>
        <v>16500</v>
      </c>
      <c r="C151" s="735"/>
      <c r="D151" s="737"/>
    </row>
    <row r="152" spans="1:4" ht="12.75">
      <c r="A152" s="736" t="s">
        <v>955</v>
      </c>
      <c r="B152" s="735">
        <f>103*55</f>
        <v>5665</v>
      </c>
      <c r="C152" s="735"/>
      <c r="D152" s="737"/>
    </row>
    <row r="153" spans="1:4" ht="12.75">
      <c r="A153" s="736" t="s">
        <v>956</v>
      </c>
      <c r="B153" s="735">
        <f>150*55</f>
        <v>8250</v>
      </c>
      <c r="C153" s="735"/>
      <c r="D153" s="737"/>
    </row>
    <row r="154" spans="1:4" ht="12.75">
      <c r="A154" s="734" t="s">
        <v>957</v>
      </c>
      <c r="B154" s="735">
        <f>'[1]Munka1'!$G$86</f>
        <v>0</v>
      </c>
      <c r="C154" s="735"/>
      <c r="D154" s="737"/>
    </row>
    <row r="155" spans="1:4" ht="12.75">
      <c r="A155" s="734" t="s">
        <v>958</v>
      </c>
      <c r="B155" s="735">
        <f>'[1]Munka1'!$G$87</f>
        <v>0</v>
      </c>
      <c r="C155" s="735"/>
      <c r="D155" s="737"/>
    </row>
    <row r="156" spans="1:4" ht="12.75">
      <c r="A156" s="734" t="s">
        <v>959</v>
      </c>
      <c r="B156" s="735">
        <f>'[1]Munka1'!$G$16</f>
        <v>0</v>
      </c>
      <c r="C156" s="735"/>
      <c r="D156" s="737"/>
    </row>
    <row r="157" spans="1:4" ht="12.75">
      <c r="A157" s="734" t="s">
        <v>960</v>
      </c>
      <c r="B157" s="735">
        <f>'[1]Munka1'!$G$206+'[1]Munka1'!$G$207+'[1]Munka1'!$G$147+'[1]Munka1'!$G$148</f>
        <v>0</v>
      </c>
      <c r="C157" s="735"/>
      <c r="D157" s="737"/>
    </row>
    <row r="158" spans="1:4" ht="12.75">
      <c r="A158" s="734" t="s">
        <v>961</v>
      </c>
      <c r="B158" s="735">
        <f>'[1]Munka1'!$G$149+'[1]Munka1'!$G$150+'[1]Munka1'!$G$208+'[1]Munka1'!$G$209</f>
        <v>0</v>
      </c>
      <c r="C158" s="735"/>
      <c r="D158" s="737"/>
    </row>
    <row r="159" spans="1:4" ht="12.75">
      <c r="A159" s="734" t="s">
        <v>962</v>
      </c>
      <c r="B159" s="737"/>
      <c r="C159" s="735">
        <f>805*15*8/12</f>
        <v>8050</v>
      </c>
      <c r="D159" s="737">
        <v>10812</v>
      </c>
    </row>
    <row r="160" spans="1:4" ht="12.75">
      <c r="A160" s="734" t="s">
        <v>963</v>
      </c>
      <c r="B160" s="737"/>
      <c r="C160" s="735">
        <f>820*18*4/12</f>
        <v>4920</v>
      </c>
      <c r="D160" s="737">
        <v>5556</v>
      </c>
    </row>
    <row r="161" spans="1:4" ht="12.75">
      <c r="A161" s="734" t="s">
        <v>964</v>
      </c>
      <c r="B161" s="735"/>
      <c r="C161" s="735">
        <f>162*45*8/12</f>
        <v>4860</v>
      </c>
      <c r="D161" s="737"/>
    </row>
    <row r="162" spans="1:4" ht="12.75">
      <c r="A162" s="734" t="s">
        <v>965</v>
      </c>
      <c r="B162" s="735">
        <v>1305</v>
      </c>
      <c r="C162" s="735">
        <f>68*45*4/12</f>
        <v>1020</v>
      </c>
      <c r="D162" s="737">
        <v>1620</v>
      </c>
    </row>
    <row r="163" spans="1:4" ht="12.75">
      <c r="A163" s="734" t="s">
        <v>966</v>
      </c>
      <c r="B163" s="735">
        <v>1185</v>
      </c>
      <c r="C163" s="735">
        <f>23*45*4/12</f>
        <v>345</v>
      </c>
      <c r="D163" s="737">
        <v>630</v>
      </c>
    </row>
    <row r="164" spans="1:4" ht="12.75">
      <c r="A164" s="734" t="s">
        <v>967</v>
      </c>
      <c r="B164" s="735"/>
      <c r="C164" s="735">
        <f>68*45*4/12</f>
        <v>1020</v>
      </c>
      <c r="D164" s="737">
        <v>2070</v>
      </c>
    </row>
    <row r="165" spans="1:4" ht="12.75">
      <c r="A165" s="736" t="s">
        <v>968</v>
      </c>
      <c r="B165" s="365"/>
      <c r="C165" s="735"/>
      <c r="D165" s="737">
        <v>728</v>
      </c>
    </row>
    <row r="166" spans="1:4" ht="12.75">
      <c r="A166" s="736" t="s">
        <v>969</v>
      </c>
      <c r="B166" s="365"/>
      <c r="C166" s="735"/>
      <c r="D166" s="737">
        <v>613</v>
      </c>
    </row>
    <row r="167" spans="1:4" ht="12.75">
      <c r="A167" s="736" t="s">
        <v>970</v>
      </c>
      <c r="B167" s="365"/>
      <c r="C167" s="735"/>
      <c r="D167" s="737">
        <v>713</v>
      </c>
    </row>
    <row r="168" spans="1:4" ht="12.75">
      <c r="A168" s="738" t="s">
        <v>971</v>
      </c>
      <c r="B168" s="735">
        <v>19979</v>
      </c>
      <c r="C168" s="735">
        <f>17520*1.135</f>
        <v>19885.2</v>
      </c>
      <c r="D168" s="737">
        <f>1061*17.389</f>
        <v>18449.729</v>
      </c>
    </row>
    <row r="169" spans="1:4" ht="12.75">
      <c r="A169" s="734" t="s">
        <v>972</v>
      </c>
      <c r="B169" s="735">
        <f>44*3.8</f>
        <v>167.2</v>
      </c>
      <c r="C169" s="735">
        <f>44*3.8</f>
        <v>167.2</v>
      </c>
      <c r="D169" s="737">
        <v>151</v>
      </c>
    </row>
    <row r="170" spans="1:4" ht="12.75">
      <c r="A170" s="736" t="s">
        <v>973</v>
      </c>
      <c r="B170" s="735"/>
      <c r="C170" s="735"/>
      <c r="D170" s="737"/>
    </row>
    <row r="171" spans="1:4" ht="12.75">
      <c r="A171" s="734" t="s">
        <v>974</v>
      </c>
      <c r="B171" s="735">
        <v>3300</v>
      </c>
      <c r="C171" s="735">
        <v>3300</v>
      </c>
      <c r="D171" s="737">
        <v>3300</v>
      </c>
    </row>
    <row r="172" spans="1:4" ht="12.75">
      <c r="A172" s="736" t="s">
        <v>975</v>
      </c>
      <c r="B172" s="740">
        <v>18289</v>
      </c>
      <c r="C172" s="735">
        <f>39886*0.513</f>
        <v>20461.518</v>
      </c>
      <c r="D172" s="735">
        <v>12774</v>
      </c>
    </row>
    <row r="173" spans="1:4" ht="12.75">
      <c r="A173" s="736" t="s">
        <v>976</v>
      </c>
      <c r="B173" s="740">
        <f>45693*0.28</f>
        <v>12794.04</v>
      </c>
      <c r="C173" s="735">
        <f>45326*0.28</f>
        <v>12691.28</v>
      </c>
      <c r="D173" s="735">
        <v>12133</v>
      </c>
    </row>
    <row r="174" spans="1:4" ht="12.75">
      <c r="A174" s="736" t="s">
        <v>977</v>
      </c>
      <c r="B174" s="740">
        <f>27.115*50</f>
        <v>1355.75</v>
      </c>
      <c r="C174" s="735">
        <f>45301*0.05</f>
        <v>2265.05</v>
      </c>
      <c r="D174" s="735">
        <v>3146</v>
      </c>
    </row>
    <row r="175" spans="1:4" ht="12.75">
      <c r="A175" s="736" t="s">
        <v>978</v>
      </c>
      <c r="B175" s="740">
        <f>462*4.6</f>
        <v>2125.2</v>
      </c>
      <c r="C175" s="735">
        <f>479*7.7</f>
        <v>3688.3</v>
      </c>
      <c r="D175" s="735">
        <v>4410</v>
      </c>
    </row>
    <row r="176" spans="1:4" ht="12.75">
      <c r="A176" s="736" t="s">
        <v>979</v>
      </c>
      <c r="B176" s="740">
        <v>107096</v>
      </c>
      <c r="C176" s="735">
        <v>115509</v>
      </c>
      <c r="D176" s="737">
        <v>116680</v>
      </c>
    </row>
    <row r="177" spans="1:4" s="91" customFormat="1" ht="12.75">
      <c r="A177" s="736" t="s">
        <v>980</v>
      </c>
      <c r="B177" s="740">
        <v>27593</v>
      </c>
      <c r="C177" s="740">
        <v>0</v>
      </c>
      <c r="D177" s="740">
        <v>0</v>
      </c>
    </row>
    <row r="178" spans="1:4" ht="12.75">
      <c r="A178" s="736" t="s">
        <v>981</v>
      </c>
      <c r="B178" s="735">
        <v>0</v>
      </c>
      <c r="C178" s="735">
        <v>0</v>
      </c>
      <c r="D178" s="737"/>
    </row>
    <row r="179" spans="1:4" ht="12.75">
      <c r="A179" s="738" t="s">
        <v>982</v>
      </c>
      <c r="B179" s="735">
        <f>180*81.2</f>
        <v>14616</v>
      </c>
      <c r="C179" s="735"/>
      <c r="D179" s="737"/>
    </row>
    <row r="180" spans="1:4" ht="12.75">
      <c r="A180" s="738" t="s">
        <v>983</v>
      </c>
      <c r="B180" s="735"/>
      <c r="C180" s="735">
        <f>140*82</f>
        <v>11480</v>
      </c>
      <c r="D180" s="737"/>
    </row>
    <row r="181" spans="1:4" ht="24">
      <c r="A181" s="749" t="s">
        <v>984</v>
      </c>
      <c r="B181" s="735"/>
      <c r="C181" s="735">
        <f>11*92.5</f>
        <v>1017.5</v>
      </c>
      <c r="D181" s="737">
        <v>6374</v>
      </c>
    </row>
    <row r="182" spans="1:4" ht="24">
      <c r="A182" s="749" t="s">
        <v>985</v>
      </c>
      <c r="B182" s="735"/>
      <c r="C182" s="735">
        <f>11*82</f>
        <v>902</v>
      </c>
      <c r="D182" s="737">
        <v>7182</v>
      </c>
    </row>
    <row r="183" spans="1:4" ht="24">
      <c r="A183" s="749" t="s">
        <v>986</v>
      </c>
      <c r="B183" s="735"/>
      <c r="C183" s="735">
        <f>1*65</f>
        <v>65</v>
      </c>
      <c r="D183" s="737">
        <v>640</v>
      </c>
    </row>
    <row r="184" spans="1:4" ht="12.75">
      <c r="A184" s="738" t="s">
        <v>987</v>
      </c>
      <c r="B184" s="735">
        <f>20*111.5</f>
        <v>2230</v>
      </c>
      <c r="C184" s="735"/>
      <c r="D184" s="737"/>
    </row>
    <row r="185" spans="1:4" ht="12.75">
      <c r="A185" s="738" t="s">
        <v>988</v>
      </c>
      <c r="B185" s="735"/>
      <c r="C185" s="735">
        <f>12*190</f>
        <v>2280</v>
      </c>
      <c r="D185" s="737"/>
    </row>
    <row r="186" spans="1:4" ht="24">
      <c r="A186" s="749" t="s">
        <v>989</v>
      </c>
      <c r="B186" s="735"/>
      <c r="C186" s="735">
        <f>3*275</f>
        <v>825</v>
      </c>
      <c r="D186" s="737"/>
    </row>
    <row r="187" spans="1:4" ht="24">
      <c r="A187" s="749" t="s">
        <v>990</v>
      </c>
      <c r="B187" s="735"/>
      <c r="C187" s="735">
        <f>3*173.7</f>
        <v>521.0999999999999</v>
      </c>
      <c r="D187" s="737"/>
    </row>
    <row r="188" spans="1:4" ht="12.75">
      <c r="A188" s="734" t="s">
        <v>991</v>
      </c>
      <c r="B188" s="735">
        <v>0</v>
      </c>
      <c r="C188" s="735"/>
      <c r="D188" s="737"/>
    </row>
    <row r="189" spans="1:4" ht="12.75">
      <c r="A189" s="736" t="s">
        <v>992</v>
      </c>
      <c r="B189" s="735"/>
      <c r="C189" s="735">
        <f>1289*10</f>
        <v>12890</v>
      </c>
      <c r="D189" s="737">
        <v>12270</v>
      </c>
    </row>
    <row r="190" spans="1:4" ht="12.75">
      <c r="A190" s="734" t="s">
        <v>993</v>
      </c>
      <c r="B190" s="735">
        <v>0</v>
      </c>
      <c r="C190" s="735"/>
      <c r="D190" s="737"/>
    </row>
    <row r="191" spans="1:4" ht="12.75">
      <c r="A191" s="734" t="s">
        <v>994</v>
      </c>
      <c r="B191" s="735">
        <v>0</v>
      </c>
      <c r="C191" s="735"/>
      <c r="D191" s="737"/>
    </row>
    <row r="192" spans="1:4" ht="12.75">
      <c r="A192" s="734" t="s">
        <v>995</v>
      </c>
      <c r="B192" s="735">
        <v>0</v>
      </c>
      <c r="C192" s="735"/>
      <c r="D192" s="737"/>
    </row>
    <row r="193" spans="1:4" ht="12.75">
      <c r="A193" s="734" t="s">
        <v>996</v>
      </c>
      <c r="B193" s="735">
        <v>0</v>
      </c>
      <c r="C193" s="735"/>
      <c r="D193" s="737"/>
    </row>
    <row r="194" spans="1:4" ht="12.75">
      <c r="A194" s="37"/>
      <c r="B194" s="743"/>
      <c r="C194" s="743"/>
      <c r="D194" s="744"/>
    </row>
    <row r="195" spans="1:4" ht="12.75">
      <c r="A195" s="37"/>
      <c r="B195" s="743"/>
      <c r="C195" s="743"/>
      <c r="D195" s="744"/>
    </row>
    <row r="196" spans="1:4" ht="12.75">
      <c r="A196" s="37"/>
      <c r="B196" s="743"/>
      <c r="C196" s="743"/>
      <c r="D196" s="744"/>
    </row>
    <row r="197" spans="1:4" ht="12.75">
      <c r="A197" s="37"/>
      <c r="B197" s="743"/>
      <c r="C197" s="743"/>
      <c r="D197" s="744"/>
    </row>
    <row r="198" spans="1:4" ht="12.75">
      <c r="A198" s="37"/>
      <c r="B198" s="743"/>
      <c r="C198" s="743"/>
      <c r="D198" s="744"/>
    </row>
    <row r="199" spans="1:4" ht="12.75">
      <c r="A199" s="37"/>
      <c r="B199" s="743"/>
      <c r="C199" s="743"/>
      <c r="D199" s="744"/>
    </row>
    <row r="200" spans="1:4" ht="12.75">
      <c r="A200" s="1182">
        <v>5</v>
      </c>
      <c r="B200" s="1182"/>
      <c r="C200" s="1182"/>
      <c r="D200" s="1182"/>
    </row>
    <row r="201" spans="1:4" ht="15.75">
      <c r="A201" s="745" t="s">
        <v>816</v>
      </c>
      <c r="B201" s="746" t="s">
        <v>817</v>
      </c>
      <c r="C201" s="746" t="s">
        <v>818</v>
      </c>
      <c r="D201" s="746" t="s">
        <v>861</v>
      </c>
    </row>
    <row r="202" spans="1:4" ht="12.75">
      <c r="A202" s="734" t="s">
        <v>997</v>
      </c>
      <c r="B202" s="735">
        <f>99*10</f>
        <v>990</v>
      </c>
      <c r="C202" s="735"/>
      <c r="D202" s="737"/>
    </row>
    <row r="203" spans="1:4" ht="12.75">
      <c r="A203" s="734" t="s">
        <v>998</v>
      </c>
      <c r="B203" s="735">
        <f>36*10</f>
        <v>360</v>
      </c>
      <c r="C203" s="735"/>
      <c r="D203" s="737"/>
    </row>
    <row r="204" spans="1:4" ht="12.75">
      <c r="A204" s="734" t="s">
        <v>999</v>
      </c>
      <c r="B204" s="735">
        <f>15*10</f>
        <v>150</v>
      </c>
      <c r="C204" s="735"/>
      <c r="D204" s="737"/>
    </row>
    <row r="205" spans="1:4" ht="12.75">
      <c r="A205" s="734" t="s">
        <v>1000</v>
      </c>
      <c r="B205" s="735">
        <f>630*10</f>
        <v>6300</v>
      </c>
      <c r="C205" s="735"/>
      <c r="D205" s="737"/>
    </row>
    <row r="206" spans="1:4" ht="12.75">
      <c r="A206" s="734" t="s">
        <v>1001</v>
      </c>
      <c r="B206" s="735"/>
      <c r="C206" s="735"/>
      <c r="D206" s="737"/>
    </row>
    <row r="207" spans="1:4" ht="12.75">
      <c r="A207" s="734" t="s">
        <v>1002</v>
      </c>
      <c r="B207" s="735">
        <f>430*10</f>
        <v>4300</v>
      </c>
      <c r="C207" s="735"/>
      <c r="D207" s="737"/>
    </row>
    <row r="208" spans="1:4" ht="12.75">
      <c r="A208" s="734" t="s">
        <v>1003</v>
      </c>
      <c r="B208" s="735">
        <f>'[1]Munka1'!$G$95+'[1]Munka1'!$G$154+'[1]Munka1'!$G$211</f>
        <v>0</v>
      </c>
      <c r="C208" s="735">
        <f>2800*1</f>
        <v>2800</v>
      </c>
      <c r="D208" s="737">
        <v>1704</v>
      </c>
    </row>
    <row r="209" spans="1:4" ht="12.75">
      <c r="A209" s="734" t="s">
        <v>1004</v>
      </c>
      <c r="B209" s="735"/>
      <c r="C209" s="735"/>
      <c r="D209" s="737"/>
    </row>
    <row r="210" spans="1:4" ht="12.75">
      <c r="A210" s="736" t="s">
        <v>1005</v>
      </c>
      <c r="B210" s="735">
        <f>'[1]Munka1'!$G$17+'[1]Munka1'!$G$96+'[1]Munka1'!$G$155+'[1]Munka1'!$G$212</f>
        <v>0</v>
      </c>
      <c r="C210" s="735"/>
      <c r="D210" s="737"/>
    </row>
    <row r="211" spans="1:4" ht="12.75">
      <c r="A211" s="734" t="s">
        <v>1006</v>
      </c>
      <c r="B211" s="735">
        <f>17603*0.515</f>
        <v>9065.545</v>
      </c>
      <c r="C211" s="735">
        <f>17520*0.515</f>
        <v>9022.800000000001</v>
      </c>
      <c r="D211" s="737">
        <f>17.389*515</f>
        <v>8955.335</v>
      </c>
    </row>
    <row r="212" spans="1:4" ht="12.75">
      <c r="A212" s="750" t="s">
        <v>1007</v>
      </c>
      <c r="B212" s="737">
        <f>SUM(B153:B211)+SUM(B8:B152)</f>
        <v>429770.875</v>
      </c>
      <c r="C212" s="737">
        <f>SUM(C153:C211)+SUM(C8:C152)</f>
        <v>1174746.1146666668</v>
      </c>
      <c r="D212" s="737">
        <f>SUM(D153:D211)+SUM(D8:D152)</f>
        <v>1154325.1369999999</v>
      </c>
    </row>
    <row r="213" spans="1:4" ht="12.75">
      <c r="A213" s="37"/>
      <c r="B213" s="72"/>
      <c r="C213" s="462"/>
      <c r="D213" s="462"/>
    </row>
    <row r="214" spans="1:4" ht="12.75">
      <c r="A214" s="1251"/>
      <c r="B214" s="1251"/>
      <c r="C214" s="1251"/>
      <c r="D214" s="751"/>
    </row>
    <row r="215" spans="1:4" ht="12.75">
      <c r="A215" s="37"/>
      <c r="B215" s="72"/>
      <c r="C215" s="462"/>
      <c r="D215" s="462"/>
    </row>
    <row r="216" spans="1:4" ht="12.75">
      <c r="A216" s="1196"/>
      <c r="B216" s="1196"/>
      <c r="C216" s="1196"/>
      <c r="D216" s="693"/>
    </row>
    <row r="217" spans="1:4" ht="15.75">
      <c r="A217" s="1176" t="s">
        <v>1008</v>
      </c>
      <c r="B217" s="1176"/>
      <c r="C217" s="1176"/>
      <c r="D217" s="1176"/>
    </row>
    <row r="218" spans="1:4" ht="12.75">
      <c r="A218" s="37"/>
      <c r="B218" s="72"/>
      <c r="C218" s="462"/>
      <c r="D218" s="462"/>
    </row>
    <row r="219" spans="1:4" ht="15.75">
      <c r="A219" s="745" t="s">
        <v>816</v>
      </c>
      <c r="B219" s="752" t="s">
        <v>817</v>
      </c>
      <c r="C219" s="753" t="s">
        <v>818</v>
      </c>
      <c r="D219" s="746" t="s">
        <v>861</v>
      </c>
    </row>
    <row r="220" spans="1:4" ht="12.75">
      <c r="A220" s="750" t="s">
        <v>1009</v>
      </c>
      <c r="B220" s="735">
        <v>22789</v>
      </c>
      <c r="C220" s="754">
        <v>23567</v>
      </c>
      <c r="D220" s="735"/>
    </row>
    <row r="221" spans="1:4" ht="12.75">
      <c r="A221" s="736" t="s">
        <v>1010</v>
      </c>
      <c r="B221" s="735">
        <f>7*1020</f>
        <v>7140</v>
      </c>
      <c r="C221" s="754">
        <v>7140</v>
      </c>
      <c r="D221" s="737">
        <v>7760</v>
      </c>
    </row>
    <row r="222" spans="1:4" ht="12.75">
      <c r="A222" s="734" t="s">
        <v>1011</v>
      </c>
      <c r="B222" s="735">
        <f>'[1]Munka1'!$G$22+'[1]Munka1'!$G$23+'[1]Munka1'!$G$99+'[1]Munka1'!$G$100+'[1]Munka1'!$G$158+'[1]Munka1'!$G$159+'[1]Munka1'!$G$215+'[1]Munka1'!$G$216+'[1]Munka1'!$G$248+'[1]Munka1'!$G$249</f>
        <v>0</v>
      </c>
      <c r="C222" s="754">
        <f>303*11.7</f>
        <v>3545.1</v>
      </c>
      <c r="D222" s="737">
        <f>301*11.7*8/12+296*11.7*4/12</f>
        <v>3502.2</v>
      </c>
    </row>
    <row r="223" spans="1:4" ht="12.75">
      <c r="A223" s="734" t="s">
        <v>1012</v>
      </c>
      <c r="B223" s="735">
        <f>38*9.4</f>
        <v>357.2</v>
      </c>
      <c r="C223" s="754">
        <f>18*9.4</f>
        <v>169.20000000000002</v>
      </c>
      <c r="D223" s="737">
        <f>16*9.4</f>
        <v>150.4</v>
      </c>
    </row>
    <row r="224" spans="1:4" ht="12.75">
      <c r="A224" s="734" t="s">
        <v>1013</v>
      </c>
      <c r="B224" s="737"/>
      <c r="C224" s="755"/>
      <c r="D224" s="737">
        <v>707</v>
      </c>
    </row>
    <row r="225" spans="1:4" ht="12.75">
      <c r="A225" s="750" t="s">
        <v>449</v>
      </c>
      <c r="B225" s="737">
        <f>SUM(B220:B224)</f>
        <v>30286.2</v>
      </c>
      <c r="C225" s="755">
        <f>SUM(C220:C224)</f>
        <v>34421.299999999996</v>
      </c>
      <c r="D225" s="737">
        <f>SUM(D220:D224)-1</f>
        <v>12118.6</v>
      </c>
    </row>
    <row r="226" spans="1:4" ht="12.75">
      <c r="A226" s="750" t="s">
        <v>1014</v>
      </c>
      <c r="B226" s="756"/>
      <c r="C226" s="755"/>
      <c r="D226" s="737"/>
    </row>
    <row r="227" spans="1:4" ht="12.75">
      <c r="A227" s="734" t="s">
        <v>1015</v>
      </c>
      <c r="B227" s="735"/>
      <c r="C227" s="755"/>
      <c r="D227" s="737"/>
    </row>
    <row r="228" spans="1:4" ht="12.75">
      <c r="A228" s="734" t="s">
        <v>1016</v>
      </c>
      <c r="B228" s="735">
        <f>59*3920.172</f>
        <v>231290.14800000002</v>
      </c>
      <c r="C228" s="754">
        <f>62*3920172/1000-1</f>
        <v>243049.664</v>
      </c>
      <c r="D228" s="737">
        <v>259313</v>
      </c>
    </row>
    <row r="229" spans="1:4" ht="12.75">
      <c r="A229" s="734" t="s">
        <v>506</v>
      </c>
      <c r="B229" s="737"/>
      <c r="C229" s="754"/>
      <c r="D229" s="737"/>
    </row>
    <row r="230" spans="1:4" ht="12.75">
      <c r="A230" s="736" t="s">
        <v>1017</v>
      </c>
      <c r="B230" s="735">
        <f>1083*4.717</f>
        <v>5108.5109999999995</v>
      </c>
      <c r="C230" s="754">
        <f>1083*4717/1000</f>
        <v>5108.511</v>
      </c>
      <c r="D230" s="737">
        <f>1083*4.897+1</f>
        <v>5304.451</v>
      </c>
    </row>
    <row r="231" spans="1:4" ht="32.25" customHeight="1">
      <c r="A231" s="736" t="s">
        <v>1018</v>
      </c>
      <c r="B231" s="735">
        <f>84855*0.115</f>
        <v>9758.325</v>
      </c>
      <c r="C231" s="754">
        <f>84548*115/1000</f>
        <v>9723.02</v>
      </c>
      <c r="D231" s="737">
        <f>87133*0.138</f>
        <v>12024.354000000001</v>
      </c>
    </row>
    <row r="232" spans="1:4" ht="12.75">
      <c r="A232" s="734" t="s">
        <v>1019</v>
      </c>
      <c r="B232" s="735"/>
      <c r="C232" s="754"/>
      <c r="D232" s="737"/>
    </row>
    <row r="233" spans="1:4" ht="12.75">
      <c r="A233" s="736" t="s">
        <v>1020</v>
      </c>
      <c r="B233" s="735">
        <f>3*500</f>
        <v>1500</v>
      </c>
      <c r="C233" s="754">
        <f>3*500</f>
        <v>1500</v>
      </c>
      <c r="D233" s="737">
        <f>3*500</f>
        <v>1500</v>
      </c>
    </row>
    <row r="234" spans="1:4" ht="12.75">
      <c r="A234" s="734" t="s">
        <v>1021</v>
      </c>
      <c r="B234" s="737"/>
      <c r="C234" s="754">
        <v>0</v>
      </c>
      <c r="D234" s="737">
        <v>0</v>
      </c>
    </row>
    <row r="235" spans="1:4" ht="12.75">
      <c r="A235" s="750" t="s">
        <v>449</v>
      </c>
      <c r="B235" s="737">
        <f>SUM(B228:B234)</f>
        <v>247656.98400000003</v>
      </c>
      <c r="C235" s="755">
        <f>SUM(C228:C234)+1</f>
        <v>259382.19499999998</v>
      </c>
      <c r="D235" s="737">
        <f>SUM(D228:D234)-1</f>
        <v>278140.805</v>
      </c>
    </row>
    <row r="236" spans="1:4" ht="12.75">
      <c r="A236" s="750" t="s">
        <v>1022</v>
      </c>
      <c r="B236" s="737">
        <f>B225+B235</f>
        <v>277943.184</v>
      </c>
      <c r="C236" s="755">
        <f>C235+C225</f>
        <v>293803.495</v>
      </c>
      <c r="D236" s="737">
        <f>D235+D225</f>
        <v>290259.40499999997</v>
      </c>
    </row>
    <row r="237" spans="1:4" ht="12.75">
      <c r="A237" s="750" t="s">
        <v>1023</v>
      </c>
      <c r="B237" s="737">
        <f>B212+B236</f>
        <v>707714.059</v>
      </c>
      <c r="C237" s="755">
        <f>C236+C212</f>
        <v>1468549.609666667</v>
      </c>
      <c r="D237" s="737">
        <f>D236+D212</f>
        <v>1444584.542</v>
      </c>
    </row>
    <row r="238" spans="1:4" ht="12.75">
      <c r="A238" s="734"/>
      <c r="B238" s="756"/>
      <c r="C238" s="755"/>
      <c r="D238" s="737"/>
    </row>
    <row r="239" spans="1:4" ht="12.75">
      <c r="A239" s="734" t="s">
        <v>1024</v>
      </c>
      <c r="B239" s="735">
        <v>144041</v>
      </c>
      <c r="C239" s="754">
        <v>162581</v>
      </c>
      <c r="D239" s="737">
        <v>190789</v>
      </c>
    </row>
    <row r="240" spans="1:4" ht="12.75">
      <c r="A240" s="757" t="s">
        <v>1025</v>
      </c>
      <c r="B240" s="735">
        <v>218552</v>
      </c>
      <c r="C240" s="754">
        <v>220829</v>
      </c>
      <c r="D240" s="737">
        <v>241339</v>
      </c>
    </row>
    <row r="241" spans="1:4" ht="12.75">
      <c r="A241" s="750" t="s">
        <v>1023</v>
      </c>
      <c r="B241" s="737">
        <f>SUM(B237:B240)</f>
        <v>1070307.059</v>
      </c>
      <c r="C241" s="755">
        <f>SUM(C237:C240)</f>
        <v>1851959.609666667</v>
      </c>
      <c r="D241" s="737">
        <f>SUM(D237:D240)</f>
        <v>1876712.542</v>
      </c>
    </row>
  </sheetData>
  <sheetProtection/>
  <mergeCells count="9">
    <mergeCell ref="A214:C214"/>
    <mergeCell ref="A216:C216"/>
    <mergeCell ref="A217:D217"/>
    <mergeCell ref="A3:D3"/>
    <mergeCell ref="A4:D4"/>
    <mergeCell ref="A49:D49"/>
    <mergeCell ref="A92:D92"/>
    <mergeCell ref="A147:D147"/>
    <mergeCell ref="A200:D200"/>
  </mergeCells>
  <printOptions/>
  <pageMargins left="0.5513888888888889" right="0.5513888888888889" top="0.7875" bottom="0.7875" header="0.5118055555555556" footer="0.5118055555555556"/>
  <pageSetup horizontalDpi="300" verticalDpi="300"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31">
      <selection activeCell="B33" sqref="B33"/>
    </sheetView>
  </sheetViews>
  <sheetFormatPr defaultColWidth="9.140625" defaultRowHeight="12.75"/>
  <cols>
    <col min="1" max="1" width="60.57421875" style="0" customWidth="1"/>
    <col min="2" max="2" width="25.00390625" style="0" customWidth="1"/>
  </cols>
  <sheetData>
    <row r="1" ht="12.75">
      <c r="B1" t="s">
        <v>1026</v>
      </c>
    </row>
    <row r="5" spans="1:2" ht="15.75">
      <c r="A5" s="1252" t="s">
        <v>1027</v>
      </c>
      <c r="B5" s="1252"/>
    </row>
    <row r="6" spans="1:2" ht="12.75">
      <c r="A6" s="1254" t="s">
        <v>2</v>
      </c>
      <c r="B6" s="1254"/>
    </row>
    <row r="10" spans="1:2" ht="12.75">
      <c r="A10" s="758" t="s">
        <v>5</v>
      </c>
      <c r="B10" s="758" t="s">
        <v>1028</v>
      </c>
    </row>
    <row r="11" spans="1:2" ht="12.75">
      <c r="A11" s="734"/>
      <c r="B11" s="734"/>
    </row>
    <row r="12" spans="1:2" ht="12.75">
      <c r="A12" s="759" t="s">
        <v>1029</v>
      </c>
      <c r="B12" s="734"/>
    </row>
    <row r="13" spans="1:2" ht="12.75">
      <c r="A13" s="759" t="s">
        <v>1030</v>
      </c>
      <c r="B13" s="734"/>
    </row>
    <row r="14" spans="1:2" ht="12.75">
      <c r="A14" s="734" t="s">
        <v>1031</v>
      </c>
      <c r="B14" s="756">
        <v>4218</v>
      </c>
    </row>
    <row r="15" spans="1:2" ht="12.75">
      <c r="A15" s="734" t="s">
        <v>1032</v>
      </c>
      <c r="B15" s="756">
        <v>4037</v>
      </c>
    </row>
    <row r="16" spans="1:2" ht="12.75">
      <c r="A16" s="734" t="s">
        <v>1033</v>
      </c>
      <c r="B16" s="756">
        <v>12504</v>
      </c>
    </row>
    <row r="17" spans="1:2" ht="12.75">
      <c r="A17" s="734" t="s">
        <v>1034</v>
      </c>
      <c r="B17" s="756">
        <v>9339</v>
      </c>
    </row>
    <row r="18" spans="1:2" ht="12.75">
      <c r="A18" s="734" t="s">
        <v>1035</v>
      </c>
      <c r="B18" s="760">
        <v>9835</v>
      </c>
    </row>
    <row r="19" spans="1:2" ht="12.75">
      <c r="A19" s="734" t="s">
        <v>1036</v>
      </c>
      <c r="B19" s="760">
        <v>11378</v>
      </c>
    </row>
    <row r="20" spans="1:2" ht="12.75">
      <c r="A20" s="734" t="s">
        <v>1037</v>
      </c>
      <c r="B20" s="760">
        <v>9655</v>
      </c>
    </row>
    <row r="21" spans="1:2" ht="12.75">
      <c r="A21" s="1173" t="s">
        <v>1285</v>
      </c>
      <c r="B21" s="760">
        <v>0</v>
      </c>
    </row>
    <row r="22" spans="1:2" ht="12.75">
      <c r="A22" s="1173" t="s">
        <v>1286</v>
      </c>
      <c r="B22" s="760">
        <v>10822</v>
      </c>
    </row>
    <row r="23" spans="1:2" ht="12.75">
      <c r="A23" s="1173" t="s">
        <v>1287</v>
      </c>
      <c r="B23" s="760">
        <v>0</v>
      </c>
    </row>
    <row r="24" spans="1:2" ht="12.75">
      <c r="A24" s="1173" t="s">
        <v>1288</v>
      </c>
      <c r="B24" s="760">
        <v>0</v>
      </c>
    </row>
    <row r="25" spans="1:2" ht="12.75">
      <c r="A25" s="1173" t="s">
        <v>1289</v>
      </c>
      <c r="B25" s="760">
        <v>2242</v>
      </c>
    </row>
    <row r="26" spans="1:2" ht="12.75">
      <c r="A26" s="1173" t="s">
        <v>1290</v>
      </c>
      <c r="B26" s="760">
        <v>7428</v>
      </c>
    </row>
    <row r="27" spans="1:2" ht="12.75">
      <c r="A27" s="1173" t="s">
        <v>1291</v>
      </c>
      <c r="B27" s="760">
        <v>42183</v>
      </c>
    </row>
    <row r="28" spans="1:2" ht="12.75">
      <c r="A28" s="1173" t="s">
        <v>1292</v>
      </c>
      <c r="B28" s="760">
        <v>29871</v>
      </c>
    </row>
    <row r="29" spans="1:2" ht="12.75">
      <c r="A29" s="1173" t="s">
        <v>1293</v>
      </c>
      <c r="B29" s="760"/>
    </row>
    <row r="30" spans="1:2" ht="12.75">
      <c r="A30" s="1173" t="s">
        <v>1294</v>
      </c>
      <c r="B30" s="760"/>
    </row>
    <row r="31" spans="1:2" ht="12.75">
      <c r="A31" s="759" t="s">
        <v>1038</v>
      </c>
      <c r="B31" s="756">
        <v>29000</v>
      </c>
    </row>
    <row r="32" spans="1:2" ht="12.75">
      <c r="A32" s="759" t="s">
        <v>1039</v>
      </c>
      <c r="B32" s="756">
        <v>187086</v>
      </c>
    </row>
    <row r="33" spans="1:2" ht="12.75">
      <c r="A33" s="759" t="s">
        <v>1040</v>
      </c>
      <c r="B33" s="761">
        <f>SUM(B14:B32)</f>
        <v>369598</v>
      </c>
    </row>
    <row r="34" spans="1:2" ht="12.75">
      <c r="A34" s="734"/>
      <c r="B34" s="734"/>
    </row>
    <row r="35" spans="1:2" ht="12.75">
      <c r="A35" s="734"/>
      <c r="B35" s="734"/>
    </row>
    <row r="36" spans="1:2" ht="12.75">
      <c r="A36" s="734"/>
      <c r="B36" s="734"/>
    </row>
    <row r="37" spans="1:2" ht="12.75">
      <c r="A37" s="759" t="s">
        <v>1041</v>
      </c>
      <c r="B37" s="734"/>
    </row>
    <row r="38" spans="1:2" ht="12.75">
      <c r="A38" s="734" t="s">
        <v>1042</v>
      </c>
      <c r="B38" s="756">
        <v>27434</v>
      </c>
    </row>
    <row r="39" spans="1:2" ht="12.75">
      <c r="A39" s="734" t="s">
        <v>1032</v>
      </c>
      <c r="B39" s="756">
        <v>8980</v>
      </c>
    </row>
    <row r="40" spans="1:2" ht="12.75">
      <c r="A40" s="734" t="s">
        <v>1033</v>
      </c>
      <c r="B40" s="756">
        <v>35472</v>
      </c>
    </row>
    <row r="41" spans="1:2" ht="12.75">
      <c r="A41" s="734" t="s">
        <v>1034</v>
      </c>
      <c r="B41" s="756">
        <v>10251</v>
      </c>
    </row>
    <row r="42" spans="1:2" ht="12.75">
      <c r="A42" s="734" t="s">
        <v>1035</v>
      </c>
      <c r="B42" s="756">
        <v>26946</v>
      </c>
    </row>
    <row r="43" spans="1:2" ht="12.75">
      <c r="A43" s="734" t="s">
        <v>1036</v>
      </c>
      <c r="B43" s="756">
        <v>35478</v>
      </c>
    </row>
    <row r="44" spans="1:2" ht="12.75">
      <c r="A44" s="734" t="s">
        <v>1037</v>
      </c>
      <c r="B44" s="756">
        <v>10632</v>
      </c>
    </row>
    <row r="45" spans="1:2" ht="12.75">
      <c r="A45" s="1173" t="s">
        <v>1285</v>
      </c>
      <c r="B45" s="756">
        <v>80556</v>
      </c>
    </row>
    <row r="46" spans="1:2" ht="12.75">
      <c r="A46" s="1173" t="s">
        <v>1286</v>
      </c>
      <c r="B46" s="756">
        <v>13762</v>
      </c>
    </row>
    <row r="47" spans="1:2" ht="12.75">
      <c r="A47" s="1173" t="s">
        <v>1287</v>
      </c>
      <c r="B47" s="756">
        <v>32730</v>
      </c>
    </row>
    <row r="48" spans="1:2" ht="12.75">
      <c r="A48" s="1173" t="s">
        <v>1288</v>
      </c>
      <c r="B48" s="756">
        <v>1126</v>
      </c>
    </row>
    <row r="49" spans="1:2" ht="12.75">
      <c r="A49" s="1173" t="s">
        <v>1289</v>
      </c>
      <c r="B49" s="756">
        <v>0</v>
      </c>
    </row>
    <row r="50" spans="1:2" ht="12.75">
      <c r="A50" s="1173" t="s">
        <v>1290</v>
      </c>
      <c r="B50" s="756">
        <v>7428</v>
      </c>
    </row>
    <row r="51" spans="1:2" ht="12.75">
      <c r="A51" s="1173" t="s">
        <v>1291</v>
      </c>
      <c r="B51" s="756">
        <v>42183</v>
      </c>
    </row>
    <row r="52" spans="1:2" ht="12.75">
      <c r="A52" s="1173" t="s">
        <v>1292</v>
      </c>
      <c r="B52" s="756">
        <v>29871</v>
      </c>
    </row>
    <row r="53" spans="1:2" ht="12.75">
      <c r="A53" s="1173" t="s">
        <v>1293</v>
      </c>
      <c r="B53" s="756">
        <v>2911</v>
      </c>
    </row>
    <row r="54" spans="1:2" ht="12.75">
      <c r="A54" s="1173" t="s">
        <v>1294</v>
      </c>
      <c r="B54" s="734">
        <v>3838</v>
      </c>
    </row>
    <row r="55" spans="1:2" ht="12.75">
      <c r="A55" s="759" t="s">
        <v>1043</v>
      </c>
      <c r="B55" s="761">
        <f>SUM(B38:B54)</f>
        <v>369598</v>
      </c>
    </row>
  </sheetData>
  <sheetProtection/>
  <mergeCells count="2">
    <mergeCell ref="A5:B5"/>
    <mergeCell ref="A6:B6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0">
      <selection activeCell="A27" sqref="A27"/>
    </sheetView>
  </sheetViews>
  <sheetFormatPr defaultColWidth="9.140625" defaultRowHeight="12.75"/>
  <cols>
    <col min="1" max="1" width="55.7109375" style="0" customWidth="1"/>
    <col min="2" max="2" width="26.28125" style="0" customWidth="1"/>
  </cols>
  <sheetData>
    <row r="1" ht="12.75">
      <c r="B1" s="471" t="s">
        <v>1044</v>
      </c>
    </row>
    <row r="4" spans="1:2" ht="18">
      <c r="A4" s="1229" t="s">
        <v>1045</v>
      </c>
      <c r="B4" s="1229"/>
    </row>
    <row r="7" ht="12.75">
      <c r="B7" s="369" t="s">
        <v>1046</v>
      </c>
    </row>
    <row r="8" spans="1:2" ht="15.75">
      <c r="A8" s="762" t="s">
        <v>5</v>
      </c>
      <c r="B8" s="763" t="s">
        <v>433</v>
      </c>
    </row>
    <row r="9" spans="1:2" ht="15.75">
      <c r="A9" s="764"/>
      <c r="B9" s="765"/>
    </row>
    <row r="10" spans="1:2" ht="15.75">
      <c r="A10" s="764" t="s">
        <v>1047</v>
      </c>
      <c r="B10" s="765"/>
    </row>
    <row r="11" spans="1:2" ht="15.75">
      <c r="A11" s="764" t="s">
        <v>1048</v>
      </c>
      <c r="B11" s="765">
        <v>554</v>
      </c>
    </row>
    <row r="12" spans="1:2" ht="15.75">
      <c r="A12" s="764" t="s">
        <v>1049</v>
      </c>
      <c r="B12" s="765">
        <v>5000</v>
      </c>
    </row>
    <row r="13" spans="1:2" ht="15.75">
      <c r="A13" s="764" t="s">
        <v>1050</v>
      </c>
      <c r="B13" s="765">
        <v>1000</v>
      </c>
    </row>
    <row r="14" spans="1:2" ht="15.75">
      <c r="A14" s="764" t="s">
        <v>1051</v>
      </c>
      <c r="B14" s="765">
        <v>2000</v>
      </c>
    </row>
    <row r="15" spans="1:2" ht="15.75">
      <c r="A15" s="764" t="s">
        <v>1052</v>
      </c>
      <c r="B15" s="765">
        <v>1000</v>
      </c>
    </row>
    <row r="16" spans="1:2" ht="15.75">
      <c r="A16" s="764" t="s">
        <v>1053</v>
      </c>
      <c r="B16" s="765">
        <v>10000</v>
      </c>
    </row>
    <row r="17" spans="1:2" ht="15.75">
      <c r="A17" s="764" t="s">
        <v>1054</v>
      </c>
      <c r="B17" s="765">
        <v>8333</v>
      </c>
    </row>
    <row r="18" spans="1:2" ht="15.75">
      <c r="A18" s="764" t="s">
        <v>1055</v>
      </c>
      <c r="B18" s="765">
        <v>5578</v>
      </c>
    </row>
    <row r="19" spans="1:2" ht="15.75">
      <c r="A19" s="764" t="s">
        <v>1056</v>
      </c>
      <c r="B19" s="765"/>
    </row>
    <row r="20" spans="1:2" ht="15.75">
      <c r="A20" s="766" t="s">
        <v>1057</v>
      </c>
      <c r="B20" s="767">
        <f>SUM(B11:B19)</f>
        <v>33465</v>
      </c>
    </row>
    <row r="21" spans="1:2" ht="15.75">
      <c r="A21" s="766"/>
      <c r="B21" s="767"/>
    </row>
    <row r="22" spans="1:2" ht="15.75">
      <c r="A22" s="764" t="s">
        <v>536</v>
      </c>
      <c r="B22" s="765"/>
    </row>
    <row r="23" spans="1:2" ht="15.75">
      <c r="A23" s="764" t="s">
        <v>538</v>
      </c>
      <c r="B23" s="765">
        <v>32733</v>
      </c>
    </row>
    <row r="24" spans="1:2" ht="15.75">
      <c r="A24" s="766" t="s">
        <v>1058</v>
      </c>
      <c r="B24" s="767">
        <f>SUM(B22:B23)</f>
        <v>32733</v>
      </c>
    </row>
    <row r="25" spans="1:2" ht="15.75">
      <c r="A25" s="766"/>
      <c r="B25" s="767"/>
    </row>
    <row r="26" spans="1:2" ht="15.75">
      <c r="A26" s="768" t="s">
        <v>1059</v>
      </c>
      <c r="B26" s="769">
        <f>B20+B24</f>
        <v>66198</v>
      </c>
    </row>
  </sheetData>
  <sheetProtection/>
  <mergeCells count="1">
    <mergeCell ref="A4:B4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5"/>
  <sheetViews>
    <sheetView zoomScalePageLayoutView="0" workbookViewId="0" topLeftCell="A115">
      <selection activeCell="A155" sqref="A1:F155"/>
    </sheetView>
  </sheetViews>
  <sheetFormatPr defaultColWidth="9.140625" defaultRowHeight="12.75"/>
  <cols>
    <col min="1" max="1" width="27.00390625" style="0" customWidth="1"/>
    <col min="2" max="2" width="12.00390625" style="0" customWidth="1"/>
    <col min="3" max="3" width="11.140625" style="0" customWidth="1"/>
    <col min="4" max="4" width="10.8515625" style="0" customWidth="1"/>
    <col min="5" max="5" width="11.28125" style="0" customWidth="1"/>
    <col min="6" max="6" width="13.00390625" style="0" customWidth="1"/>
  </cols>
  <sheetData>
    <row r="1" spans="1:6" ht="14.25">
      <c r="A1" s="26"/>
      <c r="B1" s="26"/>
      <c r="C1" s="26"/>
      <c r="D1" s="26"/>
      <c r="E1" s="1177" t="s">
        <v>103</v>
      </c>
      <c r="F1" s="1177"/>
    </row>
    <row r="2" spans="5:6" ht="15">
      <c r="E2" s="30"/>
      <c r="F2" s="30"/>
    </row>
    <row r="3" spans="1:6" ht="15.75">
      <c r="A3" s="1176" t="s">
        <v>104</v>
      </c>
      <c r="B3" s="1176"/>
      <c r="C3" s="1176"/>
      <c r="D3" s="1176"/>
      <c r="E3" s="1176"/>
      <c r="F3" s="1176"/>
    </row>
    <row r="4" spans="1:6" ht="15.75">
      <c r="A4" s="1176" t="s">
        <v>105</v>
      </c>
      <c r="B4" s="1176"/>
      <c r="C4" s="1176"/>
      <c r="D4" s="1176"/>
      <c r="E4" s="1176"/>
      <c r="F4" s="1176"/>
    </row>
    <row r="6" ht="12.75">
      <c r="F6" s="31" t="s">
        <v>80</v>
      </c>
    </row>
    <row r="7" spans="1:6" ht="15.75" customHeight="1">
      <c r="A7" s="118" t="s">
        <v>34</v>
      </c>
      <c r="B7" s="1178" t="s">
        <v>106</v>
      </c>
      <c r="C7" s="1178" t="s">
        <v>107</v>
      </c>
      <c r="D7" s="1178" t="s">
        <v>108</v>
      </c>
      <c r="E7" s="1179" t="s">
        <v>109</v>
      </c>
      <c r="F7" s="1180" t="s">
        <v>110</v>
      </c>
    </row>
    <row r="8" spans="1:6" ht="15.75">
      <c r="A8" s="120" t="s">
        <v>38</v>
      </c>
      <c r="B8" s="1178"/>
      <c r="C8" s="1178"/>
      <c r="D8" s="1178"/>
      <c r="E8" s="1179"/>
      <c r="F8" s="1180"/>
    </row>
    <row r="9" spans="1:6" ht="12.75">
      <c r="A9" s="44" t="s">
        <v>42</v>
      </c>
      <c r="B9" s="110"/>
      <c r="C9" s="69"/>
      <c r="D9" s="69"/>
      <c r="E9" s="52"/>
      <c r="F9" s="52"/>
    </row>
    <row r="10" spans="1:6" ht="12.75">
      <c r="A10" s="121" t="s">
        <v>43</v>
      </c>
      <c r="B10" s="94">
        <v>93300</v>
      </c>
      <c r="C10" s="48">
        <v>153520</v>
      </c>
      <c r="D10" s="39">
        <v>381647</v>
      </c>
      <c r="E10" s="39">
        <v>4602</v>
      </c>
      <c r="F10" s="39">
        <v>14745</v>
      </c>
    </row>
    <row r="11" spans="1:6" ht="12.75">
      <c r="A11" s="19" t="s">
        <v>44</v>
      </c>
      <c r="B11" s="94">
        <v>27405</v>
      </c>
      <c r="C11" s="48">
        <v>47989</v>
      </c>
      <c r="D11" s="39">
        <v>120723</v>
      </c>
      <c r="E11" s="48">
        <v>1532</v>
      </c>
      <c r="F11" s="48">
        <v>4682</v>
      </c>
    </row>
    <row r="12" spans="1:6" ht="12.75">
      <c r="A12" s="19" t="s">
        <v>45</v>
      </c>
      <c r="B12" s="94">
        <v>126493</v>
      </c>
      <c r="C12" s="48">
        <v>12873</v>
      </c>
      <c r="D12" s="39">
        <v>31331</v>
      </c>
      <c r="E12" s="48">
        <v>4232</v>
      </c>
      <c r="F12" s="48">
        <v>1003</v>
      </c>
    </row>
    <row r="13" spans="1:6" ht="12.75">
      <c r="A13" s="19" t="s">
        <v>47</v>
      </c>
      <c r="B13" s="94">
        <v>0</v>
      </c>
      <c r="C13" s="48">
        <v>0</v>
      </c>
      <c r="D13" s="39">
        <v>18</v>
      </c>
      <c r="E13" s="48">
        <v>0</v>
      </c>
      <c r="F13" s="48">
        <v>0</v>
      </c>
    </row>
    <row r="14" spans="1:6" ht="12.75">
      <c r="A14" s="8" t="s">
        <v>86</v>
      </c>
      <c r="B14" s="56">
        <v>0</v>
      </c>
      <c r="C14" s="48">
        <v>0</v>
      </c>
      <c r="D14" s="39">
        <v>0</v>
      </c>
      <c r="E14" s="48">
        <v>0</v>
      </c>
      <c r="F14" s="48">
        <v>0</v>
      </c>
    </row>
    <row r="15" spans="1:6" ht="12.75">
      <c r="A15" s="8" t="s">
        <v>87</v>
      </c>
      <c r="B15" s="56"/>
      <c r="C15" s="48"/>
      <c r="D15" s="39"/>
      <c r="E15" s="48"/>
      <c r="F15" s="48"/>
    </row>
    <row r="16" spans="1:6" ht="12.75">
      <c r="A16" s="122" t="s">
        <v>88</v>
      </c>
      <c r="B16" s="56">
        <v>0</v>
      </c>
      <c r="C16" s="39">
        <v>0</v>
      </c>
      <c r="D16" s="39">
        <v>0</v>
      </c>
      <c r="E16" s="39">
        <v>0</v>
      </c>
      <c r="F16" s="39">
        <v>0</v>
      </c>
    </row>
    <row r="17" spans="1:6" ht="12.75">
      <c r="A17" s="65"/>
      <c r="B17" s="53"/>
      <c r="C17" s="64"/>
      <c r="D17" s="64"/>
      <c r="E17" s="64"/>
      <c r="F17" s="64"/>
    </row>
    <row r="18" spans="1:6" s="91" customFormat="1" ht="12.75">
      <c r="A18" s="43" t="s">
        <v>89</v>
      </c>
      <c r="B18" s="61">
        <f>SUM(B10:B14)</f>
        <v>247198</v>
      </c>
      <c r="C18" s="61">
        <f>SUM(C10:C14)</f>
        <v>214382</v>
      </c>
      <c r="D18" s="61">
        <f>SUM(D10:D16)</f>
        <v>533719</v>
      </c>
      <c r="E18" s="61">
        <f>SUM(E10:E14)</f>
        <v>10366</v>
      </c>
      <c r="F18" s="61">
        <f>SUM(F10:F14)</f>
        <v>20430</v>
      </c>
    </row>
    <row r="19" spans="1:6" ht="12.75">
      <c r="A19" s="33"/>
      <c r="B19" s="52"/>
      <c r="C19" s="123"/>
      <c r="D19" s="52"/>
      <c r="E19" s="92"/>
      <c r="F19" s="64"/>
    </row>
    <row r="20" spans="1:6" ht="12.75">
      <c r="A20" s="47" t="s">
        <v>51</v>
      </c>
      <c r="B20" s="48"/>
      <c r="C20" s="49"/>
      <c r="D20" s="48"/>
      <c r="E20" s="94"/>
      <c r="F20" s="48"/>
    </row>
    <row r="21" spans="1:6" ht="12.75">
      <c r="A21" s="19" t="s">
        <v>52</v>
      </c>
      <c r="B21" s="48">
        <v>0</v>
      </c>
      <c r="C21" s="49">
        <v>0</v>
      </c>
      <c r="D21" s="39">
        <f>'4_sz_ melléklet'!B34</f>
        <v>4097</v>
      </c>
      <c r="E21" s="94">
        <v>0</v>
      </c>
      <c r="F21" s="48">
        <v>0</v>
      </c>
    </row>
    <row r="22" spans="1:6" ht="12.75">
      <c r="A22" s="19" t="s">
        <v>90</v>
      </c>
      <c r="B22" s="48">
        <v>0</v>
      </c>
      <c r="C22" s="49">
        <v>0</v>
      </c>
      <c r="D22" s="39">
        <v>0</v>
      </c>
      <c r="E22" s="94">
        <v>0</v>
      </c>
      <c r="F22" s="48">
        <v>0</v>
      </c>
    </row>
    <row r="23" spans="1:6" ht="12.75">
      <c r="A23" s="19" t="s">
        <v>54</v>
      </c>
      <c r="B23" s="48">
        <v>0</v>
      </c>
      <c r="C23" s="49">
        <v>0</v>
      </c>
      <c r="D23" s="39">
        <v>0</v>
      </c>
      <c r="E23" s="94">
        <v>0</v>
      </c>
      <c r="F23" s="48">
        <v>0</v>
      </c>
    </row>
    <row r="24" spans="1:6" ht="12.75">
      <c r="A24" s="8" t="s">
        <v>111</v>
      </c>
      <c r="B24" s="39">
        <v>0</v>
      </c>
      <c r="C24" s="49">
        <v>0</v>
      </c>
      <c r="D24" s="39">
        <v>0</v>
      </c>
      <c r="E24" s="56">
        <v>0</v>
      </c>
      <c r="F24" s="39">
        <v>0</v>
      </c>
    </row>
    <row r="25" spans="1:6" ht="12.75">
      <c r="A25" s="65"/>
      <c r="B25" s="64"/>
      <c r="C25" s="124"/>
      <c r="D25" s="39"/>
      <c r="E25" s="53"/>
      <c r="F25" s="64"/>
    </row>
    <row r="26" spans="1:6" ht="12.75">
      <c r="A26" s="43" t="s">
        <v>91</v>
      </c>
      <c r="B26" s="16">
        <f>B21+B22+B23+B24</f>
        <v>0</v>
      </c>
      <c r="C26" s="16">
        <f>C21+C22+C23+C24</f>
        <v>0</v>
      </c>
      <c r="D26" s="16">
        <f>D21+D22+D23+D24</f>
        <v>4097</v>
      </c>
      <c r="E26" s="16">
        <f>E21+E22+E23+E24</f>
        <v>0</v>
      </c>
      <c r="F26" s="16">
        <f>F21+F22+F23+F24</f>
        <v>0</v>
      </c>
    </row>
    <row r="27" spans="1:6" ht="12.75">
      <c r="A27" s="33"/>
      <c r="B27" s="53"/>
      <c r="C27" s="52"/>
      <c r="D27" s="52"/>
      <c r="E27" s="72"/>
      <c r="F27" s="52"/>
    </row>
    <row r="28" spans="1:6" ht="12.75">
      <c r="A28" s="50" t="s">
        <v>92</v>
      </c>
      <c r="B28" s="53"/>
      <c r="C28" s="64"/>
      <c r="D28" s="64"/>
      <c r="E28" s="72"/>
      <c r="F28" s="64"/>
    </row>
    <row r="29" spans="1:6" ht="12.75">
      <c r="A29" s="54" t="s">
        <v>58</v>
      </c>
      <c r="B29" s="56">
        <v>0</v>
      </c>
      <c r="C29" s="39">
        <v>0</v>
      </c>
      <c r="D29" s="39">
        <v>0</v>
      </c>
      <c r="E29" s="40">
        <v>0</v>
      </c>
      <c r="F29" s="39">
        <v>0</v>
      </c>
    </row>
    <row r="30" spans="1:6" ht="12.75">
      <c r="A30" s="125" t="s">
        <v>59</v>
      </c>
      <c r="B30" s="53">
        <v>0</v>
      </c>
      <c r="C30" s="78">
        <v>0</v>
      </c>
      <c r="D30" s="78">
        <v>0</v>
      </c>
      <c r="E30" s="72">
        <v>0</v>
      </c>
      <c r="F30" s="78">
        <v>0</v>
      </c>
    </row>
    <row r="31" spans="1:6" ht="12.75">
      <c r="A31" s="43" t="s">
        <v>93</v>
      </c>
      <c r="B31" s="61">
        <f>B29+B30</f>
        <v>0</v>
      </c>
      <c r="C31" s="61">
        <f>C29+C30</f>
        <v>0</v>
      </c>
      <c r="D31" s="61">
        <f>D29+D30</f>
        <v>0</v>
      </c>
      <c r="E31" s="61">
        <f>E29+E30</f>
        <v>0</v>
      </c>
      <c r="F31" s="61">
        <f>F29+F30</f>
        <v>0</v>
      </c>
    </row>
    <row r="32" spans="1:6" ht="12.75">
      <c r="A32" s="33"/>
      <c r="B32" s="53"/>
      <c r="C32" s="52"/>
      <c r="D32" s="64"/>
      <c r="E32" s="64"/>
      <c r="F32" s="64"/>
    </row>
    <row r="33" spans="1:6" ht="12.75">
      <c r="A33" s="62" t="s">
        <v>94</v>
      </c>
      <c r="B33" s="53"/>
      <c r="C33" s="64"/>
      <c r="D33" s="64"/>
      <c r="E33" s="64"/>
      <c r="F33" s="64"/>
    </row>
    <row r="34" spans="1:6" ht="12.75">
      <c r="A34" s="54" t="s">
        <v>58</v>
      </c>
      <c r="B34" s="56">
        <v>0</v>
      </c>
      <c r="C34" s="39">
        <v>0</v>
      </c>
      <c r="D34" s="39">
        <v>0</v>
      </c>
      <c r="E34" s="39">
        <v>0</v>
      </c>
      <c r="F34" s="39">
        <v>0</v>
      </c>
    </row>
    <row r="35" spans="1:6" ht="12.75">
      <c r="A35" s="126" t="s">
        <v>59</v>
      </c>
      <c r="B35" s="59">
        <v>0</v>
      </c>
      <c r="C35" s="63">
        <v>0</v>
      </c>
      <c r="D35" s="58">
        <v>0</v>
      </c>
      <c r="E35" s="58">
        <v>0</v>
      </c>
      <c r="F35" s="58">
        <v>0</v>
      </c>
    </row>
    <row r="36" spans="1:6" ht="12.75">
      <c r="A36" s="43" t="s">
        <v>95</v>
      </c>
      <c r="B36" s="61">
        <f>B34+B35</f>
        <v>0</v>
      </c>
      <c r="C36" s="61">
        <f>C34+C35</f>
        <v>0</v>
      </c>
      <c r="D36" s="61">
        <f>D34+D35</f>
        <v>0</v>
      </c>
      <c r="E36" s="61">
        <f>E34+E35</f>
        <v>0</v>
      </c>
      <c r="F36" s="61">
        <f>F34+F35</f>
        <v>0</v>
      </c>
    </row>
    <row r="37" spans="1:6" ht="12.75">
      <c r="A37" s="33"/>
      <c r="B37" s="53"/>
      <c r="C37" s="53"/>
      <c r="D37" s="64"/>
      <c r="E37" s="64"/>
      <c r="F37" s="64"/>
    </row>
    <row r="38" spans="1:6" ht="12.75">
      <c r="A38" s="47" t="s">
        <v>63</v>
      </c>
      <c r="B38" s="94"/>
      <c r="C38" s="94"/>
      <c r="D38" s="48"/>
      <c r="E38" s="48"/>
      <c r="F38" s="48"/>
    </row>
    <row r="39" spans="1:6" ht="12.75">
      <c r="A39" s="121" t="s">
        <v>96</v>
      </c>
      <c r="B39" s="94">
        <v>0</v>
      </c>
      <c r="C39" s="48">
        <v>0</v>
      </c>
      <c r="D39" s="48">
        <v>0</v>
      </c>
      <c r="E39" s="48">
        <v>0</v>
      </c>
      <c r="F39" s="48">
        <v>0</v>
      </c>
    </row>
    <row r="40" spans="1:6" ht="12.75">
      <c r="A40" s="127" t="s">
        <v>97</v>
      </c>
      <c r="B40" s="53">
        <v>0</v>
      </c>
      <c r="C40" s="78">
        <v>0</v>
      </c>
      <c r="D40" s="78">
        <v>0</v>
      </c>
      <c r="E40" s="78">
        <v>0</v>
      </c>
      <c r="F40" s="78">
        <v>0</v>
      </c>
    </row>
    <row r="41" spans="1:6" ht="12.75">
      <c r="A41" s="33" t="s">
        <v>98</v>
      </c>
      <c r="B41" s="128">
        <f>B39+B40</f>
        <v>0</v>
      </c>
      <c r="C41" s="128">
        <f>C39+C40</f>
        <v>0</v>
      </c>
      <c r="D41" s="128">
        <f>D39+D40</f>
        <v>0</v>
      </c>
      <c r="E41" s="128">
        <f>E39+E40</f>
        <v>0</v>
      </c>
      <c r="F41" s="128">
        <f>F39+F40</f>
        <v>0</v>
      </c>
    </row>
    <row r="42" spans="1:6" ht="12.75">
      <c r="A42" s="33"/>
      <c r="B42" s="92"/>
      <c r="C42" s="52"/>
      <c r="D42" s="92"/>
      <c r="E42" s="52"/>
      <c r="F42" s="52"/>
    </row>
    <row r="43" spans="1:6" ht="12.75">
      <c r="A43" s="103" t="s">
        <v>67</v>
      </c>
      <c r="B43" s="55"/>
      <c r="C43" s="129"/>
      <c r="D43" s="130"/>
      <c r="E43" s="40"/>
      <c r="F43" s="39"/>
    </row>
    <row r="44" spans="1:6" ht="12.75">
      <c r="A44" s="70" t="s">
        <v>68</v>
      </c>
      <c r="B44" s="131">
        <v>0</v>
      </c>
      <c r="C44" s="131">
        <v>0</v>
      </c>
      <c r="D44" s="48">
        <v>0</v>
      </c>
      <c r="E44" s="49">
        <v>0</v>
      </c>
      <c r="F44" s="48">
        <v>0</v>
      </c>
    </row>
    <row r="45" spans="1:6" ht="12.75">
      <c r="A45" s="71" t="s">
        <v>69</v>
      </c>
      <c r="B45" s="55">
        <v>0</v>
      </c>
      <c r="C45" s="51">
        <v>0</v>
      </c>
      <c r="D45" s="64">
        <v>0</v>
      </c>
      <c r="E45" s="72">
        <v>0</v>
      </c>
      <c r="F45" s="64">
        <v>0</v>
      </c>
    </row>
    <row r="46" spans="1:6" ht="12.75">
      <c r="A46" s="43" t="s">
        <v>70</v>
      </c>
      <c r="B46" s="60">
        <f>B44+B45</f>
        <v>0</v>
      </c>
      <c r="C46" s="60">
        <f>C44+C45</f>
        <v>0</v>
      </c>
      <c r="D46" s="60">
        <f>D44+D45</f>
        <v>0</v>
      </c>
      <c r="E46" s="60">
        <f>E44+E45</f>
        <v>0</v>
      </c>
      <c r="F46" s="16">
        <f>F44+F45</f>
        <v>0</v>
      </c>
    </row>
    <row r="47" spans="1:6" ht="12.75">
      <c r="A47" s="90"/>
      <c r="B47" s="104"/>
      <c r="C47" s="51"/>
      <c r="D47" s="64"/>
      <c r="E47" s="72"/>
      <c r="F47" s="64"/>
    </row>
    <row r="48" spans="1:6" s="91" customFormat="1" ht="12.75">
      <c r="A48" s="132" t="s">
        <v>99</v>
      </c>
      <c r="B48" s="133">
        <f>B46+B41+B36+B31+B26+B18</f>
        <v>247198</v>
      </c>
      <c r="C48" s="133">
        <f>C46+C41+C36+C31+C26+C18</f>
        <v>214382</v>
      </c>
      <c r="D48" s="133">
        <f>D46+D41+D36+D31+D26+D18</f>
        <v>537816</v>
      </c>
      <c r="E48" s="133">
        <f>E46+E41+E36+E31+E26+E18</f>
        <v>10366</v>
      </c>
      <c r="F48" s="133">
        <f>F46+F41+F36+F31+F26+F18</f>
        <v>20430</v>
      </c>
    </row>
    <row r="49" spans="1:6" ht="12.75">
      <c r="A49" s="107"/>
      <c r="B49" s="108"/>
      <c r="C49" s="51"/>
      <c r="D49" s="64"/>
      <c r="E49" s="72"/>
      <c r="F49" s="64"/>
    </row>
    <row r="50" spans="1:6" ht="12.75">
      <c r="A50" s="50" t="s">
        <v>112</v>
      </c>
      <c r="B50" s="51">
        <v>0</v>
      </c>
      <c r="C50" s="104">
        <v>0</v>
      </c>
      <c r="D50" s="67">
        <v>0</v>
      </c>
      <c r="E50" s="134">
        <v>0</v>
      </c>
      <c r="F50" s="67">
        <v>0</v>
      </c>
    </row>
    <row r="51" spans="1:6" ht="12.75">
      <c r="A51" s="135"/>
      <c r="B51" s="104"/>
      <c r="C51" s="51"/>
      <c r="D51" s="64"/>
      <c r="E51" s="72"/>
      <c r="F51" s="64"/>
    </row>
    <row r="52" spans="1:6" ht="12.75">
      <c r="A52" s="117" t="s">
        <v>102</v>
      </c>
      <c r="B52" s="136">
        <f>B48+B50</f>
        <v>247198</v>
      </c>
      <c r="C52" s="136">
        <f>C48+C50</f>
        <v>214382</v>
      </c>
      <c r="D52" s="136">
        <f>D48+D50</f>
        <v>537816</v>
      </c>
      <c r="E52" s="136">
        <f>E48+E50</f>
        <v>10366</v>
      </c>
      <c r="F52" s="133">
        <f>F48+F50</f>
        <v>20430</v>
      </c>
    </row>
    <row r="53" spans="1:6" ht="12.75">
      <c r="A53" s="137"/>
      <c r="B53" s="858"/>
      <c r="C53" s="858"/>
      <c r="D53" s="858"/>
      <c r="E53" s="858"/>
      <c r="F53" s="858"/>
    </row>
    <row r="54" spans="1:6" ht="12.75">
      <c r="A54" s="137"/>
      <c r="B54" s="858"/>
      <c r="C54" s="858"/>
      <c r="D54" s="858"/>
      <c r="E54" s="858"/>
      <c r="F54" s="858"/>
    </row>
    <row r="55" spans="1:6" ht="12.75">
      <c r="A55" s="137"/>
      <c r="B55" s="137"/>
      <c r="C55" s="37"/>
      <c r="D55" s="37"/>
      <c r="E55" s="37"/>
      <c r="F55" s="37"/>
    </row>
    <row r="56" spans="1:6" ht="12.75">
      <c r="A56" s="1181">
        <v>2</v>
      </c>
      <c r="B56" s="1181"/>
      <c r="C56" s="1181"/>
      <c r="D56" s="1181"/>
      <c r="E56" s="1181"/>
      <c r="F56" s="1181"/>
    </row>
    <row r="57" spans="1:6" ht="14.25">
      <c r="A57" s="1177" t="s">
        <v>113</v>
      </c>
      <c r="B57" s="1177"/>
      <c r="C57" s="1177"/>
      <c r="D57" s="1177"/>
      <c r="E57" s="1177"/>
      <c r="F57" s="1177"/>
    </row>
    <row r="58" spans="1:6" ht="15.75">
      <c r="A58" s="1176" t="s">
        <v>104</v>
      </c>
      <c r="B58" s="1176"/>
      <c r="C58" s="1176"/>
      <c r="D58" s="1176"/>
      <c r="E58" s="1176"/>
      <c r="F58" s="1176"/>
    </row>
    <row r="59" spans="1:6" ht="15.75">
      <c r="A59" s="1176" t="s">
        <v>105</v>
      </c>
      <c r="B59" s="1176"/>
      <c r="C59" s="1176"/>
      <c r="D59" s="1176"/>
      <c r="E59" s="1176"/>
      <c r="F59" s="1176"/>
    </row>
    <row r="60" ht="12.75">
      <c r="F60" s="31" t="s">
        <v>80</v>
      </c>
    </row>
    <row r="61" spans="1:6" ht="63" customHeight="1">
      <c r="A61" s="138" t="s">
        <v>114</v>
      </c>
      <c r="B61" s="139" t="s">
        <v>115</v>
      </c>
      <c r="C61" s="139" t="s">
        <v>116</v>
      </c>
      <c r="D61" s="140" t="s">
        <v>117</v>
      </c>
      <c r="E61" s="141" t="s">
        <v>118</v>
      </c>
      <c r="F61" s="142" t="s">
        <v>119</v>
      </c>
    </row>
    <row r="62" spans="1:6" ht="12.75">
      <c r="A62" s="44" t="s">
        <v>42</v>
      </c>
      <c r="B62" s="69"/>
      <c r="C62" s="109"/>
      <c r="D62" s="143"/>
      <c r="E62" s="144"/>
      <c r="F62" s="145"/>
    </row>
    <row r="63" spans="1:6" ht="12.75">
      <c r="A63" s="121" t="s">
        <v>43</v>
      </c>
      <c r="B63" s="48">
        <v>1968</v>
      </c>
      <c r="C63" s="55">
        <f>153037+129+106+260+263-2000+163</f>
        <v>151958</v>
      </c>
      <c r="D63" s="146">
        <f>213332+207+581+1250+263-1250</f>
        <v>214383</v>
      </c>
      <c r="E63" s="147">
        <f>87665+1090+552+282</f>
        <v>89589</v>
      </c>
      <c r="F63" s="148">
        <f aca="true" t="shared" si="0" ref="F63:F69">E63+D63+C63+B63+B10+C10+D10+E10+F10</f>
        <v>1105712</v>
      </c>
    </row>
    <row r="64" spans="1:6" ht="12.75">
      <c r="A64" s="19" t="s">
        <v>44</v>
      </c>
      <c r="B64" s="48">
        <v>674</v>
      </c>
      <c r="C64" s="55">
        <f>47657+20+3+67+62</f>
        <v>47809</v>
      </c>
      <c r="D64" s="146">
        <f>64945+33+14+325+67-325</f>
        <v>65059</v>
      </c>
      <c r="E64" s="147">
        <f>27060+173+156+73</f>
        <v>27462</v>
      </c>
      <c r="F64" s="148">
        <f t="shared" si="0"/>
        <v>343335</v>
      </c>
    </row>
    <row r="65" spans="1:6" ht="12.75">
      <c r="A65" s="19" t="s">
        <v>45</v>
      </c>
      <c r="B65" s="48">
        <v>693</v>
      </c>
      <c r="C65" s="55">
        <f>21624+1362+280+46+866</f>
        <v>24178</v>
      </c>
      <c r="D65" s="146">
        <f>34736+306+1116+950+20+1358-950-10</f>
        <v>37526</v>
      </c>
      <c r="E65" s="147">
        <f>207393+40-11250</f>
        <v>196183</v>
      </c>
      <c r="F65" s="148">
        <f t="shared" si="0"/>
        <v>434512</v>
      </c>
    </row>
    <row r="66" spans="1:6" ht="12.75">
      <c r="A66" s="19" t="s">
        <v>47</v>
      </c>
      <c r="B66" s="48"/>
      <c r="C66" s="55">
        <f>495+105</f>
        <v>600</v>
      </c>
      <c r="D66" s="146">
        <f>3510+80+435</f>
        <v>4025</v>
      </c>
      <c r="E66" s="147"/>
      <c r="F66" s="148">
        <f t="shared" si="0"/>
        <v>4643</v>
      </c>
    </row>
    <row r="67" spans="1:6" ht="12.75">
      <c r="A67" s="8" t="s">
        <v>86</v>
      </c>
      <c r="B67" s="48">
        <v>0</v>
      </c>
      <c r="C67" s="55"/>
      <c r="D67" s="146">
        <v>0</v>
      </c>
      <c r="E67" s="147"/>
      <c r="F67" s="148">
        <f t="shared" si="0"/>
        <v>0</v>
      </c>
    </row>
    <row r="68" spans="1:6" ht="12.75">
      <c r="A68" s="8" t="s">
        <v>87</v>
      </c>
      <c r="B68" s="48"/>
      <c r="C68" s="55"/>
      <c r="D68" s="146"/>
      <c r="E68" s="147"/>
      <c r="F68" s="148">
        <f t="shared" si="0"/>
        <v>0</v>
      </c>
    </row>
    <row r="69" spans="1:6" ht="12.75">
      <c r="A69" s="122" t="s">
        <v>88</v>
      </c>
      <c r="B69" s="39">
        <v>0</v>
      </c>
      <c r="C69" s="55"/>
      <c r="D69" s="146">
        <v>0</v>
      </c>
      <c r="E69" s="147"/>
      <c r="F69" s="148">
        <f t="shared" si="0"/>
        <v>0</v>
      </c>
    </row>
    <row r="70" spans="1:6" ht="12.75">
      <c r="A70" s="65"/>
      <c r="B70" s="64"/>
      <c r="C70" s="149"/>
      <c r="D70" s="150"/>
      <c r="E70" s="151"/>
      <c r="F70" s="152"/>
    </row>
    <row r="71" spans="1:6" s="91" customFormat="1" ht="12.75">
      <c r="A71" s="43" t="s">
        <v>89</v>
      </c>
      <c r="B71" s="61">
        <f>SUM(B63:B67)</f>
        <v>3335</v>
      </c>
      <c r="C71" s="16">
        <f>SUM(C63:C70)</f>
        <v>224545</v>
      </c>
      <c r="D71" s="153">
        <f>SUM(D63:D67)</f>
        <v>320993</v>
      </c>
      <c r="E71" s="153">
        <f>SUM(E63:E67)</f>
        <v>313234</v>
      </c>
      <c r="F71" s="16">
        <f>SUM(F63:F70)</f>
        <v>1888202</v>
      </c>
    </row>
    <row r="72" spans="1:6" ht="12.75">
      <c r="A72" s="44"/>
      <c r="B72" s="109"/>
      <c r="C72" s="109"/>
      <c r="D72" s="143"/>
      <c r="E72" s="144"/>
      <c r="F72" s="154"/>
    </row>
    <row r="73" spans="1:6" ht="12.75">
      <c r="A73" s="47" t="s">
        <v>51</v>
      </c>
      <c r="B73" s="131"/>
      <c r="C73" s="131"/>
      <c r="D73" s="155"/>
      <c r="E73" s="156"/>
      <c r="F73" s="145"/>
    </row>
    <row r="74" spans="1:6" ht="12.75">
      <c r="A74" s="19" t="s">
        <v>52</v>
      </c>
      <c r="B74" s="131">
        <v>0</v>
      </c>
      <c r="C74" s="55">
        <f>'4_sz_ melléklet'!B40</f>
        <v>4751</v>
      </c>
      <c r="D74" s="146">
        <f>'4_sz_ melléklet'!B53</f>
        <v>7718</v>
      </c>
      <c r="E74" s="147">
        <v>0</v>
      </c>
      <c r="F74" s="148">
        <f>E74+D74+C74+B74+B21+C21+D21+E21+F21</f>
        <v>16566</v>
      </c>
    </row>
    <row r="75" spans="1:6" ht="12.75">
      <c r="A75" s="19" t="s">
        <v>90</v>
      </c>
      <c r="B75" s="131">
        <v>0</v>
      </c>
      <c r="C75" s="55">
        <f>'3_sz_ melléklet'!B21</f>
        <v>4720</v>
      </c>
      <c r="D75" s="146">
        <v>0</v>
      </c>
      <c r="E75" s="147">
        <v>0</v>
      </c>
      <c r="F75" s="148">
        <f>E75+D75+C75+B75+B22+C22+D22+E22+F22</f>
        <v>4720</v>
      </c>
    </row>
    <row r="76" spans="1:6" ht="12.75">
      <c r="A76" s="19" t="s">
        <v>54</v>
      </c>
      <c r="B76" s="131">
        <v>0</v>
      </c>
      <c r="C76" s="55"/>
      <c r="D76" s="146">
        <v>0</v>
      </c>
      <c r="E76" s="147">
        <f>SUM(C76:D76)</f>
        <v>0</v>
      </c>
      <c r="F76" s="148">
        <f>E76+D76+C76+B76+B23+C23+D23+E23+F23</f>
        <v>0</v>
      </c>
    </row>
    <row r="77" spans="1:6" ht="12.75">
      <c r="A77" s="8" t="s">
        <v>111</v>
      </c>
      <c r="B77" s="131">
        <v>0</v>
      </c>
      <c r="C77" s="55"/>
      <c r="D77" s="146">
        <v>0</v>
      </c>
      <c r="E77" s="147">
        <f>SUM(C77:D77)</f>
        <v>0</v>
      </c>
      <c r="F77" s="148">
        <f>E77+D77+C77+B77+B24+C24+D24+E24+F24</f>
        <v>0</v>
      </c>
    </row>
    <row r="78" spans="1:6" ht="12.75">
      <c r="A78" s="65"/>
      <c r="B78" s="157"/>
      <c r="C78" s="149"/>
      <c r="D78" s="158"/>
      <c r="E78" s="147"/>
      <c r="F78" s="152"/>
    </row>
    <row r="79" spans="1:6" s="91" customFormat="1" ht="12.75">
      <c r="A79" s="43" t="s">
        <v>91</v>
      </c>
      <c r="B79" s="61">
        <f>B74+B75+B76+B77</f>
        <v>0</v>
      </c>
      <c r="C79" s="16">
        <f>SUM(C74:C78)</f>
        <v>9471</v>
      </c>
      <c r="D79" s="133">
        <f>SUM(D74:D77)</f>
        <v>7718</v>
      </c>
      <c r="E79" s="133">
        <f>SUM(E74:E77)</f>
        <v>0</v>
      </c>
      <c r="F79" s="16">
        <f>SUM(F74:F78)</f>
        <v>21286</v>
      </c>
    </row>
    <row r="80" spans="1:6" ht="12.75">
      <c r="A80" s="44"/>
      <c r="B80" s="109"/>
      <c r="C80" s="69"/>
      <c r="D80" s="159"/>
      <c r="E80" s="160"/>
      <c r="F80" s="145"/>
    </row>
    <row r="81" spans="1:6" ht="12.75">
      <c r="A81" s="50" t="s">
        <v>92</v>
      </c>
      <c r="B81" s="51"/>
      <c r="C81" s="48"/>
      <c r="D81" s="161"/>
      <c r="E81" s="161"/>
      <c r="F81" s="162"/>
    </row>
    <row r="82" spans="1:6" ht="12.75">
      <c r="A82" s="54" t="s">
        <v>58</v>
      </c>
      <c r="B82" s="55">
        <v>0</v>
      </c>
      <c r="C82" s="39">
        <f>B82+F29+E29+D29+C29+B29</f>
        <v>0</v>
      </c>
      <c r="D82" s="147">
        <v>0</v>
      </c>
      <c r="E82" s="161">
        <f>SUM(C82:D82)</f>
        <v>0</v>
      </c>
      <c r="F82" s="148">
        <f>E82+D82+C82+B82+B29+C29+D29+E29+F29</f>
        <v>0</v>
      </c>
    </row>
    <row r="83" spans="1:6" ht="12.75">
      <c r="A83" s="125" t="s">
        <v>59</v>
      </c>
      <c r="B83" s="157">
        <v>0</v>
      </c>
      <c r="C83" s="39">
        <f>B83+F30+E30+D30+C30+B30</f>
        <v>0</v>
      </c>
      <c r="D83" s="163">
        <v>0</v>
      </c>
      <c r="E83" s="161">
        <f>SUM(C83:D83)</f>
        <v>0</v>
      </c>
      <c r="F83" s="148">
        <f>E83+D83+C83+B83+B30+C30+D30+E30+F30</f>
        <v>0</v>
      </c>
    </row>
    <row r="84" spans="1:6" ht="12.75">
      <c r="A84" s="43" t="s">
        <v>93</v>
      </c>
      <c r="B84" s="61">
        <f>B82+B83</f>
        <v>0</v>
      </c>
      <c r="C84" s="16">
        <f>SUM(C82:C83)</f>
        <v>0</v>
      </c>
      <c r="D84" s="133">
        <f>D82+D83</f>
        <v>0</v>
      </c>
      <c r="E84" s="133">
        <f>E82+E83</f>
        <v>0</v>
      </c>
      <c r="F84" s="16">
        <f>SUM(F82:F83)</f>
        <v>0</v>
      </c>
    </row>
    <row r="85" spans="1:6" ht="12.75">
      <c r="A85" s="44"/>
      <c r="B85" s="109"/>
      <c r="C85" s="69"/>
      <c r="D85" s="159"/>
      <c r="E85" s="144"/>
      <c r="F85" s="154"/>
    </row>
    <row r="86" spans="1:6" ht="12.75">
      <c r="A86" s="62" t="s">
        <v>94</v>
      </c>
      <c r="B86" s="51"/>
      <c r="C86" s="48"/>
      <c r="D86" s="163"/>
      <c r="E86" s="161"/>
      <c r="F86" s="145"/>
    </row>
    <row r="87" spans="1:6" ht="12.75">
      <c r="A87" s="54" t="s">
        <v>58</v>
      </c>
      <c r="B87" s="55">
        <v>0</v>
      </c>
      <c r="C87" s="39"/>
      <c r="D87" s="164">
        <v>0</v>
      </c>
      <c r="E87" s="147">
        <f>SUM(C87:D87)</f>
        <v>0</v>
      </c>
      <c r="F87" s="148">
        <f>E87+D87+C87+B87+B34+C34+D34+E34+F34</f>
        <v>0</v>
      </c>
    </row>
    <row r="88" spans="1:6" ht="12.75">
      <c r="A88" s="126" t="s">
        <v>59</v>
      </c>
      <c r="B88" s="165">
        <v>0</v>
      </c>
      <c r="C88" s="63"/>
      <c r="D88" s="164">
        <v>0</v>
      </c>
      <c r="E88" s="151">
        <f>SUM(C88:D88)</f>
        <v>0</v>
      </c>
      <c r="F88" s="148">
        <f>E88+D88+C88+B88+B35+C35+D35+E35+F35</f>
        <v>0</v>
      </c>
    </row>
    <row r="89" spans="1:6" ht="12.75">
      <c r="A89" s="43" t="s">
        <v>95</v>
      </c>
      <c r="B89" s="61">
        <f>B87+B88</f>
        <v>0</v>
      </c>
      <c r="C89" s="16">
        <f>SUM(C87:C88)</f>
        <v>0</v>
      </c>
      <c r="D89" s="133">
        <f>D87+D88</f>
        <v>0</v>
      </c>
      <c r="E89" s="133">
        <f>E87+E88</f>
        <v>0</v>
      </c>
      <c r="F89" s="16">
        <f>SUM(F87:F88)</f>
        <v>0</v>
      </c>
    </row>
    <row r="90" spans="1:6" ht="12.75">
      <c r="A90" s="44"/>
      <c r="B90" s="166"/>
      <c r="C90" s="109"/>
      <c r="D90" s="143"/>
      <c r="E90" s="160"/>
      <c r="F90" s="145"/>
    </row>
    <row r="91" spans="1:6" ht="12.75">
      <c r="A91" s="47" t="s">
        <v>63</v>
      </c>
      <c r="B91" s="49"/>
      <c r="C91" s="131"/>
      <c r="D91" s="167"/>
      <c r="E91" s="161"/>
      <c r="F91" s="162"/>
    </row>
    <row r="92" spans="1:6" ht="12.75">
      <c r="A92" s="121" t="s">
        <v>96</v>
      </c>
      <c r="B92" s="131">
        <v>0</v>
      </c>
      <c r="C92" s="55"/>
      <c r="D92" s="167">
        <v>0</v>
      </c>
      <c r="E92" s="161">
        <f>SUM(C92:D92)</f>
        <v>0</v>
      </c>
      <c r="F92" s="148">
        <f>E92+D92+C92+B92+B39+C39+D39+E39+F39</f>
        <v>0</v>
      </c>
    </row>
    <row r="93" spans="1:6" ht="12.75">
      <c r="A93" s="127" t="s">
        <v>97</v>
      </c>
      <c r="B93" s="157">
        <v>0</v>
      </c>
      <c r="C93" s="165"/>
      <c r="D93" s="167">
        <v>0</v>
      </c>
      <c r="E93" s="156">
        <f>SUM(C93:D93)</f>
        <v>0</v>
      </c>
      <c r="F93" s="148">
        <f>E93+D93+C93+B93+B40+C40+D40+E40+F40</f>
        <v>0</v>
      </c>
    </row>
    <row r="94" spans="1:6" ht="12.75">
      <c r="A94" s="33" t="s">
        <v>98</v>
      </c>
      <c r="B94" s="128">
        <f>B92+B93</f>
        <v>0</v>
      </c>
      <c r="C94" s="60">
        <f>SUM(C92:C93)</f>
        <v>0</v>
      </c>
      <c r="D94" s="133">
        <f>D92+D93</f>
        <v>0</v>
      </c>
      <c r="E94" s="133">
        <f>E92+E93</f>
        <v>0</v>
      </c>
      <c r="F94" s="16">
        <f>SUM(F92:F93)</f>
        <v>0</v>
      </c>
    </row>
    <row r="95" spans="1:6" ht="12.75">
      <c r="A95" s="43"/>
      <c r="B95" s="67"/>
      <c r="C95" s="51"/>
      <c r="D95" s="144"/>
      <c r="E95" s="144"/>
      <c r="F95" s="168"/>
    </row>
    <row r="96" spans="1:6" ht="12.75">
      <c r="A96" s="90" t="s">
        <v>67</v>
      </c>
      <c r="B96" s="108"/>
      <c r="C96" s="67"/>
      <c r="D96" s="144"/>
      <c r="E96" s="144"/>
      <c r="F96" s="169"/>
    </row>
    <row r="97" spans="1:6" ht="12.75">
      <c r="A97" s="70" t="s">
        <v>68</v>
      </c>
      <c r="B97" s="131">
        <v>0</v>
      </c>
      <c r="C97" s="131"/>
      <c r="D97" s="144">
        <v>0</v>
      </c>
      <c r="E97" s="144">
        <f>SUM(C97:D97)</f>
        <v>0</v>
      </c>
      <c r="F97" s="170">
        <f>E97+D97+C97+B97+B44+C44+D44+E44+F44</f>
        <v>0</v>
      </c>
    </row>
    <row r="98" spans="1:6" ht="12.75">
      <c r="A98" s="71" t="s">
        <v>69</v>
      </c>
      <c r="B98" s="51">
        <v>0</v>
      </c>
      <c r="C98" s="131"/>
      <c r="D98" s="161">
        <v>0</v>
      </c>
      <c r="E98" s="161">
        <f>SUM(C98:D98)</f>
        <v>0</v>
      </c>
      <c r="F98" s="170">
        <f>E98+D98+C98+B98+B45+C45+D45+E45+F45</f>
        <v>0</v>
      </c>
    </row>
    <row r="99" spans="1:6" ht="12.75">
      <c r="A99" s="43" t="s">
        <v>70</v>
      </c>
      <c r="B99" s="60">
        <f>B97+B98</f>
        <v>0</v>
      </c>
      <c r="C99" s="16">
        <f>SUM(C97:C98)</f>
        <v>0</v>
      </c>
      <c r="D99" s="171">
        <f>D97+D98</f>
        <v>0</v>
      </c>
      <c r="E99" s="171">
        <f>E97+E98</f>
        <v>0</v>
      </c>
      <c r="F99" s="16">
        <f>SUM(F97:F98)</f>
        <v>0</v>
      </c>
    </row>
    <row r="100" spans="1:6" ht="12.75">
      <c r="A100" s="90"/>
      <c r="B100" s="51"/>
      <c r="C100" s="51"/>
      <c r="D100" s="144"/>
      <c r="E100" s="144"/>
      <c r="F100" s="168"/>
    </row>
    <row r="101" spans="1:6" s="91" customFormat="1" ht="12.75">
      <c r="A101" s="132" t="s">
        <v>99</v>
      </c>
      <c r="B101" s="60">
        <f>B99+B94+B89+B84+B79+B71</f>
        <v>3335</v>
      </c>
      <c r="C101" s="16">
        <f>C99+C94+C89+C84+C79+C71</f>
        <v>234016</v>
      </c>
      <c r="D101" s="171">
        <f>D99+D94+D89+D84+D79+D71</f>
        <v>328711</v>
      </c>
      <c r="E101" s="171">
        <f>E99+E94+E89+E84+E79+E71</f>
        <v>313234</v>
      </c>
      <c r="F101" s="172">
        <f>F99+F94+F89+F84+F79+F71</f>
        <v>1909488</v>
      </c>
    </row>
    <row r="102" spans="1:6" ht="14.25" customHeight="1">
      <c r="A102" s="107"/>
      <c r="B102" s="51"/>
      <c r="C102" s="51"/>
      <c r="D102" s="144"/>
      <c r="E102" s="144"/>
      <c r="F102" s="168"/>
    </row>
    <row r="103" spans="1:6" ht="12.75">
      <c r="A103" s="50" t="s">
        <v>112</v>
      </c>
      <c r="B103" s="104">
        <v>0</v>
      </c>
      <c r="C103" s="67">
        <f>B103+F50+E50+D50+C50+B50</f>
        <v>0</v>
      </c>
      <c r="D103" s="144">
        <v>0</v>
      </c>
      <c r="E103" s="144">
        <f>SUM(C103:D103)</f>
        <v>0</v>
      </c>
      <c r="F103" s="67">
        <f>E103+D103+C103+B103+B50+C50+D50+E50+F50</f>
        <v>0</v>
      </c>
    </row>
    <row r="104" spans="1:6" ht="14.25" customHeight="1">
      <c r="A104" s="135"/>
      <c r="B104" s="51"/>
      <c r="C104" s="51"/>
      <c r="D104" s="144"/>
      <c r="E104" s="144"/>
      <c r="F104" s="168"/>
    </row>
    <row r="105" spans="1:6" s="91" customFormat="1" ht="12.75">
      <c r="A105" s="117" t="s">
        <v>102</v>
      </c>
      <c r="B105" s="60">
        <f>B101+B103</f>
        <v>3335</v>
      </c>
      <c r="C105" s="60">
        <f>C101+C103</f>
        <v>234016</v>
      </c>
      <c r="D105" s="136">
        <f>D103+D101</f>
        <v>328711</v>
      </c>
      <c r="E105" s="136">
        <f>E103+E101</f>
        <v>313234</v>
      </c>
      <c r="F105" s="133">
        <f>F103+F101</f>
        <v>1909488</v>
      </c>
    </row>
    <row r="106" spans="1:6" s="91" customFormat="1" ht="12.75">
      <c r="A106" s="137"/>
      <c r="B106" s="859"/>
      <c r="C106" s="859"/>
      <c r="D106" s="858"/>
      <c r="E106" s="858"/>
      <c r="F106" s="858"/>
    </row>
    <row r="107" spans="1:6" ht="12.75">
      <c r="A107" s="1181">
        <v>3</v>
      </c>
      <c r="B107" s="1181"/>
      <c r="C107" s="1181"/>
      <c r="D107" s="1181"/>
      <c r="E107" s="1181"/>
      <c r="F107" s="1181"/>
    </row>
    <row r="108" spans="1:6" ht="14.25">
      <c r="A108" s="1177" t="s">
        <v>113</v>
      </c>
      <c r="B108" s="1177"/>
      <c r="C108" s="1177"/>
      <c r="D108" s="1177"/>
      <c r="E108" s="1177"/>
      <c r="F108" s="1177"/>
    </row>
    <row r="109" spans="1:6" ht="15.75">
      <c r="A109" s="1176" t="s">
        <v>104</v>
      </c>
      <c r="B109" s="1176"/>
      <c r="C109" s="1176"/>
      <c r="D109" s="1176"/>
      <c r="E109" s="1176"/>
      <c r="F109" s="1176"/>
    </row>
    <row r="110" spans="1:6" ht="15.75">
      <c r="A110" s="1176" t="s">
        <v>105</v>
      </c>
      <c r="B110" s="1176"/>
      <c r="C110" s="1176"/>
      <c r="D110" s="1176"/>
      <c r="E110" s="1176"/>
      <c r="F110" s="1176"/>
    </row>
    <row r="111" ht="12.75">
      <c r="F111" s="31" t="s">
        <v>80</v>
      </c>
    </row>
    <row r="112" spans="1:3" ht="72.75">
      <c r="A112" s="138" t="s">
        <v>114</v>
      </c>
      <c r="B112" s="139" t="s">
        <v>120</v>
      </c>
      <c r="C112" s="142" t="s">
        <v>121</v>
      </c>
    </row>
    <row r="113" spans="1:3" ht="12.75">
      <c r="A113" s="44" t="s">
        <v>42</v>
      </c>
      <c r="B113" s="69"/>
      <c r="C113" s="69"/>
    </row>
    <row r="114" spans="1:3" ht="12.75">
      <c r="A114" s="121" t="s">
        <v>43</v>
      </c>
      <c r="B114" s="48">
        <f>499+8</f>
        <v>507</v>
      </c>
      <c r="C114" s="39">
        <f aca="true" t="shared" si="1" ref="C114:C120">B114+F63</f>
        <v>1106219</v>
      </c>
    </row>
    <row r="115" spans="1:3" ht="12.75">
      <c r="A115" s="19" t="s">
        <v>44</v>
      </c>
      <c r="B115" s="48">
        <f>155</f>
        <v>155</v>
      </c>
      <c r="C115" s="39">
        <f t="shared" si="1"/>
        <v>343490</v>
      </c>
    </row>
    <row r="116" spans="1:3" ht="12.75">
      <c r="A116" s="19" t="s">
        <v>45</v>
      </c>
      <c r="B116" s="48">
        <f>750+483-8</f>
        <v>1225</v>
      </c>
      <c r="C116" s="39">
        <f t="shared" si="1"/>
        <v>435737</v>
      </c>
    </row>
    <row r="117" spans="1:3" ht="12.75">
      <c r="A117" s="19" t="s">
        <v>47</v>
      </c>
      <c r="B117" s="48"/>
      <c r="C117" s="39">
        <f t="shared" si="1"/>
        <v>4643</v>
      </c>
    </row>
    <row r="118" spans="1:3" ht="12.75">
      <c r="A118" s="8" t="s">
        <v>86</v>
      </c>
      <c r="B118" s="48">
        <v>0</v>
      </c>
      <c r="C118" s="39">
        <f t="shared" si="1"/>
        <v>0</v>
      </c>
    </row>
    <row r="119" spans="1:3" ht="12.75">
      <c r="A119" s="8" t="s">
        <v>87</v>
      </c>
      <c r="B119" s="48"/>
      <c r="C119" s="39">
        <f t="shared" si="1"/>
        <v>0</v>
      </c>
    </row>
    <row r="120" spans="1:3" ht="12.75">
      <c r="A120" s="122" t="s">
        <v>88</v>
      </c>
      <c r="B120" s="39">
        <v>0</v>
      </c>
      <c r="C120" s="39">
        <f t="shared" si="1"/>
        <v>0</v>
      </c>
    </row>
    <row r="121" spans="1:3" ht="12.75">
      <c r="A121" s="43" t="s">
        <v>89</v>
      </c>
      <c r="B121" s="61">
        <f>SUM(B114:B118)</f>
        <v>1887</v>
      </c>
      <c r="C121" s="16">
        <f>SUM(C114:C120)</f>
        <v>1890089</v>
      </c>
    </row>
    <row r="122" spans="1:3" ht="12.75">
      <c r="A122" s="33"/>
      <c r="B122" s="173"/>
      <c r="C122" s="52"/>
    </row>
    <row r="123" spans="1:3" ht="12.75">
      <c r="A123" s="47" t="s">
        <v>51</v>
      </c>
      <c r="B123" s="131"/>
      <c r="C123" s="48"/>
    </row>
    <row r="124" spans="1:3" ht="12.75">
      <c r="A124" s="19" t="s">
        <v>52</v>
      </c>
      <c r="B124" s="131">
        <v>0</v>
      </c>
      <c r="C124" s="39">
        <f>B124+F74</f>
        <v>16566</v>
      </c>
    </row>
    <row r="125" spans="1:3" ht="12.75">
      <c r="A125" s="19" t="s">
        <v>90</v>
      </c>
      <c r="B125" s="131">
        <v>0</v>
      </c>
      <c r="C125" s="39">
        <f>B125+F75</f>
        <v>4720</v>
      </c>
    </row>
    <row r="126" spans="1:3" ht="12.75">
      <c r="A126" s="19" t="s">
        <v>54</v>
      </c>
      <c r="B126" s="131">
        <v>0</v>
      </c>
      <c r="C126" s="39">
        <f>B126+F76</f>
        <v>0</v>
      </c>
    </row>
    <row r="127" spans="1:3" ht="12.75">
      <c r="A127" s="8" t="s">
        <v>111</v>
      </c>
      <c r="B127" s="131">
        <v>0</v>
      </c>
      <c r="C127" s="39">
        <f>B127+F77</f>
        <v>0</v>
      </c>
    </row>
    <row r="128" spans="1:3" ht="12.75">
      <c r="A128" s="65"/>
      <c r="B128" s="157"/>
      <c r="C128" s="58"/>
    </row>
    <row r="129" spans="1:3" ht="12.75">
      <c r="A129" s="43" t="s">
        <v>91</v>
      </c>
      <c r="B129" s="61">
        <f>B124+B125+B126+B127</f>
        <v>0</v>
      </c>
      <c r="C129" s="16">
        <f>SUM(C124:C128)</f>
        <v>21286</v>
      </c>
    </row>
    <row r="130" spans="1:3" ht="12.75">
      <c r="A130" s="44"/>
      <c r="B130" s="109"/>
      <c r="C130" s="69"/>
    </row>
    <row r="131" spans="1:3" ht="12.75">
      <c r="A131" s="50" t="s">
        <v>92</v>
      </c>
      <c r="B131" s="51"/>
      <c r="C131" s="48"/>
    </row>
    <row r="132" spans="1:3" ht="12.75">
      <c r="A132" s="54" t="s">
        <v>58</v>
      </c>
      <c r="B132" s="55">
        <v>0</v>
      </c>
      <c r="C132" s="39">
        <f>B132+F82</f>
        <v>0</v>
      </c>
    </row>
    <row r="133" spans="1:3" ht="12.75">
      <c r="A133" s="125" t="s">
        <v>59</v>
      </c>
      <c r="B133" s="157">
        <v>0</v>
      </c>
      <c r="C133" s="39">
        <f>B133+F83</f>
        <v>0</v>
      </c>
    </row>
    <row r="134" spans="1:3" ht="12.75">
      <c r="A134" s="43" t="s">
        <v>93</v>
      </c>
      <c r="B134" s="61">
        <f>B132+B133</f>
        <v>0</v>
      </c>
      <c r="C134" s="16">
        <f>SUM(C132:C133)</f>
        <v>0</v>
      </c>
    </row>
    <row r="135" spans="1:3" ht="12.75">
      <c r="A135" s="33"/>
      <c r="B135" s="173"/>
      <c r="C135" s="52"/>
    </row>
    <row r="136" spans="1:3" ht="12.75">
      <c r="A136" s="62" t="s">
        <v>94</v>
      </c>
      <c r="B136" s="51"/>
      <c r="C136" s="48"/>
    </row>
    <row r="137" spans="1:3" ht="12.75">
      <c r="A137" s="54" t="s">
        <v>58</v>
      </c>
      <c r="B137" s="55">
        <v>0</v>
      </c>
      <c r="C137" s="39">
        <f>B137+F87</f>
        <v>0</v>
      </c>
    </row>
    <row r="138" spans="1:3" ht="12.75">
      <c r="A138" s="126" t="s">
        <v>59</v>
      </c>
      <c r="B138" s="165">
        <v>0</v>
      </c>
      <c r="C138" s="39">
        <f>B138+F88</f>
        <v>0</v>
      </c>
    </row>
    <row r="139" spans="1:3" ht="12.75">
      <c r="A139" s="43" t="s">
        <v>95</v>
      </c>
      <c r="B139" s="61">
        <f>B137+B138</f>
        <v>0</v>
      </c>
      <c r="C139" s="16">
        <f>SUM(C137:C138)</f>
        <v>0</v>
      </c>
    </row>
    <row r="140" spans="1:3" ht="12.75">
      <c r="A140" s="44"/>
      <c r="B140" s="166"/>
      <c r="C140" s="69"/>
    </row>
    <row r="141" spans="1:3" ht="12.75">
      <c r="A141" s="47" t="s">
        <v>63</v>
      </c>
      <c r="B141" s="49"/>
      <c r="C141" s="48"/>
    </row>
    <row r="142" spans="1:3" ht="12.75">
      <c r="A142" s="121" t="s">
        <v>96</v>
      </c>
      <c r="B142" s="131">
        <v>0</v>
      </c>
      <c r="C142" s="39">
        <f>B142+F92</f>
        <v>0</v>
      </c>
    </row>
    <row r="143" spans="1:3" ht="12.75">
      <c r="A143" s="127" t="s">
        <v>97</v>
      </c>
      <c r="B143" s="157">
        <v>0</v>
      </c>
      <c r="C143" s="39">
        <f>B143+F93</f>
        <v>0</v>
      </c>
    </row>
    <row r="144" spans="1:3" ht="12.75">
      <c r="A144" s="33" t="s">
        <v>98</v>
      </c>
      <c r="B144" s="128">
        <f>B142+B143</f>
        <v>0</v>
      </c>
      <c r="C144" s="16">
        <f>SUM(C142:C143)</f>
        <v>0</v>
      </c>
    </row>
    <row r="145" spans="1:3" ht="12.75">
      <c r="A145" s="43"/>
      <c r="B145" s="67"/>
      <c r="C145" s="64"/>
    </row>
    <row r="146" spans="1:3" ht="12.75">
      <c r="A146" s="90" t="s">
        <v>67</v>
      </c>
      <c r="B146" s="108"/>
      <c r="C146" s="67"/>
    </row>
    <row r="147" spans="1:3" ht="12.75">
      <c r="A147" s="70" t="s">
        <v>68</v>
      </c>
      <c r="B147" s="131">
        <v>0</v>
      </c>
      <c r="C147" s="48">
        <f>B147+F97</f>
        <v>0</v>
      </c>
    </row>
    <row r="148" spans="1:3" ht="12.75">
      <c r="A148" s="71" t="s">
        <v>69</v>
      </c>
      <c r="B148" s="51">
        <v>0</v>
      </c>
      <c r="C148" s="48">
        <f>B148+F98</f>
        <v>0</v>
      </c>
    </row>
    <row r="149" spans="1:3" ht="12.75">
      <c r="A149" s="43" t="s">
        <v>70</v>
      </c>
      <c r="B149" s="60">
        <f>B147+B148</f>
        <v>0</v>
      </c>
      <c r="C149" s="16">
        <f>SUM(C147:C148)</f>
        <v>0</v>
      </c>
    </row>
    <row r="150" spans="1:3" ht="12.75">
      <c r="A150" s="90"/>
      <c r="B150" s="51"/>
      <c r="C150" s="64"/>
    </row>
    <row r="151" spans="1:3" ht="12.75">
      <c r="A151" s="132" t="s">
        <v>99</v>
      </c>
      <c r="B151" s="60">
        <f>B149+B144+B139+B134+B129+B121</f>
        <v>1887</v>
      </c>
      <c r="C151" s="16">
        <f>C149+C144+C139+C134+C129+C121</f>
        <v>1911375</v>
      </c>
    </row>
    <row r="152" spans="1:3" ht="12.75">
      <c r="A152" s="107"/>
      <c r="B152" s="51"/>
      <c r="C152" s="64"/>
    </row>
    <row r="153" spans="1:3" ht="12.75">
      <c r="A153" s="50" t="s">
        <v>112</v>
      </c>
      <c r="B153" s="104">
        <v>0</v>
      </c>
      <c r="C153" s="67">
        <f>B153+F103</f>
        <v>0</v>
      </c>
    </row>
    <row r="154" spans="1:3" ht="12.75">
      <c r="A154" s="135"/>
      <c r="B154" s="51"/>
      <c r="C154" s="64"/>
    </row>
    <row r="155" spans="1:3" ht="12.75">
      <c r="A155" s="117" t="s">
        <v>102</v>
      </c>
      <c r="B155" s="60">
        <f>B151+B153</f>
        <v>1887</v>
      </c>
      <c r="C155" s="16">
        <f>C153+C151</f>
        <v>1911375</v>
      </c>
    </row>
  </sheetData>
  <sheetProtection/>
  <mergeCells count="16">
    <mergeCell ref="A109:F109"/>
    <mergeCell ref="A110:F110"/>
    <mergeCell ref="A56:F56"/>
    <mergeCell ref="A57:F57"/>
    <mergeCell ref="A58:F58"/>
    <mergeCell ref="A59:F59"/>
    <mergeCell ref="A107:F107"/>
    <mergeCell ref="A108:F108"/>
    <mergeCell ref="E1:F1"/>
    <mergeCell ref="A3:F3"/>
    <mergeCell ref="A4:F4"/>
    <mergeCell ref="B7:B8"/>
    <mergeCell ref="C7:C8"/>
    <mergeCell ref="D7:D8"/>
    <mergeCell ref="E7:E8"/>
    <mergeCell ref="F7:F8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7"/>
  <sheetViews>
    <sheetView zoomScalePageLayoutView="0" workbookViewId="0" topLeftCell="A1">
      <selection activeCell="A367" sqref="A1:F367"/>
    </sheetView>
  </sheetViews>
  <sheetFormatPr defaultColWidth="9.140625" defaultRowHeight="12.75"/>
  <cols>
    <col min="1" max="1" width="30.140625" style="0" customWidth="1"/>
    <col min="2" max="2" width="10.7109375" style="0" customWidth="1"/>
    <col min="3" max="3" width="10.8515625" style="0" customWidth="1"/>
    <col min="4" max="4" width="10.57421875" style="0" customWidth="1"/>
    <col min="5" max="5" width="11.140625" style="0" customWidth="1"/>
    <col min="6" max="6" width="11.00390625" style="0" customWidth="1"/>
  </cols>
  <sheetData>
    <row r="1" spans="1:5" ht="14.25">
      <c r="A1" s="1177" t="s">
        <v>122</v>
      </c>
      <c r="B1" s="1177"/>
      <c r="C1" s="1177"/>
      <c r="D1" s="1177"/>
      <c r="E1" s="1177"/>
    </row>
    <row r="2" spans="1:6" ht="15.75">
      <c r="A2" s="1176" t="s">
        <v>123</v>
      </c>
      <c r="B2" s="1176"/>
      <c r="C2" s="1176"/>
      <c r="D2" s="1176"/>
      <c r="E2" s="1176"/>
      <c r="F2" s="1176"/>
    </row>
    <row r="3" spans="1:6" ht="15.75">
      <c r="A3" s="1176" t="s">
        <v>124</v>
      </c>
      <c r="B3" s="1176"/>
      <c r="C3" s="1176"/>
      <c r="D3" s="1176"/>
      <c r="E3" s="1176"/>
      <c r="F3" s="1176"/>
    </row>
    <row r="4" ht="13.5" thickBot="1">
      <c r="E4" s="31" t="s">
        <v>80</v>
      </c>
    </row>
    <row r="5" spans="1:6" ht="42" customHeight="1" thickBot="1">
      <c r="A5" s="32" t="s">
        <v>125</v>
      </c>
      <c r="B5" s="139" t="s">
        <v>126</v>
      </c>
      <c r="C5" s="175" t="s">
        <v>127</v>
      </c>
      <c r="D5" s="176" t="s">
        <v>128</v>
      </c>
      <c r="E5" s="918" t="s">
        <v>1206</v>
      </c>
      <c r="F5" s="918" t="s">
        <v>129</v>
      </c>
    </row>
    <row r="6" spans="1:6" ht="12.75">
      <c r="A6" s="44" t="s">
        <v>42</v>
      </c>
      <c r="B6" s="177"/>
      <c r="C6" s="177"/>
      <c r="D6" s="177"/>
      <c r="E6" s="178"/>
      <c r="F6" s="177"/>
    </row>
    <row r="7" spans="1:6" ht="12.75">
      <c r="A7" s="121" t="s">
        <v>43</v>
      </c>
      <c r="B7" s="48">
        <f>300-300</f>
        <v>0</v>
      </c>
      <c r="C7" s="39"/>
      <c r="D7" s="48"/>
      <c r="E7" s="49"/>
      <c r="F7" s="39">
        <v>300</v>
      </c>
    </row>
    <row r="8" spans="1:6" ht="12.75">
      <c r="A8" s="19" t="s">
        <v>44</v>
      </c>
      <c r="B8" s="48">
        <f>86-86</f>
        <v>0</v>
      </c>
      <c r="C8" s="39"/>
      <c r="D8" s="48"/>
      <c r="E8" s="49"/>
      <c r="F8" s="39">
        <v>86</v>
      </c>
    </row>
    <row r="9" spans="1:6" ht="12.75">
      <c r="A9" s="19" t="s">
        <v>45</v>
      </c>
      <c r="B9" s="48">
        <f>21623-1032+1+644-20</f>
        <v>21216</v>
      </c>
      <c r="C9" s="39">
        <f>112+170+189+59+47</f>
        <v>577</v>
      </c>
      <c r="D9" s="48">
        <f>33465+481</f>
        <v>33946</v>
      </c>
      <c r="E9" s="49"/>
      <c r="F9" s="39">
        <f>9100+310+1032+2621</f>
        <v>13063</v>
      </c>
    </row>
    <row r="10" spans="1:6" ht="12.75">
      <c r="A10" s="19" t="s">
        <v>130</v>
      </c>
      <c r="B10" s="48">
        <f>-2597-644</f>
        <v>-3241</v>
      </c>
      <c r="C10" s="39"/>
      <c r="D10" s="48"/>
      <c r="E10" s="49"/>
      <c r="F10" s="39"/>
    </row>
    <row r="11" spans="1:6" ht="12.75">
      <c r="A11" s="19" t="s">
        <v>47</v>
      </c>
      <c r="B11" s="48">
        <v>0</v>
      </c>
      <c r="C11" s="39">
        <v>0</v>
      </c>
      <c r="D11" s="48">
        <v>0</v>
      </c>
      <c r="E11" s="49">
        <v>0</v>
      </c>
      <c r="F11" s="39">
        <v>0</v>
      </c>
    </row>
    <row r="12" spans="1:6" ht="12.75">
      <c r="A12" s="8" t="s">
        <v>48</v>
      </c>
      <c r="B12" s="48">
        <v>0</v>
      </c>
      <c r="C12" s="39">
        <v>0</v>
      </c>
      <c r="D12" s="48">
        <v>0</v>
      </c>
      <c r="E12" s="49">
        <v>0</v>
      </c>
      <c r="F12" s="39">
        <v>0</v>
      </c>
    </row>
    <row r="13" spans="1:6" ht="12.75">
      <c r="A13" s="122" t="s">
        <v>131</v>
      </c>
      <c r="B13" s="39">
        <f>B12</f>
        <v>0</v>
      </c>
      <c r="C13" s="39">
        <f>C12</f>
        <v>0</v>
      </c>
      <c r="D13" s="39">
        <f>D12</f>
        <v>0</v>
      </c>
      <c r="E13" s="39">
        <f>E12</f>
        <v>0</v>
      </c>
      <c r="F13" s="39">
        <f>F12</f>
        <v>0</v>
      </c>
    </row>
    <row r="14" spans="1:6" s="91" customFormat="1" ht="12.75">
      <c r="A14" s="43" t="s">
        <v>132</v>
      </c>
      <c r="B14" s="16">
        <f>SUM(B7:B12)</f>
        <v>17975</v>
      </c>
      <c r="C14" s="16">
        <f>SUM(C7:C12)</f>
        <v>577</v>
      </c>
      <c r="D14" s="16">
        <f>SUM(D7:D12)</f>
        <v>33946</v>
      </c>
      <c r="E14" s="16">
        <f>SUM(E7:E12)</f>
        <v>0</v>
      </c>
      <c r="F14" s="16">
        <f>SUM(F7:F12)</f>
        <v>13449</v>
      </c>
    </row>
    <row r="15" spans="1:6" ht="20.25" customHeight="1">
      <c r="A15" s="47" t="s">
        <v>51</v>
      </c>
      <c r="B15" s="48"/>
      <c r="C15" s="94"/>
      <c r="D15" s="48"/>
      <c r="E15" s="131"/>
      <c r="F15" s="39"/>
    </row>
    <row r="16" spans="1:6" ht="12.75">
      <c r="A16" s="19" t="s">
        <v>52</v>
      </c>
      <c r="B16" s="48">
        <f>'4_sz_ melléklet'!B91</f>
        <v>160090</v>
      </c>
      <c r="C16" s="56">
        <f>'4_sz_ melléklet'!B112</f>
        <v>12565</v>
      </c>
      <c r="D16" s="48">
        <v>0</v>
      </c>
      <c r="E16" s="131">
        <f>'4_sz_ melléklet'!B103</f>
        <v>7850</v>
      </c>
      <c r="F16" s="39">
        <v>0</v>
      </c>
    </row>
    <row r="17" spans="1:6" ht="12.75">
      <c r="A17" s="19" t="s">
        <v>53</v>
      </c>
      <c r="B17" s="48">
        <f>'3_sz_ melléklet'!B38</f>
        <v>3021</v>
      </c>
      <c r="C17" s="56">
        <f>'3_sz_ melléklet'!B33</f>
        <v>17821</v>
      </c>
      <c r="D17" s="48">
        <v>0</v>
      </c>
      <c r="E17" s="131">
        <v>0</v>
      </c>
      <c r="F17" s="39">
        <v>0</v>
      </c>
    </row>
    <row r="18" spans="1:6" ht="12.75">
      <c r="A18" s="19" t="s">
        <v>54</v>
      </c>
      <c r="B18" s="48">
        <v>0</v>
      </c>
      <c r="C18" s="56">
        <v>0</v>
      </c>
      <c r="D18" s="48">
        <v>0</v>
      </c>
      <c r="E18" s="131">
        <v>0</v>
      </c>
      <c r="F18" s="39">
        <v>0</v>
      </c>
    </row>
    <row r="19" spans="1:6" ht="12.75">
      <c r="A19" s="179" t="s">
        <v>111</v>
      </c>
      <c r="B19" s="48">
        <f>-B10</f>
        <v>3241</v>
      </c>
      <c r="C19" s="48">
        <f>-C10</f>
        <v>0</v>
      </c>
      <c r="D19" s="48">
        <f>-D10</f>
        <v>0</v>
      </c>
      <c r="E19" s="48">
        <f>-E10</f>
        <v>0</v>
      </c>
      <c r="F19" s="48">
        <f>-F10</f>
        <v>0</v>
      </c>
    </row>
    <row r="20" spans="1:6" s="91" customFormat="1" ht="12.75">
      <c r="A20" s="43" t="s">
        <v>91</v>
      </c>
      <c r="B20" s="16">
        <f>B16+B17+B18+B19</f>
        <v>166352</v>
      </c>
      <c r="C20" s="16">
        <f>C16+C17+C18+C19</f>
        <v>30386</v>
      </c>
      <c r="D20" s="16">
        <f>D16+D17+D18+D19</f>
        <v>0</v>
      </c>
      <c r="E20" s="16">
        <f>E16+E17+E18+E19</f>
        <v>7850</v>
      </c>
      <c r="F20" s="16">
        <f>F16+F17+F18+F19</f>
        <v>0</v>
      </c>
    </row>
    <row r="21" spans="1:6" ht="12.75">
      <c r="A21" s="96"/>
      <c r="B21" s="64"/>
      <c r="C21" s="51"/>
      <c r="D21" s="64"/>
      <c r="E21" s="53"/>
      <c r="F21" s="64"/>
    </row>
    <row r="22" spans="1:6" ht="12.75">
      <c r="A22" s="96" t="s">
        <v>57</v>
      </c>
      <c r="B22" s="64"/>
      <c r="C22" s="51"/>
      <c r="D22" s="64"/>
      <c r="E22" s="53"/>
      <c r="F22" s="64"/>
    </row>
    <row r="23" spans="1:6" ht="12.75">
      <c r="A23" s="180" t="s">
        <v>58</v>
      </c>
      <c r="B23" s="39">
        <v>0</v>
      </c>
      <c r="C23" s="55">
        <v>0</v>
      </c>
      <c r="D23" s="39">
        <v>0</v>
      </c>
      <c r="E23" s="56">
        <v>0</v>
      </c>
      <c r="F23" s="39">
        <v>0</v>
      </c>
    </row>
    <row r="24" spans="1:6" ht="12.75">
      <c r="A24" s="125" t="s">
        <v>59</v>
      </c>
      <c r="B24" s="64">
        <v>0</v>
      </c>
      <c r="C24" s="51">
        <v>0</v>
      </c>
      <c r="D24" s="64">
        <v>0</v>
      </c>
      <c r="E24" s="53">
        <v>0</v>
      </c>
      <c r="F24" s="58">
        <v>0</v>
      </c>
    </row>
    <row r="25" spans="1:6" ht="12.75">
      <c r="A25" s="43" t="s">
        <v>133</v>
      </c>
      <c r="B25" s="16">
        <f>B23+B24</f>
        <v>0</v>
      </c>
      <c r="C25" s="16">
        <f>C23+C24</f>
        <v>0</v>
      </c>
      <c r="D25" s="16">
        <f>D23+D24</f>
        <v>0</v>
      </c>
      <c r="E25" s="16">
        <f>E23+E24</f>
        <v>0</v>
      </c>
      <c r="F25" s="16">
        <f>F23+F24</f>
        <v>0</v>
      </c>
    </row>
    <row r="26" spans="1:6" ht="12.75">
      <c r="A26" s="96"/>
      <c r="B26" s="64"/>
      <c r="C26" s="51"/>
      <c r="D26" s="64"/>
      <c r="E26" s="64"/>
      <c r="F26" s="53"/>
    </row>
    <row r="27" spans="1:6" ht="12.75">
      <c r="A27" s="62" t="s">
        <v>94</v>
      </c>
      <c r="B27" s="48"/>
      <c r="C27" s="131"/>
      <c r="D27" s="48"/>
      <c r="E27" s="48"/>
      <c r="F27" s="94"/>
    </row>
    <row r="28" spans="1:6" ht="12.75">
      <c r="A28" s="54" t="s">
        <v>58</v>
      </c>
      <c r="B28" s="48">
        <v>0</v>
      </c>
      <c r="C28" s="131">
        <v>0</v>
      </c>
      <c r="D28" s="48">
        <v>0</v>
      </c>
      <c r="E28" s="48">
        <f>1_e_f_sz_melléklet!D42</f>
        <v>3977</v>
      </c>
      <c r="F28" s="56">
        <f>1_e_f_sz_melléklet!D44</f>
        <v>1000</v>
      </c>
    </row>
    <row r="29" spans="1:6" ht="12.75">
      <c r="A29" s="126" t="s">
        <v>59</v>
      </c>
      <c r="B29" s="64">
        <v>0</v>
      </c>
      <c r="C29" s="51">
        <v>0</v>
      </c>
      <c r="D29" s="64">
        <v>0</v>
      </c>
      <c r="E29" s="64">
        <v>0</v>
      </c>
      <c r="F29" s="59">
        <f>1_e_f_sz_melléklet!C51</f>
        <v>400</v>
      </c>
    </row>
    <row r="30" spans="1:6" ht="12.75">
      <c r="A30" s="43" t="s">
        <v>95</v>
      </c>
      <c r="B30" s="16">
        <f>B28+B29</f>
        <v>0</v>
      </c>
      <c r="C30" s="16">
        <f>C28+C29</f>
        <v>0</v>
      </c>
      <c r="D30" s="16">
        <f>D28+D29</f>
        <v>0</v>
      </c>
      <c r="E30" s="16">
        <f>E28+E29</f>
        <v>3977</v>
      </c>
      <c r="F30" s="16">
        <f>F28+F29</f>
        <v>1400</v>
      </c>
    </row>
    <row r="31" spans="1:6" ht="20.25" customHeight="1">
      <c r="A31" s="44" t="s">
        <v>63</v>
      </c>
      <c r="B31" s="48"/>
      <c r="C31" s="48"/>
      <c r="D31" s="48"/>
      <c r="E31" s="131"/>
      <c r="F31" s="48"/>
    </row>
    <row r="32" spans="1:6" ht="12.75">
      <c r="A32" s="57" t="s">
        <v>96</v>
      </c>
      <c r="B32" s="64">
        <v>0</v>
      </c>
      <c r="C32" s="64">
        <v>0</v>
      </c>
      <c r="D32" s="64">
        <v>0</v>
      </c>
      <c r="E32" s="51">
        <v>0</v>
      </c>
      <c r="F32" s="39">
        <v>0</v>
      </c>
    </row>
    <row r="33" spans="1:6" ht="12.75">
      <c r="A33" s="8" t="s">
        <v>134</v>
      </c>
      <c r="B33" s="39">
        <v>0</v>
      </c>
      <c r="C33" s="39">
        <v>0</v>
      </c>
      <c r="D33" s="39">
        <v>0</v>
      </c>
      <c r="E33" s="55">
        <v>0</v>
      </c>
      <c r="F33" s="58">
        <v>0</v>
      </c>
    </row>
    <row r="34" spans="1:6" ht="12.75">
      <c r="A34" s="43" t="s">
        <v>98</v>
      </c>
      <c r="B34" s="16">
        <f>B33+B32</f>
        <v>0</v>
      </c>
      <c r="C34" s="16">
        <f>C33+C32</f>
        <v>0</v>
      </c>
      <c r="D34" s="16">
        <f>D33+D32</f>
        <v>0</v>
      </c>
      <c r="E34" s="16">
        <f>E33+E32</f>
        <v>0</v>
      </c>
      <c r="F34" s="16">
        <f>F33+F32</f>
        <v>0</v>
      </c>
    </row>
    <row r="35" spans="1:6" ht="19.5" customHeight="1">
      <c r="A35" s="47" t="s">
        <v>67</v>
      </c>
      <c r="B35" s="109"/>
      <c r="C35" s="69"/>
      <c r="D35" s="166"/>
      <c r="E35" s="109"/>
      <c r="F35" s="48"/>
    </row>
    <row r="36" spans="1:6" ht="12.75">
      <c r="A36" s="38" t="s">
        <v>135</v>
      </c>
      <c r="B36" s="131">
        <v>0</v>
      </c>
      <c r="C36" s="48">
        <v>0</v>
      </c>
      <c r="D36" s="49">
        <v>0</v>
      </c>
      <c r="E36" s="131">
        <v>0</v>
      </c>
      <c r="F36" s="39">
        <v>0</v>
      </c>
    </row>
    <row r="37" spans="1:6" ht="12.75">
      <c r="A37" s="38" t="s">
        <v>136</v>
      </c>
      <c r="B37" s="55">
        <v>0</v>
      </c>
      <c r="C37" s="39">
        <v>0</v>
      </c>
      <c r="D37" s="40">
        <v>0</v>
      </c>
      <c r="E37" s="55">
        <v>0</v>
      </c>
      <c r="F37" s="39">
        <v>0</v>
      </c>
    </row>
    <row r="38" spans="1:6" ht="12.75">
      <c r="A38" s="90" t="s">
        <v>70</v>
      </c>
      <c r="B38" s="16">
        <f>B37+B36</f>
        <v>0</v>
      </c>
      <c r="C38" s="16">
        <f>C37+C36</f>
        <v>0</v>
      </c>
      <c r="D38" s="16">
        <f>D37+D36</f>
        <v>0</v>
      </c>
      <c r="E38" s="16">
        <f>E37+E36</f>
        <v>0</v>
      </c>
      <c r="F38" s="16">
        <f>F37+F36</f>
        <v>0</v>
      </c>
    </row>
    <row r="39" spans="1:6" ht="12.75">
      <c r="A39" s="96"/>
      <c r="B39" s="52"/>
      <c r="C39" s="52"/>
      <c r="D39" s="52"/>
      <c r="E39" s="173"/>
      <c r="F39" s="64"/>
    </row>
    <row r="40" spans="1:6" ht="12.75">
      <c r="A40" s="181" t="s">
        <v>137</v>
      </c>
      <c r="B40" s="182"/>
      <c r="C40" s="182"/>
      <c r="D40" s="183"/>
      <c r="E40" s="183"/>
      <c r="F40" s="183"/>
    </row>
    <row r="41" spans="1:6" s="91" customFormat="1" ht="12.75">
      <c r="A41" s="184" t="s">
        <v>99</v>
      </c>
      <c r="B41" s="185">
        <f>B38+B34+B30+B25+B20+B14</f>
        <v>184327</v>
      </c>
      <c r="C41" s="185">
        <f>C38+C34+C30+C25+C20+C14</f>
        <v>30963</v>
      </c>
      <c r="D41" s="185">
        <f>D38+D34+D30+D25+D20+D14</f>
        <v>33946</v>
      </c>
      <c r="E41" s="185">
        <f>E38+E34+E30+E25+E20+E14</f>
        <v>11827</v>
      </c>
      <c r="F41" s="185">
        <f>F38+F34+F30+F25+F20+F14</f>
        <v>14849</v>
      </c>
    </row>
    <row r="42" spans="1:6" ht="12.75">
      <c r="A42" s="186"/>
      <c r="B42" s="187"/>
      <c r="C42" s="187"/>
      <c r="D42" s="69"/>
      <c r="E42" s="110"/>
      <c r="F42" s="110"/>
    </row>
    <row r="43" spans="1:6" ht="12.75">
      <c r="A43" s="188" t="s">
        <v>100</v>
      </c>
      <c r="B43" s="129"/>
      <c r="C43" s="129"/>
      <c r="D43" s="39"/>
      <c r="E43" s="56"/>
      <c r="F43" s="56"/>
    </row>
    <row r="44" spans="1:6" ht="12.75">
      <c r="A44" s="70" t="s">
        <v>73</v>
      </c>
      <c r="B44" s="129">
        <v>0</v>
      </c>
      <c r="C44" s="129">
        <v>0</v>
      </c>
      <c r="D44" s="39">
        <v>0</v>
      </c>
      <c r="E44" s="56">
        <v>0</v>
      </c>
      <c r="F44" s="56">
        <v>0</v>
      </c>
    </row>
    <row r="45" spans="1:6" ht="12.75">
      <c r="A45" s="113" t="s">
        <v>101</v>
      </c>
      <c r="B45" s="189">
        <f>'12_sz_ melléklet'!F11</f>
        <v>1875</v>
      </c>
      <c r="C45" s="189"/>
      <c r="D45" s="58">
        <v>0</v>
      </c>
      <c r="E45" s="59">
        <v>0</v>
      </c>
      <c r="F45" s="59">
        <v>0</v>
      </c>
    </row>
    <row r="46" spans="1:6" s="91" customFormat="1" ht="12.75">
      <c r="A46" s="90" t="s">
        <v>75</v>
      </c>
      <c r="B46" s="106">
        <f>SUM(B44:B45)</f>
        <v>1875</v>
      </c>
      <c r="C46" s="106">
        <f>SUM(C44:C45)</f>
        <v>0</v>
      </c>
      <c r="D46" s="106">
        <v>0</v>
      </c>
      <c r="E46" s="106">
        <f>SUM(E44:E45)</f>
        <v>0</v>
      </c>
      <c r="F46" s="74">
        <f>SUM(F44:F45)</f>
        <v>0</v>
      </c>
    </row>
    <row r="47" spans="1:6" ht="12.75">
      <c r="A47" s="90"/>
      <c r="B47" s="78"/>
      <c r="C47" s="78"/>
      <c r="D47" s="78"/>
      <c r="E47" s="157"/>
      <c r="F47" s="190"/>
    </row>
    <row r="48" spans="1:6" s="91" customFormat="1" ht="27" customHeight="1">
      <c r="A48" s="132" t="s">
        <v>138</v>
      </c>
      <c r="B48" s="74">
        <f>B41+B46</f>
        <v>186202</v>
      </c>
      <c r="C48" s="74">
        <f>C41+C46</f>
        <v>30963</v>
      </c>
      <c r="D48" s="74">
        <f>D41+D46</f>
        <v>33946</v>
      </c>
      <c r="E48" s="74">
        <f>E41+E46</f>
        <v>11827</v>
      </c>
      <c r="F48" s="74">
        <f>F41+F46</f>
        <v>14849</v>
      </c>
    </row>
    <row r="50" ht="12" customHeight="1"/>
    <row r="51" spans="1:6" ht="12.75">
      <c r="A51" s="1182">
        <v>2</v>
      </c>
      <c r="B51" s="1182"/>
      <c r="C51" s="1182"/>
      <c r="D51" s="1182"/>
      <c r="E51" s="1182"/>
      <c r="F51" s="1182"/>
    </row>
    <row r="52" spans="1:5" ht="14.25">
      <c r="A52" s="1177" t="s">
        <v>122</v>
      </c>
      <c r="B52" s="1177"/>
      <c r="C52" s="1177"/>
      <c r="D52" s="1177"/>
      <c r="E52" s="1177"/>
    </row>
    <row r="53" spans="1:6" ht="15.75">
      <c r="A53" s="1176" t="s">
        <v>123</v>
      </c>
      <c r="B53" s="1176"/>
      <c r="C53" s="1176"/>
      <c r="D53" s="1176"/>
      <c r="E53" s="1176"/>
      <c r="F53" s="1176"/>
    </row>
    <row r="54" spans="1:6" ht="15.75">
      <c r="A54" s="1176" t="s">
        <v>124</v>
      </c>
      <c r="B54" s="1176"/>
      <c r="C54" s="1176"/>
      <c r="D54" s="1176"/>
      <c r="E54" s="1176"/>
      <c r="F54" s="1176"/>
    </row>
    <row r="55" ht="12.75">
      <c r="E55" s="31" t="s">
        <v>80</v>
      </c>
    </row>
    <row r="56" spans="1:6" ht="30" customHeight="1">
      <c r="A56" s="32" t="s">
        <v>125</v>
      </c>
      <c r="B56" s="191" t="s">
        <v>139</v>
      </c>
      <c r="C56" s="175" t="s">
        <v>140</v>
      </c>
      <c r="D56" s="176" t="s">
        <v>141</v>
      </c>
      <c r="E56" s="192" t="s">
        <v>142</v>
      </c>
      <c r="F56" s="192" t="s">
        <v>143</v>
      </c>
    </row>
    <row r="57" spans="1:6" ht="12.75">
      <c r="A57" s="44" t="s">
        <v>42</v>
      </c>
      <c r="B57" s="69"/>
      <c r="C57" s="69"/>
      <c r="D57" s="69"/>
      <c r="E57" s="166"/>
      <c r="F57" s="69"/>
    </row>
    <row r="58" spans="1:6" ht="12.75">
      <c r="A58" s="121" t="s">
        <v>43</v>
      </c>
      <c r="B58" s="48">
        <f>39508+386+132+259</f>
        <v>40285</v>
      </c>
      <c r="C58" s="39">
        <f>238055+2075+618+11063+668+62+242-11063+1865+2102+1360+98+6101+3945+397+2882-1865-2102-6101-3945-2882+29+1749-144-3799-120</f>
        <v>241290</v>
      </c>
      <c r="D58" s="48">
        <f>1156+255</f>
        <v>1411</v>
      </c>
      <c r="E58" s="49">
        <f>1618+30+10+20+144</f>
        <v>1822</v>
      </c>
      <c r="F58" s="39"/>
    </row>
    <row r="59" spans="1:6" ht="12.75">
      <c r="A59" s="19" t="s">
        <v>44</v>
      </c>
      <c r="B59" s="48">
        <f>12279+124+42+83</f>
        <v>12528</v>
      </c>
      <c r="C59" s="39">
        <f>73875+664+2752+234-2752+467+1952+1262+127-1952-1262+9+444-820-63-22</f>
        <v>74915</v>
      </c>
      <c r="D59" s="48">
        <f>367+12</f>
        <v>379</v>
      </c>
      <c r="E59" s="49">
        <f>533+10+3+6+22</f>
        <v>574</v>
      </c>
      <c r="F59" s="39"/>
    </row>
    <row r="60" spans="1:6" ht="12.75">
      <c r="A60" s="19" t="s">
        <v>45</v>
      </c>
      <c r="B60" s="48">
        <f>3068-215+660</f>
        <v>3513</v>
      </c>
      <c r="C60" s="193">
        <f>210564-1+18890-5408+100-80-13482+80+4995+654-4995-654+3286+1126+6777+47906+543+557+11849+32917+6882+1532+5</f>
        <v>324043</v>
      </c>
      <c r="D60" s="48">
        <f>1296+1+106+179+200+179+179+12+118+5</f>
        <v>2275</v>
      </c>
      <c r="E60" s="49">
        <f>3800+88</f>
        <v>3888</v>
      </c>
      <c r="F60" s="39">
        <f>4220+351-644</f>
        <v>3927</v>
      </c>
    </row>
    <row r="61" spans="1:6" ht="12.75">
      <c r="A61" s="19" t="s">
        <v>144</v>
      </c>
      <c r="B61" s="48">
        <v>-269</v>
      </c>
      <c r="C61" s="39">
        <v>-106000</v>
      </c>
      <c r="D61" s="48"/>
      <c r="E61" s="49"/>
      <c r="F61" s="39">
        <f>-4220+644</f>
        <v>-3576</v>
      </c>
    </row>
    <row r="62" spans="1:6" ht="12.75">
      <c r="A62" s="19" t="s">
        <v>47</v>
      </c>
      <c r="B62" s="48">
        <v>0</v>
      </c>
      <c r="C62" s="39">
        <v>0</v>
      </c>
      <c r="D62" s="48">
        <v>0</v>
      </c>
      <c r="E62" s="49">
        <v>0</v>
      </c>
      <c r="F62" s="39">
        <v>0</v>
      </c>
    </row>
    <row r="63" spans="1:6" ht="12.75">
      <c r="A63" s="8" t="s">
        <v>48</v>
      </c>
      <c r="B63" s="48">
        <v>0</v>
      </c>
      <c r="C63" s="39">
        <v>0</v>
      </c>
      <c r="D63" s="48">
        <v>0</v>
      </c>
      <c r="E63" s="49">
        <v>0</v>
      </c>
      <c r="F63" s="39">
        <v>0</v>
      </c>
    </row>
    <row r="64" spans="1:6" ht="12.75">
      <c r="A64" s="122" t="s">
        <v>145</v>
      </c>
      <c r="B64" s="39">
        <f>B63</f>
        <v>0</v>
      </c>
      <c r="C64" s="39">
        <f>C63</f>
        <v>0</v>
      </c>
      <c r="D64" s="39">
        <f>D63</f>
        <v>0</v>
      </c>
      <c r="E64" s="39">
        <f>E63</f>
        <v>0</v>
      </c>
      <c r="F64" s="39">
        <f>F63</f>
        <v>0</v>
      </c>
    </row>
    <row r="65" spans="1:6" s="91" customFormat="1" ht="12.75">
      <c r="A65" s="43" t="s">
        <v>132</v>
      </c>
      <c r="B65" s="16">
        <f>SUM(B58:B63)</f>
        <v>56057</v>
      </c>
      <c r="C65" s="16">
        <f>SUM(C58:C63)</f>
        <v>534248</v>
      </c>
      <c r="D65" s="16">
        <f>SUM(D58:D63)</f>
        <v>4065</v>
      </c>
      <c r="E65" s="16">
        <f>SUM(E58:E63)</f>
        <v>6284</v>
      </c>
      <c r="F65" s="16">
        <f>SUM(F58:F63)</f>
        <v>351</v>
      </c>
    </row>
    <row r="66" spans="1:6" ht="12.75">
      <c r="A66" s="93"/>
      <c r="B66" s="69"/>
      <c r="C66" s="110"/>
      <c r="D66" s="69"/>
      <c r="E66" s="166"/>
      <c r="F66" s="48"/>
    </row>
    <row r="67" spans="1:6" ht="12.75">
      <c r="A67" s="47" t="s">
        <v>51</v>
      </c>
      <c r="B67" s="48"/>
      <c r="C67" s="94"/>
      <c r="D67" s="48"/>
      <c r="E67" s="131"/>
      <c r="F67" s="39"/>
    </row>
    <row r="68" spans="1:6" ht="12.75">
      <c r="A68" s="19" t="s">
        <v>52</v>
      </c>
      <c r="B68" s="48">
        <f>'4_sz_ melléklet'!B115</f>
        <v>2399</v>
      </c>
      <c r="C68" s="56">
        <f>'4_sz_ melléklet'!B106</f>
        <v>242</v>
      </c>
      <c r="D68" s="48">
        <v>0</v>
      </c>
      <c r="E68" s="131">
        <v>0</v>
      </c>
      <c r="F68" s="39">
        <v>0</v>
      </c>
    </row>
    <row r="69" spans="1:6" ht="12.75">
      <c r="A69" s="19" t="s">
        <v>53</v>
      </c>
      <c r="B69" s="48">
        <v>0</v>
      </c>
      <c r="C69" s="56">
        <v>0</v>
      </c>
      <c r="D69" s="48">
        <v>0</v>
      </c>
      <c r="E69" s="131">
        <v>0</v>
      </c>
      <c r="F69" s="39">
        <v>0</v>
      </c>
    </row>
    <row r="70" spans="1:6" ht="12.75">
      <c r="A70" s="19" t="s">
        <v>54</v>
      </c>
      <c r="B70" s="48">
        <v>0</v>
      </c>
      <c r="C70" s="56">
        <v>0</v>
      </c>
      <c r="D70" s="48">
        <v>0</v>
      </c>
      <c r="E70" s="131">
        <v>0</v>
      </c>
      <c r="F70" s="39">
        <v>0</v>
      </c>
    </row>
    <row r="71" spans="1:6" ht="12.75">
      <c r="A71" s="179" t="s">
        <v>111</v>
      </c>
      <c r="B71" s="63">
        <f>-B61</f>
        <v>269</v>
      </c>
      <c r="C71" s="63">
        <f>-C61</f>
        <v>106000</v>
      </c>
      <c r="D71" s="63">
        <f>-D61</f>
        <v>0</v>
      </c>
      <c r="E71" s="63">
        <f>-E61</f>
        <v>0</v>
      </c>
      <c r="F71" s="63">
        <f>-F61</f>
        <v>3576</v>
      </c>
    </row>
    <row r="72" spans="1:6" ht="12.75">
      <c r="A72" s="194"/>
      <c r="B72" s="64"/>
      <c r="C72" s="53"/>
      <c r="D72" s="64"/>
      <c r="E72" s="51"/>
      <c r="F72" s="64"/>
    </row>
    <row r="73" spans="1:6" s="91" customFormat="1" ht="12.75">
      <c r="A73" s="43" t="s">
        <v>91</v>
      </c>
      <c r="B73" s="16">
        <f>SUM(B68:B71)</f>
        <v>2668</v>
      </c>
      <c r="C73" s="16">
        <f>SUM(C68:C71)</f>
        <v>106242</v>
      </c>
      <c r="D73" s="16">
        <f>SUM(D68:D71)</f>
        <v>0</v>
      </c>
      <c r="E73" s="16">
        <f>SUM(E68:E71)</f>
        <v>0</v>
      </c>
      <c r="F73" s="16">
        <f>SUM(F68:F71)</f>
        <v>3576</v>
      </c>
    </row>
    <row r="74" spans="1:6" ht="8.25" customHeight="1">
      <c r="A74" s="96"/>
      <c r="B74" s="64"/>
      <c r="C74" s="51"/>
      <c r="D74" s="64"/>
      <c r="E74" s="53"/>
      <c r="F74" s="64"/>
    </row>
    <row r="75" spans="1:6" ht="12.75">
      <c r="A75" s="96" t="s">
        <v>57</v>
      </c>
      <c r="B75" s="64"/>
      <c r="C75" s="51"/>
      <c r="D75" s="64"/>
      <c r="E75" s="53"/>
      <c r="F75" s="64"/>
    </row>
    <row r="76" spans="1:6" ht="12.75">
      <c r="A76" s="180" t="s">
        <v>58</v>
      </c>
      <c r="B76" s="39">
        <v>0</v>
      </c>
      <c r="C76" s="55">
        <v>0</v>
      </c>
      <c r="D76" s="39">
        <v>0</v>
      </c>
      <c r="E76" s="56">
        <v>0</v>
      </c>
      <c r="F76" s="39">
        <f>1_e_f_sz_melléklet!C10+1_e_f_sz_melléklet!C11+1_e_f_sz_melléklet!C12</f>
        <v>8162</v>
      </c>
    </row>
    <row r="77" spans="1:6" ht="12.75">
      <c r="A77" s="125" t="s">
        <v>59</v>
      </c>
      <c r="B77" s="64">
        <v>0</v>
      </c>
      <c r="C77" s="51">
        <v>0</v>
      </c>
      <c r="D77" s="64">
        <v>0</v>
      </c>
      <c r="E77" s="53">
        <v>0</v>
      </c>
      <c r="F77" s="58">
        <v>0</v>
      </c>
    </row>
    <row r="78" spans="1:6" s="91" customFormat="1" ht="12.75">
      <c r="A78" s="43" t="s">
        <v>133</v>
      </c>
      <c r="B78" s="16">
        <f>B76+B77</f>
        <v>0</v>
      </c>
      <c r="C78" s="16">
        <f>C76+C77</f>
        <v>0</v>
      </c>
      <c r="D78" s="16">
        <f>D76+D77</f>
        <v>0</v>
      </c>
      <c r="E78" s="16">
        <f>E76+E77</f>
        <v>0</v>
      </c>
      <c r="F78" s="16">
        <f>F76+F77</f>
        <v>8162</v>
      </c>
    </row>
    <row r="79" spans="1:6" ht="12.75">
      <c r="A79" s="96"/>
      <c r="B79" s="64"/>
      <c r="C79" s="51"/>
      <c r="D79" s="64"/>
      <c r="E79" s="64"/>
      <c r="F79" s="53"/>
    </row>
    <row r="80" spans="1:6" ht="12.75">
      <c r="A80" s="62" t="s">
        <v>94</v>
      </c>
      <c r="B80" s="48"/>
      <c r="C80" s="131"/>
      <c r="D80" s="48"/>
      <c r="E80" s="48"/>
      <c r="F80" s="94"/>
    </row>
    <row r="81" spans="1:6" ht="12.75">
      <c r="A81" s="54" t="s">
        <v>58</v>
      </c>
      <c r="B81" s="48">
        <v>0</v>
      </c>
      <c r="C81" s="131">
        <v>0</v>
      </c>
      <c r="D81" s="48">
        <f>1_e_f_sz_melléklet!C39+1_e_f_sz_melléklet!C35</f>
        <v>436</v>
      </c>
      <c r="E81" s="48">
        <v>0</v>
      </c>
      <c r="F81" s="56">
        <f>1_e_f_sz_melléklet!C27+1_e_f_sz_melléklet!C28+1_e_f_sz_melléklet!C29+1_e_f_sz_melléklet!C30+1_e_f_sz_melléklet!C31+1_e_f_sz_melléklet!C32+1_e_f_sz_melléklet!C33+1_e_f_sz_melléklet!C34+1_e_f_sz_melléklet!C36+1_e_f_sz_melléklet!C37+1_e_f_sz_melléklet!C38+1_e_f_sz_melléklet!D43</f>
        <v>214951</v>
      </c>
    </row>
    <row r="82" spans="1:6" ht="12.75">
      <c r="A82" s="126" t="s">
        <v>59</v>
      </c>
      <c r="B82" s="64">
        <v>0</v>
      </c>
      <c r="C82" s="51">
        <v>0</v>
      </c>
      <c r="D82" s="64">
        <v>0</v>
      </c>
      <c r="E82" s="64">
        <v>0</v>
      </c>
      <c r="F82" s="59">
        <f>1_e_f_sz_melléklet!C48+1_e_f_sz_melléklet!C49+1_e_f_sz_melléklet!C50</f>
        <v>20000</v>
      </c>
    </row>
    <row r="83" spans="1:6" s="91" customFormat="1" ht="12.75">
      <c r="A83" s="43" t="s">
        <v>95</v>
      </c>
      <c r="B83" s="16">
        <f>B81+B82</f>
        <v>0</v>
      </c>
      <c r="C83" s="16">
        <f>C81+C82</f>
        <v>0</v>
      </c>
      <c r="D83" s="16">
        <f>D81+D82</f>
        <v>436</v>
      </c>
      <c r="E83" s="16">
        <f>E81+E82</f>
        <v>0</v>
      </c>
      <c r="F83" s="16">
        <f>F81+F82</f>
        <v>234951</v>
      </c>
    </row>
    <row r="84" spans="1:6" ht="18" customHeight="1">
      <c r="A84" s="44" t="s">
        <v>63</v>
      </c>
      <c r="B84" s="48"/>
      <c r="C84" s="48"/>
      <c r="D84" s="48"/>
      <c r="E84" s="131"/>
      <c r="F84" s="48"/>
    </row>
    <row r="85" spans="1:6" ht="12.75">
      <c r="A85" s="57" t="s">
        <v>96</v>
      </c>
      <c r="B85" s="64">
        <v>0</v>
      </c>
      <c r="C85" s="64">
        <v>0</v>
      </c>
      <c r="D85" s="64">
        <v>0</v>
      </c>
      <c r="E85" s="51">
        <v>0</v>
      </c>
      <c r="F85" s="39">
        <f>1_g_h_sz_melléklet!B10</f>
        <v>1000</v>
      </c>
    </row>
    <row r="86" spans="1:6" ht="12.75">
      <c r="A86" s="8" t="s">
        <v>134</v>
      </c>
      <c r="B86" s="39">
        <v>0</v>
      </c>
      <c r="C86" s="39">
        <v>0</v>
      </c>
      <c r="D86" s="39">
        <v>0</v>
      </c>
      <c r="E86" s="55">
        <v>0</v>
      </c>
      <c r="F86" s="58">
        <f>1_g_h_sz_melléklet!B15</f>
        <v>5000</v>
      </c>
    </row>
    <row r="87" spans="1:6" s="91" customFormat="1" ht="12.75">
      <c r="A87" s="43" t="s">
        <v>98</v>
      </c>
      <c r="B87" s="16">
        <f>B85+B86</f>
        <v>0</v>
      </c>
      <c r="C87" s="16">
        <f>C85+C86</f>
        <v>0</v>
      </c>
      <c r="D87" s="16">
        <f>D85+D86</f>
        <v>0</v>
      </c>
      <c r="E87" s="16">
        <f>E85+E86</f>
        <v>0</v>
      </c>
      <c r="F87" s="16">
        <f>F85+F86</f>
        <v>6000</v>
      </c>
    </row>
    <row r="88" spans="1:6" ht="17.25" customHeight="1">
      <c r="A88" s="47" t="s">
        <v>67</v>
      </c>
      <c r="B88" s="109"/>
      <c r="C88" s="69"/>
      <c r="D88" s="166"/>
      <c r="E88" s="109"/>
      <c r="F88" s="48"/>
    </row>
    <row r="89" spans="1:6" ht="12.75">
      <c r="A89" s="38" t="s">
        <v>135</v>
      </c>
      <c r="B89" s="131"/>
      <c r="C89" s="48"/>
      <c r="D89" s="49"/>
      <c r="E89" s="131"/>
      <c r="F89" s="39">
        <v>0</v>
      </c>
    </row>
    <row r="90" spans="1:6" ht="12.75">
      <c r="A90" s="38" t="s">
        <v>136</v>
      </c>
      <c r="B90" s="55"/>
      <c r="C90" s="39"/>
      <c r="D90" s="40"/>
      <c r="E90" s="55"/>
      <c r="F90" s="39">
        <v>0</v>
      </c>
    </row>
    <row r="91" spans="1:6" s="91" customFormat="1" ht="12.75">
      <c r="A91" s="90" t="s">
        <v>70</v>
      </c>
      <c r="B91" s="16">
        <f>B89+B90</f>
        <v>0</v>
      </c>
      <c r="C91" s="16">
        <f>C89+C90</f>
        <v>0</v>
      </c>
      <c r="D91" s="16">
        <f>D89+D90</f>
        <v>0</v>
      </c>
      <c r="E91" s="16">
        <f>E89+E90</f>
        <v>0</v>
      </c>
      <c r="F91" s="16">
        <f>F89+F90</f>
        <v>0</v>
      </c>
    </row>
    <row r="92" spans="1:6" ht="12.75">
      <c r="A92" s="96"/>
      <c r="B92" s="52"/>
      <c r="C92" s="52"/>
      <c r="D92" s="52"/>
      <c r="E92" s="173"/>
      <c r="F92" s="64"/>
    </row>
    <row r="93" spans="1:6" ht="12.75">
      <c r="A93" s="181" t="s">
        <v>137</v>
      </c>
      <c r="B93" s="182"/>
      <c r="C93" s="182"/>
      <c r="D93" s="52"/>
      <c r="E93" s="173"/>
      <c r="F93" s="52"/>
    </row>
    <row r="94" spans="1:6" s="91" customFormat="1" ht="12.75">
      <c r="A94" s="184" t="s">
        <v>99</v>
      </c>
      <c r="B94" s="185">
        <f>B91+B87+B83+B78+B73+B65</f>
        <v>58725</v>
      </c>
      <c r="C94" s="185">
        <f>C91+C87+C83+C78+C73+C65</f>
        <v>640490</v>
      </c>
      <c r="D94" s="185">
        <f>D91+D87+D83+D78+D73+D65</f>
        <v>4501</v>
      </c>
      <c r="E94" s="185">
        <f>E91+E87+E83+E78+E73+E65</f>
        <v>6284</v>
      </c>
      <c r="F94" s="185">
        <f>F91+F87+F83+F78+F73+F65</f>
        <v>253040</v>
      </c>
    </row>
    <row r="95" spans="1:6" ht="12.75">
      <c r="A95" s="195"/>
      <c r="B95" s="187"/>
      <c r="C95" s="196"/>
      <c r="D95" s="166"/>
      <c r="E95" s="69"/>
      <c r="F95" s="110"/>
    </row>
    <row r="96" spans="1:6" ht="12.75">
      <c r="A96" s="188" t="s">
        <v>100</v>
      </c>
      <c r="B96" s="129"/>
      <c r="C96" s="130"/>
      <c r="D96" s="40"/>
      <c r="E96" s="39"/>
      <c r="F96" s="56"/>
    </row>
    <row r="97" spans="1:6" ht="12.75">
      <c r="A97" s="70" t="s">
        <v>73</v>
      </c>
      <c r="B97" s="129">
        <v>0</v>
      </c>
      <c r="C97" s="130"/>
      <c r="D97" s="40">
        <v>0</v>
      </c>
      <c r="E97" s="39">
        <v>0</v>
      </c>
      <c r="F97" s="56">
        <v>0</v>
      </c>
    </row>
    <row r="98" spans="1:6" ht="12.75">
      <c r="A98" s="113" t="s">
        <v>101</v>
      </c>
      <c r="B98" s="189">
        <f>'12_sz_ melléklet'!G11</f>
        <v>218</v>
      </c>
      <c r="C98" s="197">
        <v>0</v>
      </c>
      <c r="D98" s="42">
        <v>0</v>
      </c>
      <c r="E98" s="58">
        <v>0</v>
      </c>
      <c r="F98" s="59">
        <f>'12_sz_ melléklet'!E11</f>
        <v>2940</v>
      </c>
    </row>
    <row r="99" spans="1:6" s="91" customFormat="1" ht="12.75">
      <c r="A99" s="90" t="s">
        <v>112</v>
      </c>
      <c r="B99" s="60">
        <f>B97+B98</f>
        <v>218</v>
      </c>
      <c r="C99" s="60">
        <f>C97+C98</f>
        <v>0</v>
      </c>
      <c r="D99" s="60">
        <f>D97+D98</f>
        <v>0</v>
      </c>
      <c r="E99" s="60">
        <f>E97+E98</f>
        <v>0</v>
      </c>
      <c r="F99" s="16">
        <f>F97+F98</f>
        <v>2940</v>
      </c>
    </row>
    <row r="100" spans="1:6" ht="12.75">
      <c r="A100" s="194"/>
      <c r="B100" s="64"/>
      <c r="C100" s="39"/>
      <c r="D100" s="67"/>
      <c r="E100" s="104"/>
      <c r="F100" s="64"/>
    </row>
    <row r="101" spans="1:6" s="91" customFormat="1" ht="13.5" thickBot="1">
      <c r="A101" s="132" t="s">
        <v>138</v>
      </c>
      <c r="B101" s="74">
        <f>B99+B94</f>
        <v>58943</v>
      </c>
      <c r="C101" s="74">
        <f>C99+C94</f>
        <v>640490</v>
      </c>
      <c r="D101" s="74">
        <f>D99+D94</f>
        <v>4501</v>
      </c>
      <c r="E101" s="74">
        <f>E99+E94</f>
        <v>6284</v>
      </c>
      <c r="F101" s="74">
        <f>F99+F94</f>
        <v>255980</v>
      </c>
    </row>
    <row r="102" spans="1:6" s="91" customFormat="1" ht="12.75">
      <c r="A102" s="198"/>
      <c r="B102" s="199"/>
      <c r="C102" s="199"/>
      <c r="D102" s="199"/>
      <c r="E102" s="199"/>
      <c r="F102" s="199"/>
    </row>
    <row r="103" spans="1:6" s="91" customFormat="1" ht="12.75">
      <c r="A103" s="198"/>
      <c r="B103" s="199"/>
      <c r="C103" s="199"/>
      <c r="D103" s="199"/>
      <c r="E103" s="199"/>
      <c r="F103" s="199"/>
    </row>
    <row r="104" spans="1:6" ht="12.75">
      <c r="A104" s="1182">
        <v>3</v>
      </c>
      <c r="B104" s="1182"/>
      <c r="C104" s="1182"/>
      <c r="D104" s="1182"/>
      <c r="E104" s="1182"/>
      <c r="F104" s="1182"/>
    </row>
    <row r="106" spans="1:5" ht="14.25">
      <c r="A106" s="1177" t="s">
        <v>146</v>
      </c>
      <c r="B106" s="1177"/>
      <c r="C106" s="1177"/>
      <c r="D106" s="1177"/>
      <c r="E106" s="1177"/>
    </row>
    <row r="107" spans="1:6" ht="15.75">
      <c r="A107" s="1176" t="s">
        <v>123</v>
      </c>
      <c r="B107" s="1176"/>
      <c r="C107" s="1176"/>
      <c r="D107" s="1176"/>
      <c r="E107" s="1176"/>
      <c r="F107" s="1176"/>
    </row>
    <row r="108" spans="1:6" ht="15.75">
      <c r="A108" s="1176" t="s">
        <v>124</v>
      </c>
      <c r="B108" s="1176"/>
      <c r="C108" s="1176"/>
      <c r="D108" s="1176"/>
      <c r="E108" s="1176"/>
      <c r="F108" s="1176"/>
    </row>
    <row r="109" ht="12.75">
      <c r="E109" s="31" t="s">
        <v>80</v>
      </c>
    </row>
    <row r="110" spans="1:6" ht="30" customHeight="1">
      <c r="A110" s="32" t="s">
        <v>125</v>
      </c>
      <c r="B110" s="174" t="s">
        <v>147</v>
      </c>
      <c r="C110" s="200" t="s">
        <v>148</v>
      </c>
      <c r="D110" s="176" t="s">
        <v>149</v>
      </c>
      <c r="E110" s="176" t="s">
        <v>150</v>
      </c>
      <c r="F110" s="176" t="s">
        <v>151</v>
      </c>
    </row>
    <row r="111" spans="1:6" ht="12.75">
      <c r="A111" s="44" t="s">
        <v>42</v>
      </c>
      <c r="B111" s="69"/>
      <c r="C111" s="69"/>
      <c r="D111" s="69"/>
      <c r="E111" s="166"/>
      <c r="F111" s="69"/>
    </row>
    <row r="112" spans="1:6" ht="12.75">
      <c r="A112" s="121" t="s">
        <v>43</v>
      </c>
      <c r="B112" s="48">
        <f>101274+51-101-2788-839+17+33-6018-2694-44411-15500+1</f>
        <v>29025</v>
      </c>
      <c r="C112" s="39"/>
      <c r="D112" s="48"/>
      <c r="E112" s="49">
        <f>7655+67-3828+15+7+45+12919+560+10117+1250+3799</f>
        <v>32606</v>
      </c>
      <c r="F112" s="39"/>
    </row>
    <row r="113" spans="1:6" ht="12.75">
      <c r="A113" s="19" t="s">
        <v>44</v>
      </c>
      <c r="B113" s="48">
        <f>36098+16-17-594-185+5+11-999-410-14212-12937</f>
        <v>6776</v>
      </c>
      <c r="C113" s="39"/>
      <c r="D113" s="48"/>
      <c r="E113" s="49">
        <f>1052+21+7+14+3488+156+2754+325+820</f>
        <v>8637</v>
      </c>
      <c r="F113" s="39"/>
    </row>
    <row r="114" spans="1:6" ht="12.75">
      <c r="A114" s="19" t="s">
        <v>45</v>
      </c>
      <c r="B114" s="48">
        <f>77970+2500+88+108+832-14513+8445+1000</f>
        <v>76430</v>
      </c>
      <c r="C114" s="39">
        <v>1320</v>
      </c>
      <c r="D114" s="48">
        <f>41400+56+1086</f>
        <v>42542</v>
      </c>
      <c r="E114" s="49">
        <f>20546-3502-13974-707+13464+3858+24692+950-506+262+2344</f>
        <v>47427</v>
      </c>
      <c r="F114" s="39">
        <v>936</v>
      </c>
    </row>
    <row r="115" spans="1:6" ht="12.75">
      <c r="A115" s="19" t="s">
        <v>152</v>
      </c>
      <c r="B115" s="48"/>
      <c r="C115" s="39"/>
      <c r="D115" s="48"/>
      <c r="E115" s="49"/>
      <c r="F115" s="39"/>
    </row>
    <row r="116" spans="1:6" ht="12.75">
      <c r="A116" s="19" t="s">
        <v>47</v>
      </c>
      <c r="B116" s="48">
        <v>0</v>
      </c>
      <c r="C116" s="39">
        <v>0</v>
      </c>
      <c r="D116" s="48">
        <v>0</v>
      </c>
      <c r="E116" s="49">
        <v>0</v>
      </c>
      <c r="F116" s="39">
        <v>0</v>
      </c>
    </row>
    <row r="117" spans="1:6" ht="12.75">
      <c r="A117" s="8" t="s">
        <v>48</v>
      </c>
      <c r="B117" s="48">
        <f>40642+1584+1911+1229+2918-832</f>
        <v>47452</v>
      </c>
      <c r="C117" s="39">
        <v>0</v>
      </c>
      <c r="D117" s="48">
        <v>0</v>
      </c>
      <c r="E117" s="49">
        <v>0</v>
      </c>
      <c r="F117" s="39">
        <v>0</v>
      </c>
    </row>
    <row r="118" spans="1:6" ht="12.75">
      <c r="A118" s="122" t="s">
        <v>153</v>
      </c>
      <c r="B118" s="39">
        <f>B117</f>
        <v>47452</v>
      </c>
      <c r="C118" s="39">
        <f>C117</f>
        <v>0</v>
      </c>
      <c r="D118" s="39">
        <f>D117</f>
        <v>0</v>
      </c>
      <c r="E118" s="58">
        <f>E117</f>
        <v>0</v>
      </c>
      <c r="F118" s="39">
        <f>F117</f>
        <v>0</v>
      </c>
    </row>
    <row r="119" spans="1:6" s="91" customFormat="1" ht="13.5" thickBot="1">
      <c r="A119" s="43" t="s">
        <v>132</v>
      </c>
      <c r="B119" s="16">
        <f>SUM(B112:B117)</f>
        <v>159683</v>
      </c>
      <c r="C119" s="16">
        <f>SUM(C112:C117)</f>
        <v>1320</v>
      </c>
      <c r="D119" s="60">
        <f>SUM(D112:D117)</f>
        <v>42542</v>
      </c>
      <c r="E119" s="996">
        <f>SUM(E112:E117)</f>
        <v>88670</v>
      </c>
      <c r="F119" s="61">
        <f>SUM(F112:F117)</f>
        <v>936</v>
      </c>
    </row>
    <row r="120" spans="1:6" ht="12.75">
      <c r="A120" s="93"/>
      <c r="B120" s="52"/>
      <c r="C120" s="110"/>
      <c r="D120" s="69"/>
      <c r="E120" s="49"/>
      <c r="F120" s="48"/>
    </row>
    <row r="121" spans="1:6" ht="12.75">
      <c r="A121" s="47" t="s">
        <v>51</v>
      </c>
      <c r="B121" s="39"/>
      <c r="C121" s="94"/>
      <c r="D121" s="48"/>
      <c r="E121" s="131"/>
      <c r="F121" s="39"/>
    </row>
    <row r="122" spans="1:6" ht="12.75">
      <c r="A122" s="19" t="s">
        <v>52</v>
      </c>
      <c r="B122" s="48">
        <f>'4_sz_ melléklet'!B72</f>
        <v>88306</v>
      </c>
      <c r="C122" s="56">
        <v>0</v>
      </c>
      <c r="D122" s="48">
        <f>'4_sz_ melléklet'!B76</f>
        <v>2932</v>
      </c>
      <c r="E122" s="131">
        <f>'4_sz_ melléklet'!B100</f>
        <v>8064</v>
      </c>
      <c r="F122" s="39">
        <v>0</v>
      </c>
    </row>
    <row r="123" spans="1:6" ht="12.75">
      <c r="A123" s="19" t="s">
        <v>53</v>
      </c>
      <c r="B123" s="48">
        <f>'3_sz_ melléklet'!B41</f>
        <v>3459</v>
      </c>
      <c r="C123" s="56">
        <f>'3_sz_ melléklet'!B44</f>
        <v>15000</v>
      </c>
      <c r="D123" s="48">
        <v>0</v>
      </c>
      <c r="E123" s="131">
        <v>0</v>
      </c>
      <c r="F123" s="39">
        <v>0</v>
      </c>
    </row>
    <row r="124" spans="1:6" ht="12.75">
      <c r="A124" s="19" t="s">
        <v>54</v>
      </c>
      <c r="B124" s="48">
        <f>1_g_h_sz_melléklet!B42</f>
        <v>1750</v>
      </c>
      <c r="C124" s="56">
        <v>0</v>
      </c>
      <c r="D124" s="48">
        <v>0</v>
      </c>
      <c r="E124" s="131">
        <v>0</v>
      </c>
      <c r="F124" s="39">
        <v>0</v>
      </c>
    </row>
    <row r="125" spans="1:6" ht="12.75">
      <c r="A125" s="179" t="s">
        <v>111</v>
      </c>
      <c r="B125" s="48">
        <f>-B115</f>
        <v>0</v>
      </c>
      <c r="C125" s="48">
        <f>-C115</f>
        <v>0</v>
      </c>
      <c r="D125" s="48">
        <f>-D115</f>
        <v>0</v>
      </c>
      <c r="E125" s="48">
        <f>-E115</f>
        <v>0</v>
      </c>
      <c r="F125" s="48">
        <f>-F115</f>
        <v>0</v>
      </c>
    </row>
    <row r="126" spans="1:6" ht="12.75">
      <c r="A126" s="194"/>
      <c r="B126" s="64"/>
      <c r="C126" s="53"/>
      <c r="D126" s="64"/>
      <c r="E126" s="51"/>
      <c r="F126" s="58"/>
    </row>
    <row r="127" spans="1:6" s="91" customFormat="1" ht="12.75">
      <c r="A127" s="43" t="s">
        <v>91</v>
      </c>
      <c r="B127" s="16">
        <f>B122+B123+B124+B125+B126</f>
        <v>93515</v>
      </c>
      <c r="C127" s="201">
        <f>C122+C123+C124+C125+C126</f>
        <v>15000</v>
      </c>
      <c r="D127" s="201">
        <f>D122+D123+D124+D125+D126</f>
        <v>2932</v>
      </c>
      <c r="E127" s="201">
        <f>E122+E123+E124+E125+E126</f>
        <v>8064</v>
      </c>
      <c r="F127" s="201">
        <f>F122+F123+F124+F125+F126</f>
        <v>0</v>
      </c>
    </row>
    <row r="128" spans="1:6" ht="12.75">
      <c r="A128" s="96"/>
      <c r="B128" s="51"/>
      <c r="C128" s="52"/>
      <c r="D128" s="173"/>
      <c r="E128" s="52"/>
      <c r="F128" s="92"/>
    </row>
    <row r="129" spans="1:6" ht="12.75">
      <c r="A129" s="96" t="s">
        <v>57</v>
      </c>
      <c r="B129" s="51"/>
      <c r="C129" s="64"/>
      <c r="D129" s="51"/>
      <c r="E129" s="64"/>
      <c r="F129" s="53"/>
    </row>
    <row r="130" spans="1:6" ht="12.75">
      <c r="A130" s="180" t="s">
        <v>58</v>
      </c>
      <c r="B130" s="55">
        <f>1_e_f_sz_melléklet!C9</f>
        <v>42307</v>
      </c>
      <c r="C130" s="39">
        <v>0</v>
      </c>
      <c r="D130" s="55">
        <v>0</v>
      </c>
      <c r="E130" s="39">
        <v>0</v>
      </c>
      <c r="F130" s="56">
        <v>0</v>
      </c>
    </row>
    <row r="131" spans="1:6" ht="12.75">
      <c r="A131" s="125" t="s">
        <v>59</v>
      </c>
      <c r="B131" s="51">
        <f>1_e_f_sz_melléklet!C16+1_e_f_sz_melléklet!C17</f>
        <v>1545</v>
      </c>
      <c r="C131" s="78">
        <v>0</v>
      </c>
      <c r="D131" s="157">
        <v>0</v>
      </c>
      <c r="E131" s="78">
        <v>0</v>
      </c>
      <c r="F131" s="202">
        <v>0</v>
      </c>
    </row>
    <row r="132" spans="1:6" ht="12.75">
      <c r="A132" s="43" t="s">
        <v>133</v>
      </c>
      <c r="B132" s="16">
        <f>B130+B131</f>
        <v>43852</v>
      </c>
      <c r="C132" s="16">
        <f>C130+C131</f>
        <v>0</v>
      </c>
      <c r="D132" s="16">
        <f>D130+D131</f>
        <v>0</v>
      </c>
      <c r="E132" s="16">
        <f>E130+E131</f>
        <v>0</v>
      </c>
      <c r="F132" s="16">
        <f>F130+F131</f>
        <v>0</v>
      </c>
    </row>
    <row r="133" spans="1:6" ht="9" customHeight="1">
      <c r="A133" s="96"/>
      <c r="B133" s="64"/>
      <c r="C133" s="51"/>
      <c r="D133" s="64"/>
      <c r="E133" s="64"/>
      <c r="F133" s="53"/>
    </row>
    <row r="134" spans="1:6" ht="12.75">
      <c r="A134" s="62" t="s">
        <v>94</v>
      </c>
      <c r="B134" s="48"/>
      <c r="C134" s="131"/>
      <c r="D134" s="48"/>
      <c r="E134" s="48"/>
      <c r="F134" s="94"/>
    </row>
    <row r="135" spans="1:6" ht="12.75">
      <c r="A135" s="54" t="s">
        <v>58</v>
      </c>
      <c r="B135" s="48">
        <v>0</v>
      </c>
      <c r="C135" s="131">
        <f>1_e_f_sz_melléklet!C41</f>
        <v>32227</v>
      </c>
      <c r="D135" s="48">
        <v>0</v>
      </c>
      <c r="E135" s="48">
        <v>0</v>
      </c>
      <c r="F135" s="56">
        <v>0</v>
      </c>
    </row>
    <row r="136" spans="1:6" ht="12.75">
      <c r="A136" s="126" t="s">
        <v>59</v>
      </c>
      <c r="B136" s="64">
        <v>0</v>
      </c>
      <c r="C136" s="51">
        <v>0</v>
      </c>
      <c r="D136" s="64">
        <v>0</v>
      </c>
      <c r="E136" s="64">
        <v>0</v>
      </c>
      <c r="F136" s="59">
        <v>0</v>
      </c>
    </row>
    <row r="137" spans="1:6" s="91" customFormat="1" ht="12.75">
      <c r="A137" s="43" t="s">
        <v>95</v>
      </c>
      <c r="B137" s="16">
        <f>B135+B136</f>
        <v>0</v>
      </c>
      <c r="C137" s="16">
        <f>C135+C136</f>
        <v>32227</v>
      </c>
      <c r="D137" s="16">
        <f>D135+D136</f>
        <v>0</v>
      </c>
      <c r="E137" s="16">
        <f>E135+E136</f>
        <v>0</v>
      </c>
      <c r="F137" s="16">
        <f>F135+F136</f>
        <v>0</v>
      </c>
    </row>
    <row r="138" spans="1:6" ht="18.75" customHeight="1">
      <c r="A138" s="44" t="s">
        <v>63</v>
      </c>
      <c r="B138" s="48"/>
      <c r="C138" s="48"/>
      <c r="D138" s="48"/>
      <c r="E138" s="131"/>
      <c r="F138" s="48"/>
    </row>
    <row r="139" spans="1:6" ht="12.75">
      <c r="A139" s="57" t="s">
        <v>96</v>
      </c>
      <c r="B139" s="64">
        <v>0</v>
      </c>
      <c r="C139" s="64">
        <v>0</v>
      </c>
      <c r="D139" s="64">
        <v>0</v>
      </c>
      <c r="E139" s="51">
        <v>0</v>
      </c>
      <c r="F139" s="39">
        <v>0</v>
      </c>
    </row>
    <row r="140" spans="1:6" ht="12.75">
      <c r="A140" s="8" t="s">
        <v>134</v>
      </c>
      <c r="B140" s="39">
        <v>0</v>
      </c>
      <c r="C140" s="39">
        <v>0</v>
      </c>
      <c r="D140" s="39">
        <v>0</v>
      </c>
      <c r="E140" s="55">
        <v>0</v>
      </c>
      <c r="F140" s="58">
        <v>0</v>
      </c>
    </row>
    <row r="141" spans="1:6" s="91" customFormat="1" ht="12.75">
      <c r="A141" s="43" t="s">
        <v>98</v>
      </c>
      <c r="B141" s="16">
        <f>B139+B140</f>
        <v>0</v>
      </c>
      <c r="C141" s="16">
        <f>C139+C140</f>
        <v>0</v>
      </c>
      <c r="D141" s="16">
        <f>D139+D140</f>
        <v>0</v>
      </c>
      <c r="E141" s="16">
        <f>E139+E140</f>
        <v>0</v>
      </c>
      <c r="F141" s="16">
        <f>F139+F140</f>
        <v>0</v>
      </c>
    </row>
    <row r="142" spans="1:6" ht="19.5" customHeight="1">
      <c r="A142" s="47" t="s">
        <v>67</v>
      </c>
      <c r="B142" s="109"/>
      <c r="C142" s="69"/>
      <c r="D142" s="166"/>
      <c r="E142" s="109"/>
      <c r="F142" s="48"/>
    </row>
    <row r="143" spans="1:6" ht="12.75">
      <c r="A143" s="38" t="s">
        <v>135</v>
      </c>
      <c r="B143" s="131">
        <v>0</v>
      </c>
      <c r="C143" s="48">
        <v>0</v>
      </c>
      <c r="D143" s="49">
        <v>0</v>
      </c>
      <c r="E143" s="131">
        <v>0</v>
      </c>
      <c r="F143" s="39">
        <v>0</v>
      </c>
    </row>
    <row r="144" spans="1:6" ht="12.75">
      <c r="A144" s="38" t="s">
        <v>136</v>
      </c>
      <c r="B144" s="55">
        <v>0</v>
      </c>
      <c r="C144" s="39">
        <v>0</v>
      </c>
      <c r="D144" s="40">
        <v>0</v>
      </c>
      <c r="E144" s="55">
        <v>0</v>
      </c>
      <c r="F144" s="39">
        <v>0</v>
      </c>
    </row>
    <row r="145" spans="1:6" ht="12.75">
      <c r="A145" s="90" t="s">
        <v>70</v>
      </c>
      <c r="B145" s="67"/>
      <c r="C145" s="67"/>
      <c r="D145" s="67"/>
      <c r="E145" s="104"/>
      <c r="F145" s="67"/>
    </row>
    <row r="146" spans="1:6" ht="12.75">
      <c r="A146" s="96"/>
      <c r="B146" s="52"/>
      <c r="C146" s="52"/>
      <c r="D146" s="52"/>
      <c r="E146" s="173"/>
      <c r="F146" s="64"/>
    </row>
    <row r="147" spans="1:6" ht="12.75">
      <c r="A147" s="181" t="s">
        <v>137</v>
      </c>
      <c r="B147" s="182"/>
      <c r="C147" s="182"/>
      <c r="D147" s="52"/>
      <c r="E147" s="173"/>
      <c r="F147" s="52"/>
    </row>
    <row r="148" spans="1:6" s="91" customFormat="1" ht="12.75">
      <c r="A148" s="184" t="s">
        <v>99</v>
      </c>
      <c r="B148" s="203">
        <f>B141+B137+B132+B127+B119</f>
        <v>297050</v>
      </c>
      <c r="C148" s="203">
        <f>C141+C137+C132+C127+C119</f>
        <v>48547</v>
      </c>
      <c r="D148" s="203">
        <f>D141+D137+D132+D127+D119</f>
        <v>45474</v>
      </c>
      <c r="E148" s="203">
        <f>E141+E137+E132+E127+E119</f>
        <v>96734</v>
      </c>
      <c r="F148" s="203">
        <f>F141+F137+F132+F127+F119</f>
        <v>936</v>
      </c>
    </row>
    <row r="149" spans="1:6" ht="12.75">
      <c r="A149" s="204" t="s">
        <v>100</v>
      </c>
      <c r="B149" s="196"/>
      <c r="C149" s="205"/>
      <c r="D149" s="206"/>
      <c r="E149" s="205"/>
      <c r="F149" s="206"/>
    </row>
    <row r="150" spans="1:6" ht="12.75">
      <c r="A150" s="70" t="s">
        <v>73</v>
      </c>
      <c r="B150" s="130">
        <v>0</v>
      </c>
      <c r="C150" s="207">
        <v>0</v>
      </c>
      <c r="D150" s="208">
        <v>0</v>
      </c>
      <c r="E150" s="207">
        <v>0</v>
      </c>
      <c r="F150" s="208">
        <v>0</v>
      </c>
    </row>
    <row r="151" spans="1:6" ht="12.75">
      <c r="A151" s="113" t="s">
        <v>101</v>
      </c>
      <c r="B151" s="209">
        <v>0</v>
      </c>
      <c r="C151" s="210">
        <v>0</v>
      </c>
      <c r="D151" s="211">
        <v>0</v>
      </c>
      <c r="E151" s="210">
        <f>E145+E141+E136+E131+E123</f>
        <v>0</v>
      </c>
      <c r="F151" s="211">
        <f>F145+F141+F136+F131+F123</f>
        <v>0</v>
      </c>
    </row>
    <row r="152" spans="1:6" s="91" customFormat="1" ht="12.75">
      <c r="A152" s="90" t="s">
        <v>112</v>
      </c>
      <c r="B152" s="16">
        <f>B150+B151</f>
        <v>0</v>
      </c>
      <c r="C152" s="16">
        <f>C150+C151</f>
        <v>0</v>
      </c>
      <c r="D152" s="16">
        <f>D150+D151</f>
        <v>0</v>
      </c>
      <c r="E152" s="16">
        <f>E150+E151</f>
        <v>0</v>
      </c>
      <c r="F152" s="16">
        <f>F150+F151</f>
        <v>0</v>
      </c>
    </row>
    <row r="153" spans="1:6" ht="12.75">
      <c r="A153" s="194"/>
      <c r="B153" s="64"/>
      <c r="C153" s="212"/>
      <c r="D153" s="212"/>
      <c r="E153" s="212"/>
      <c r="F153" s="212"/>
    </row>
    <row r="154" spans="1:6" s="91" customFormat="1" ht="13.5" thickBot="1">
      <c r="A154" s="132" t="s">
        <v>138</v>
      </c>
      <c r="B154" s="74">
        <f>B148+B152</f>
        <v>297050</v>
      </c>
      <c r="C154" s="203">
        <f>C148+C144+C139+C134+C126</f>
        <v>48547</v>
      </c>
      <c r="D154" s="203">
        <f>D148+D144+D139+D134+D126</f>
        <v>45474</v>
      </c>
      <c r="E154" s="203">
        <f>E148+E144+E139+E134+E126</f>
        <v>96734</v>
      </c>
      <c r="F154" s="203">
        <f>F148+F144+F139+F134+F126</f>
        <v>936</v>
      </c>
    </row>
    <row r="155" spans="1:6" s="91" customFormat="1" ht="12.75">
      <c r="A155" s="198"/>
      <c r="B155" s="199"/>
      <c r="C155" s="213"/>
      <c r="D155" s="213"/>
      <c r="E155" s="213"/>
      <c r="F155" s="213"/>
    </row>
    <row r="156" spans="1:6" s="91" customFormat="1" ht="12.75">
      <c r="A156" s="198"/>
      <c r="B156" s="199"/>
      <c r="C156" s="213"/>
      <c r="D156" s="213"/>
      <c r="E156" s="213"/>
      <c r="F156" s="213"/>
    </row>
    <row r="157" spans="1:6" ht="12.75">
      <c r="A157" s="1182">
        <v>4</v>
      </c>
      <c r="B157" s="1182"/>
      <c r="C157" s="1182"/>
      <c r="D157" s="1182"/>
      <c r="E157" s="1182"/>
      <c r="F157" s="1182"/>
    </row>
    <row r="158" spans="1:5" ht="14.25">
      <c r="A158" s="1177" t="s">
        <v>122</v>
      </c>
      <c r="B158" s="1177"/>
      <c r="C158" s="1177"/>
      <c r="D158" s="1177"/>
      <c r="E158" s="1177"/>
    </row>
    <row r="159" spans="1:6" ht="15.75">
      <c r="A159" s="1176" t="s">
        <v>123</v>
      </c>
      <c r="B159" s="1176"/>
      <c r="C159" s="1176"/>
      <c r="D159" s="1176"/>
      <c r="E159" s="1176"/>
      <c r="F159" s="1176"/>
    </row>
    <row r="160" spans="1:6" ht="15.75">
      <c r="A160" s="1176" t="s">
        <v>124</v>
      </c>
      <c r="B160" s="1176"/>
      <c r="C160" s="1176"/>
      <c r="D160" s="1176"/>
      <c r="E160" s="1176"/>
      <c r="F160" s="1176"/>
    </row>
    <row r="161" ht="12.75">
      <c r="E161" s="31" t="s">
        <v>80</v>
      </c>
    </row>
    <row r="162" spans="1:6" ht="30.75" customHeight="1">
      <c r="A162" s="32" t="s">
        <v>125</v>
      </c>
      <c r="B162" s="175" t="s">
        <v>154</v>
      </c>
      <c r="C162" s="214" t="s">
        <v>155</v>
      </c>
      <c r="D162" s="176" t="s">
        <v>156</v>
      </c>
      <c r="E162" s="215" t="s">
        <v>157</v>
      </c>
      <c r="F162" s="216" t="s">
        <v>158</v>
      </c>
    </row>
    <row r="163" spans="1:6" ht="15.75" customHeight="1">
      <c r="A163" s="44" t="s">
        <v>42</v>
      </c>
      <c r="B163" s="69"/>
      <c r="C163" s="69"/>
      <c r="D163" s="69"/>
      <c r="E163" s="166"/>
      <c r="F163" s="69"/>
    </row>
    <row r="164" spans="1:6" ht="12.75">
      <c r="A164" s="121" t="s">
        <v>43</v>
      </c>
      <c r="B164" s="48"/>
      <c r="C164" s="39"/>
      <c r="D164" s="48"/>
      <c r="E164" s="49"/>
      <c r="F164" s="39">
        <v>480</v>
      </c>
    </row>
    <row r="165" spans="1:6" ht="12.75">
      <c r="A165" s="19" t="s">
        <v>44</v>
      </c>
      <c r="B165" s="48"/>
      <c r="C165" s="39">
        <f>11614</f>
        <v>11614</v>
      </c>
      <c r="D165" s="48"/>
      <c r="E165" s="49"/>
      <c r="F165" s="39"/>
    </row>
    <row r="166" spans="1:6" ht="12.75">
      <c r="A166" s="19" t="s">
        <v>45</v>
      </c>
      <c r="B166" s="48">
        <f>1639-138</f>
        <v>1501</v>
      </c>
      <c r="C166" s="39">
        <f>5000+162</f>
        <v>5162</v>
      </c>
      <c r="D166" s="48"/>
      <c r="E166" s="49"/>
      <c r="F166" s="39">
        <f>2340+37</f>
        <v>2377</v>
      </c>
    </row>
    <row r="167" spans="1:6" ht="12.75">
      <c r="A167" s="19" t="s">
        <v>159</v>
      </c>
      <c r="B167" s="48"/>
      <c r="C167" s="39"/>
      <c r="D167" s="48"/>
      <c r="E167" s="49"/>
      <c r="F167" s="39"/>
    </row>
    <row r="168" spans="1:6" ht="12.75">
      <c r="A168" s="19" t="s">
        <v>47</v>
      </c>
      <c r="B168" s="48"/>
      <c r="C168" s="39"/>
      <c r="D168" s="48"/>
      <c r="E168" s="49"/>
      <c r="F168" s="39"/>
    </row>
    <row r="169" spans="1:6" ht="12.75">
      <c r="A169" s="8" t="s">
        <v>48</v>
      </c>
      <c r="B169" s="48"/>
      <c r="C169" s="39">
        <f>131000+263-301-1985</f>
        <v>128977</v>
      </c>
      <c r="D169" s="48">
        <f>1010-650+5060</f>
        <v>5420</v>
      </c>
      <c r="E169" s="49">
        <f>95748-5898+1232-389+6589+6424</f>
        <v>103706</v>
      </c>
      <c r="F169" s="39">
        <f>27000-273+7763-2338-4365</f>
        <v>27787</v>
      </c>
    </row>
    <row r="170" spans="1:6" ht="12.75">
      <c r="A170" s="122" t="s">
        <v>153</v>
      </c>
      <c r="B170" s="39">
        <f>B169</f>
        <v>0</v>
      </c>
      <c r="C170" s="39">
        <f>C169</f>
        <v>128977</v>
      </c>
      <c r="D170" s="39">
        <f>D169</f>
        <v>5420</v>
      </c>
      <c r="E170" s="39">
        <f>E169</f>
        <v>103706</v>
      </c>
      <c r="F170" s="39">
        <f>F169</f>
        <v>27787</v>
      </c>
    </row>
    <row r="171" spans="1:6" s="91" customFormat="1" ht="12.75">
      <c r="A171" s="43" t="s">
        <v>132</v>
      </c>
      <c r="B171" s="16">
        <f>SUM(B164:B169)</f>
        <v>1501</v>
      </c>
      <c r="C171" s="16">
        <f>SUM(C164:C169)</f>
        <v>145753</v>
      </c>
      <c r="D171" s="16">
        <f>SUM(D164:D169)</f>
        <v>5420</v>
      </c>
      <c r="E171" s="16">
        <f>SUM(E164:E169)</f>
        <v>103706</v>
      </c>
      <c r="F171" s="16">
        <f>SUM(F164:F169)</f>
        <v>30644</v>
      </c>
    </row>
    <row r="172" spans="1:6" ht="8.25" customHeight="1">
      <c r="A172" s="93"/>
      <c r="B172" s="999"/>
      <c r="C172" s="110"/>
      <c r="D172" s="69"/>
      <c r="E172" s="166"/>
      <c r="F172" s="48"/>
    </row>
    <row r="173" spans="1:6" ht="12.75">
      <c r="A173" s="47" t="s">
        <v>51</v>
      </c>
      <c r="B173" s="48"/>
      <c r="C173" s="94"/>
      <c r="D173" s="48"/>
      <c r="E173" s="131"/>
      <c r="F173" s="39"/>
    </row>
    <row r="174" spans="1:6" ht="12.75">
      <c r="A174" s="19" t="s">
        <v>52</v>
      </c>
      <c r="B174" s="48">
        <v>0</v>
      </c>
      <c r="C174" s="56">
        <v>0</v>
      </c>
      <c r="D174" s="48">
        <v>0</v>
      </c>
      <c r="E174" s="131">
        <v>0</v>
      </c>
      <c r="F174" s="39">
        <v>0</v>
      </c>
    </row>
    <row r="175" spans="1:6" ht="12.75">
      <c r="A175" s="19" t="s">
        <v>53</v>
      </c>
      <c r="B175" s="48">
        <v>0</v>
      </c>
      <c r="C175" s="56">
        <v>0</v>
      </c>
      <c r="D175" s="48">
        <v>0</v>
      </c>
      <c r="E175" s="131">
        <v>0</v>
      </c>
      <c r="F175" s="39">
        <v>0</v>
      </c>
    </row>
    <row r="176" spans="1:6" ht="12.75">
      <c r="A176" s="19" t="s">
        <v>54</v>
      </c>
      <c r="B176" s="48">
        <v>0</v>
      </c>
      <c r="C176" s="56">
        <v>0</v>
      </c>
      <c r="D176" s="48">
        <v>0</v>
      </c>
      <c r="E176" s="131">
        <v>0</v>
      </c>
      <c r="F176" s="39">
        <v>0</v>
      </c>
    </row>
    <row r="177" spans="1:6" ht="12.75">
      <c r="A177" s="8" t="s">
        <v>111</v>
      </c>
      <c r="B177" s="48">
        <f>-B167</f>
        <v>0</v>
      </c>
      <c r="C177" s="48">
        <f>-C167</f>
        <v>0</v>
      </c>
      <c r="D177" s="48">
        <f>-D167</f>
        <v>0</v>
      </c>
      <c r="E177" s="48">
        <f>-E167</f>
        <v>0</v>
      </c>
      <c r="F177" s="48">
        <f>-F167</f>
        <v>0</v>
      </c>
    </row>
    <row r="178" spans="1:6" ht="7.5" customHeight="1">
      <c r="A178" s="194"/>
      <c r="B178" s="64"/>
      <c r="C178" s="53"/>
      <c r="D178" s="64"/>
      <c r="E178" s="51"/>
      <c r="F178" s="58"/>
    </row>
    <row r="179" spans="1:6" ht="12.75">
      <c r="A179" s="43" t="s">
        <v>91</v>
      </c>
      <c r="B179" s="16">
        <f>B174+B175+B176+B177</f>
        <v>0</v>
      </c>
      <c r="C179" s="16">
        <f>C174+C175+C176+C177</f>
        <v>0</v>
      </c>
      <c r="D179" s="16">
        <f>D174+D175+D176+D177</f>
        <v>0</v>
      </c>
      <c r="E179" s="16">
        <f>E174+E175+E176+E177</f>
        <v>0</v>
      </c>
      <c r="F179" s="16">
        <f>F174+F175+F176+F177</f>
        <v>0</v>
      </c>
    </row>
    <row r="180" spans="1:6" ht="6" customHeight="1">
      <c r="A180" s="96"/>
      <c r="B180" s="64"/>
      <c r="C180" s="51"/>
      <c r="D180" s="64"/>
      <c r="E180" s="53"/>
      <c r="F180" s="64"/>
    </row>
    <row r="181" spans="1:6" ht="12.75">
      <c r="A181" s="96" t="s">
        <v>57</v>
      </c>
      <c r="B181" s="64"/>
      <c r="C181" s="51"/>
      <c r="D181" s="64"/>
      <c r="E181" s="53"/>
      <c r="F181" s="64"/>
    </row>
    <row r="182" spans="1:6" ht="12.75">
      <c r="A182" s="180" t="s">
        <v>58</v>
      </c>
      <c r="B182" s="39">
        <v>0</v>
      </c>
      <c r="C182" s="55">
        <v>0</v>
      </c>
      <c r="D182" s="39">
        <v>0</v>
      </c>
      <c r="E182" s="56">
        <v>0</v>
      </c>
      <c r="F182" s="39">
        <v>0</v>
      </c>
    </row>
    <row r="183" spans="1:6" ht="12.75">
      <c r="A183" s="125" t="s">
        <v>59</v>
      </c>
      <c r="B183" s="64">
        <v>0</v>
      </c>
      <c r="C183" s="51">
        <v>0</v>
      </c>
      <c r="D183" s="64">
        <v>0</v>
      </c>
      <c r="E183" s="53">
        <v>0</v>
      </c>
      <c r="F183" s="58">
        <v>0</v>
      </c>
    </row>
    <row r="184" spans="1:6" ht="12.75">
      <c r="A184" s="43" t="s">
        <v>133</v>
      </c>
      <c r="B184" s="16">
        <f>B182+B183</f>
        <v>0</v>
      </c>
      <c r="C184" s="16">
        <f>C182+C183</f>
        <v>0</v>
      </c>
      <c r="D184" s="16">
        <f>D182+D183</f>
        <v>0</v>
      </c>
      <c r="E184" s="16">
        <f>E182+E183</f>
        <v>0</v>
      </c>
      <c r="F184" s="16">
        <f>F182+F183</f>
        <v>0</v>
      </c>
    </row>
    <row r="185" spans="1:6" ht="12.75">
      <c r="A185" s="96"/>
      <c r="B185" s="64"/>
      <c r="C185" s="51"/>
      <c r="D185" s="64"/>
      <c r="E185" s="64"/>
      <c r="F185" s="53"/>
    </row>
    <row r="186" spans="1:6" ht="12.75">
      <c r="A186" s="62" t="s">
        <v>94</v>
      </c>
      <c r="B186" s="48"/>
      <c r="C186" s="131"/>
      <c r="D186" s="48"/>
      <c r="E186" s="48"/>
      <c r="F186" s="94"/>
    </row>
    <row r="187" spans="1:6" ht="12.75">
      <c r="A187" s="54" t="s">
        <v>58</v>
      </c>
      <c r="B187" s="48">
        <v>0</v>
      </c>
      <c r="C187" s="131">
        <v>0</v>
      </c>
      <c r="D187" s="48">
        <v>0</v>
      </c>
      <c r="E187" s="48">
        <v>0</v>
      </c>
      <c r="F187" s="56">
        <v>0</v>
      </c>
    </row>
    <row r="188" spans="1:6" ht="12.75">
      <c r="A188" s="126" t="s">
        <v>59</v>
      </c>
      <c r="B188" s="64">
        <v>0</v>
      </c>
      <c r="C188" s="51">
        <v>0</v>
      </c>
      <c r="D188" s="64">
        <v>0</v>
      </c>
      <c r="E188" s="64">
        <v>0</v>
      </c>
      <c r="F188" s="59">
        <v>0</v>
      </c>
    </row>
    <row r="189" spans="1:6" ht="12.75">
      <c r="A189" s="43" t="s">
        <v>95</v>
      </c>
      <c r="B189" s="16">
        <f>B187+B188</f>
        <v>0</v>
      </c>
      <c r="C189" s="16">
        <f>C187+C188</f>
        <v>0</v>
      </c>
      <c r="D189" s="16">
        <f>D187+D188</f>
        <v>0</v>
      </c>
      <c r="E189" s="16">
        <f>E187+E188</f>
        <v>0</v>
      </c>
      <c r="F189" s="16">
        <f>F187+F188</f>
        <v>0</v>
      </c>
    </row>
    <row r="190" spans="1:6" ht="18" customHeight="1">
      <c r="A190" s="44" t="s">
        <v>63</v>
      </c>
      <c r="B190" s="48"/>
      <c r="C190" s="48"/>
      <c r="D190" s="48"/>
      <c r="E190" s="131"/>
      <c r="F190" s="48"/>
    </row>
    <row r="191" spans="1:6" ht="12.75">
      <c r="A191" s="57" t="s">
        <v>96</v>
      </c>
      <c r="B191" s="64">
        <v>0</v>
      </c>
      <c r="C191" s="64">
        <v>0</v>
      </c>
      <c r="D191" s="64">
        <v>0</v>
      </c>
      <c r="E191" s="51">
        <v>0</v>
      </c>
      <c r="F191" s="39">
        <v>0</v>
      </c>
    </row>
    <row r="192" spans="1:6" ht="12.75">
      <c r="A192" s="8" t="s">
        <v>134</v>
      </c>
      <c r="B192" s="39">
        <v>0</v>
      </c>
      <c r="C192" s="39">
        <v>0</v>
      </c>
      <c r="D192" s="39">
        <v>0</v>
      </c>
      <c r="E192" s="55">
        <v>0</v>
      </c>
      <c r="F192" s="58">
        <v>0</v>
      </c>
    </row>
    <row r="193" spans="1:6" ht="15" customHeight="1">
      <c r="A193" s="43" t="s">
        <v>98</v>
      </c>
      <c r="B193" s="16">
        <f>B191+B192</f>
        <v>0</v>
      </c>
      <c r="C193" s="16">
        <f>C191+C192</f>
        <v>0</v>
      </c>
      <c r="D193" s="16">
        <f>D191+D192</f>
        <v>0</v>
      </c>
      <c r="E193" s="16">
        <f>E191+E192</f>
        <v>0</v>
      </c>
      <c r="F193" s="16">
        <f>F191+F192</f>
        <v>0</v>
      </c>
    </row>
    <row r="194" spans="1:6" ht="17.25" customHeight="1">
      <c r="A194" s="47" t="s">
        <v>67</v>
      </c>
      <c r="B194" s="109"/>
      <c r="C194" s="69"/>
      <c r="D194" s="166"/>
      <c r="E194" s="109"/>
      <c r="F194" s="48"/>
    </row>
    <row r="195" spans="1:6" ht="12.75">
      <c r="A195" s="38" t="s">
        <v>135</v>
      </c>
      <c r="B195" s="131">
        <v>0</v>
      </c>
      <c r="C195" s="48">
        <v>0</v>
      </c>
      <c r="D195" s="49">
        <v>0</v>
      </c>
      <c r="E195" s="131">
        <v>0</v>
      </c>
      <c r="F195" s="39">
        <v>0</v>
      </c>
    </row>
    <row r="196" spans="1:6" ht="12.75">
      <c r="A196" s="38" t="s">
        <v>136</v>
      </c>
      <c r="B196" s="55">
        <v>0</v>
      </c>
      <c r="C196" s="39">
        <v>0</v>
      </c>
      <c r="D196" s="40">
        <v>0</v>
      </c>
      <c r="E196" s="55">
        <v>0</v>
      </c>
      <c r="F196" s="39">
        <v>0</v>
      </c>
    </row>
    <row r="197" spans="1:6" ht="12.75">
      <c r="A197" s="90" t="s">
        <v>70</v>
      </c>
      <c r="B197" s="16">
        <f>B195+B196</f>
        <v>0</v>
      </c>
      <c r="C197" s="16">
        <f>C195+C196</f>
        <v>0</v>
      </c>
      <c r="D197" s="16">
        <f>D195+D196</f>
        <v>0</v>
      </c>
      <c r="E197" s="16">
        <f>E195+E196</f>
        <v>0</v>
      </c>
      <c r="F197" s="16">
        <f>F195+F196</f>
        <v>0</v>
      </c>
    </row>
    <row r="198" spans="1:6" ht="12.75">
      <c r="A198" s="96"/>
      <c r="B198" s="52"/>
      <c r="C198" s="52"/>
      <c r="D198" s="52"/>
      <c r="E198" s="173"/>
      <c r="F198" s="64"/>
    </row>
    <row r="199" spans="1:6" ht="12.75">
      <c r="A199" s="181" t="s">
        <v>137</v>
      </c>
      <c r="B199" s="182"/>
      <c r="C199" s="182"/>
      <c r="D199" s="52"/>
      <c r="E199" s="173"/>
      <c r="F199" s="52"/>
    </row>
    <row r="200" spans="1:6" s="91" customFormat="1" ht="12.75">
      <c r="A200" s="184" t="s">
        <v>99</v>
      </c>
      <c r="B200" s="185">
        <f>B197+B193+B189+B184+B179+B171</f>
        <v>1501</v>
      </c>
      <c r="C200" s="185">
        <f>C197+C193+C189+C184+C179+C171</f>
        <v>145753</v>
      </c>
      <c r="D200" s="185">
        <f>D197+D193+D189+D184+D179+D171</f>
        <v>5420</v>
      </c>
      <c r="E200" s="185">
        <f>E197+E193+E189+E184+E179+E171</f>
        <v>103706</v>
      </c>
      <c r="F200" s="185">
        <f>F197+F193+F189+F184+F179+F171</f>
        <v>30644</v>
      </c>
    </row>
    <row r="201" spans="1:6" ht="12.75">
      <c r="A201" s="217"/>
      <c r="B201" s="218"/>
      <c r="C201" s="219"/>
      <c r="D201" s="64"/>
      <c r="E201" s="52"/>
      <c r="F201" s="53"/>
    </row>
    <row r="202" spans="1:6" ht="12.75">
      <c r="A202" s="220" t="s">
        <v>100</v>
      </c>
      <c r="B202" s="130"/>
      <c r="C202" s="129"/>
      <c r="D202" s="39"/>
      <c r="E202" s="39"/>
      <c r="F202" s="56"/>
    </row>
    <row r="203" spans="1:6" ht="12.75">
      <c r="A203" s="70" t="s">
        <v>73</v>
      </c>
      <c r="B203" s="130">
        <v>0</v>
      </c>
      <c r="C203" s="129">
        <v>0</v>
      </c>
      <c r="D203" s="39">
        <v>0</v>
      </c>
      <c r="E203" s="39">
        <v>0</v>
      </c>
      <c r="F203" s="56">
        <v>0</v>
      </c>
    </row>
    <row r="204" spans="1:6" ht="12.75">
      <c r="A204" s="113" t="s">
        <v>101</v>
      </c>
      <c r="B204" s="197">
        <v>0</v>
      </c>
      <c r="C204" s="189">
        <v>0</v>
      </c>
      <c r="D204" s="58">
        <v>0</v>
      </c>
      <c r="E204" s="58">
        <v>0</v>
      </c>
      <c r="F204" s="59">
        <v>0</v>
      </c>
    </row>
    <row r="205" spans="1:6" ht="12.75">
      <c r="A205" s="90" t="s">
        <v>112</v>
      </c>
      <c r="B205" s="16">
        <f>B203+B204</f>
        <v>0</v>
      </c>
      <c r="C205" s="16">
        <f>C203+C204</f>
        <v>0</v>
      </c>
      <c r="D205" s="16">
        <f>D203+D204</f>
        <v>0</v>
      </c>
      <c r="E205" s="16">
        <f>E203+E204</f>
        <v>0</v>
      </c>
      <c r="F205" s="16">
        <f>F203+F204</f>
        <v>0</v>
      </c>
    </row>
    <row r="206" spans="1:6" ht="12.75">
      <c r="A206" s="194"/>
      <c r="B206" s="64"/>
      <c r="C206" s="39"/>
      <c r="D206" s="67"/>
      <c r="E206" s="104"/>
      <c r="F206" s="64"/>
    </row>
    <row r="207" spans="1:6" s="91" customFormat="1" ht="13.5" thickBot="1">
      <c r="A207" s="132" t="s">
        <v>138</v>
      </c>
      <c r="B207" s="74">
        <f>B200+B205</f>
        <v>1501</v>
      </c>
      <c r="C207" s="74">
        <f>C200+C205</f>
        <v>145753</v>
      </c>
      <c r="D207" s="74">
        <f>D200+D205</f>
        <v>5420</v>
      </c>
      <c r="E207" s="74">
        <f>E200+E205</f>
        <v>103706</v>
      </c>
      <c r="F207" s="74">
        <f>F200+F205</f>
        <v>30644</v>
      </c>
    </row>
    <row r="208" spans="1:6" s="91" customFormat="1" ht="12.75">
      <c r="A208" s="198"/>
      <c r="B208" s="199"/>
      <c r="C208" s="199"/>
      <c r="D208" s="199"/>
      <c r="E208" s="199"/>
      <c r="F208" s="199"/>
    </row>
    <row r="209" spans="1:6" s="91" customFormat="1" ht="12.75">
      <c r="A209" s="198"/>
      <c r="B209" s="199"/>
      <c r="C209" s="199"/>
      <c r="D209" s="199"/>
      <c r="E209" s="199"/>
      <c r="F209" s="199"/>
    </row>
    <row r="210" spans="1:6" s="91" customFormat="1" ht="12.75">
      <c r="A210" s="198"/>
      <c r="B210" s="199"/>
      <c r="C210" s="199"/>
      <c r="D210" s="199"/>
      <c r="E210" s="199"/>
      <c r="F210" s="199"/>
    </row>
    <row r="211" spans="1:6" ht="12.75">
      <c r="A211" s="1181">
        <v>5</v>
      </c>
      <c r="B211" s="1181"/>
      <c r="C211" s="1181"/>
      <c r="D211" s="1181"/>
      <c r="E211" s="1181"/>
      <c r="F211" s="1181"/>
    </row>
    <row r="213" spans="1:5" ht="14.25">
      <c r="A213" s="1177" t="s">
        <v>146</v>
      </c>
      <c r="B213" s="1177"/>
      <c r="C213" s="1177"/>
      <c r="D213" s="1177"/>
      <c r="E213" s="1177"/>
    </row>
    <row r="214" spans="1:6" ht="15.75">
      <c r="A214" s="1176" t="s">
        <v>123</v>
      </c>
      <c r="B214" s="1176"/>
      <c r="C214" s="1176"/>
      <c r="D214" s="1176"/>
      <c r="E214" s="1176"/>
      <c r="F214" s="1176"/>
    </row>
    <row r="215" spans="1:6" ht="15.75">
      <c r="A215" s="1176" t="s">
        <v>124</v>
      </c>
      <c r="B215" s="1176"/>
      <c r="C215" s="1176"/>
      <c r="D215" s="1176"/>
      <c r="E215" s="1176"/>
      <c r="F215" s="1176"/>
    </row>
    <row r="216" ht="12.75">
      <c r="E216" s="31" t="s">
        <v>80</v>
      </c>
    </row>
    <row r="217" spans="1:6" ht="42" customHeight="1">
      <c r="A217" s="32" t="s">
        <v>125</v>
      </c>
      <c r="B217" s="200" t="s">
        <v>160</v>
      </c>
      <c r="C217" s="192" t="s">
        <v>161</v>
      </c>
      <c r="D217" s="176" t="s">
        <v>162</v>
      </c>
      <c r="E217" s="176" t="s">
        <v>163</v>
      </c>
      <c r="F217" s="214" t="s">
        <v>164</v>
      </c>
    </row>
    <row r="218" spans="1:6" ht="12.75">
      <c r="A218" s="44" t="s">
        <v>42</v>
      </c>
      <c r="B218" s="69"/>
      <c r="C218" s="69"/>
      <c r="D218" s="69"/>
      <c r="E218" s="166"/>
      <c r="F218" s="69"/>
    </row>
    <row r="219" spans="1:6" ht="12.75">
      <c r="A219" s="121" t="s">
        <v>43</v>
      </c>
      <c r="B219" s="48"/>
      <c r="C219" s="39"/>
      <c r="D219" s="48">
        <f>150+120</f>
        <v>270</v>
      </c>
      <c r="E219" s="49"/>
      <c r="F219" s="39"/>
    </row>
    <row r="220" spans="1:6" ht="12.75">
      <c r="A220" s="19" t="s">
        <v>44</v>
      </c>
      <c r="B220" s="48"/>
      <c r="C220" s="39"/>
      <c r="D220" s="48">
        <f>71+63</f>
        <v>134</v>
      </c>
      <c r="E220" s="49"/>
      <c r="F220" s="39"/>
    </row>
    <row r="221" spans="1:6" ht="12.75">
      <c r="A221" s="19" t="s">
        <v>45</v>
      </c>
      <c r="B221" s="48">
        <f>162+34</f>
        <v>196</v>
      </c>
      <c r="C221" s="39"/>
      <c r="D221" s="48">
        <f>10779+146+1400-3082+3862-21</f>
        <v>13084</v>
      </c>
      <c r="E221" s="49">
        <f>1740+21</f>
        <v>1761</v>
      </c>
      <c r="F221" s="39">
        <v>7066</v>
      </c>
    </row>
    <row r="222" spans="1:6" ht="12.75">
      <c r="A222" s="19" t="s">
        <v>165</v>
      </c>
      <c r="B222" s="48"/>
      <c r="C222" s="39"/>
      <c r="D222" s="48"/>
      <c r="E222" s="49"/>
      <c r="F222" s="39">
        <v>-7066</v>
      </c>
    </row>
    <row r="223" spans="1:6" ht="12.75">
      <c r="A223" s="19" t="s">
        <v>47</v>
      </c>
      <c r="B223" s="48"/>
      <c r="C223" s="39"/>
      <c r="D223" s="48"/>
      <c r="E223" s="49"/>
      <c r="F223" s="39"/>
    </row>
    <row r="224" spans="1:6" ht="12.75">
      <c r="A224" s="8" t="s">
        <v>48</v>
      </c>
      <c r="B224" s="48">
        <f>100+3244+80+110+211+10404+675+460</f>
        <v>15284</v>
      </c>
      <c r="C224" s="39"/>
      <c r="D224" s="48"/>
      <c r="E224" s="49"/>
      <c r="F224" s="39"/>
    </row>
    <row r="225" spans="1:6" ht="12.75">
      <c r="A225" s="122" t="s">
        <v>153</v>
      </c>
      <c r="B225" s="48">
        <f>B224</f>
        <v>15284</v>
      </c>
      <c r="C225" s="39"/>
      <c r="D225" s="39"/>
      <c r="E225" s="39"/>
      <c r="F225" s="39"/>
    </row>
    <row r="226" spans="1:6" s="91" customFormat="1" ht="12.75">
      <c r="A226" s="43" t="s">
        <v>132</v>
      </c>
      <c r="B226" s="16">
        <f>SUM(B219:B224)</f>
        <v>15480</v>
      </c>
      <c r="C226" s="16">
        <f>SUM(C219:C224)</f>
        <v>0</v>
      </c>
      <c r="D226" s="16">
        <f>SUM(D219:D224)</f>
        <v>13488</v>
      </c>
      <c r="E226" s="16">
        <f>SUM(E219:E224)</f>
        <v>1761</v>
      </c>
      <c r="F226" s="16">
        <f>SUM(F219:F224)</f>
        <v>0</v>
      </c>
    </row>
    <row r="227" spans="1:6" ht="7.5" customHeight="1">
      <c r="A227" s="93"/>
      <c r="B227" s="69"/>
      <c r="C227" s="110"/>
      <c r="D227" s="69"/>
      <c r="E227" s="166"/>
      <c r="F227" s="48"/>
    </row>
    <row r="228" spans="1:6" ht="12.75">
      <c r="A228" s="47" t="s">
        <v>51</v>
      </c>
      <c r="B228" s="48"/>
      <c r="C228" s="94"/>
      <c r="D228" s="48"/>
      <c r="E228" s="131"/>
      <c r="F228" s="39"/>
    </row>
    <row r="229" spans="1:6" ht="12.75">
      <c r="A229" s="19" t="s">
        <v>52</v>
      </c>
      <c r="B229" s="48">
        <v>0</v>
      </c>
      <c r="C229" s="56">
        <f>'4_sz_ melléklet'!B94</f>
        <v>8980</v>
      </c>
      <c r="D229" s="48">
        <v>0</v>
      </c>
      <c r="E229" s="131">
        <v>0</v>
      </c>
      <c r="F229" s="39">
        <f>'4_sz_ melléklet'!B81</f>
        <v>63415</v>
      </c>
    </row>
    <row r="230" spans="1:6" ht="12.75">
      <c r="A230" s="19" t="s">
        <v>53</v>
      </c>
      <c r="B230" s="48">
        <v>0</v>
      </c>
      <c r="C230" s="56">
        <v>0</v>
      </c>
      <c r="D230" s="48">
        <v>0</v>
      </c>
      <c r="E230" s="131">
        <v>0</v>
      </c>
      <c r="F230" s="39">
        <v>0</v>
      </c>
    </row>
    <row r="231" spans="1:6" ht="12.75">
      <c r="A231" s="19" t="s">
        <v>54</v>
      </c>
      <c r="B231" s="48">
        <v>0</v>
      </c>
      <c r="C231" s="56">
        <v>0</v>
      </c>
      <c r="D231" s="48">
        <v>0</v>
      </c>
      <c r="E231" s="131">
        <v>0</v>
      </c>
      <c r="F231" s="39">
        <v>0</v>
      </c>
    </row>
    <row r="232" spans="1:6" ht="12.75">
      <c r="A232" s="179" t="s">
        <v>111</v>
      </c>
      <c r="B232" s="48">
        <f>-B222</f>
        <v>0</v>
      </c>
      <c r="C232" s="48">
        <f>-C222</f>
        <v>0</v>
      </c>
      <c r="D232" s="48">
        <f>-D222</f>
        <v>0</v>
      </c>
      <c r="E232" s="48">
        <f>-E222</f>
        <v>0</v>
      </c>
      <c r="F232" s="48">
        <f>-F222</f>
        <v>7066</v>
      </c>
    </row>
    <row r="233" spans="1:6" ht="9" customHeight="1">
      <c r="A233" s="194"/>
      <c r="B233" s="64"/>
      <c r="C233" s="53"/>
      <c r="D233" s="64"/>
      <c r="E233" s="51"/>
      <c r="F233" s="58"/>
    </row>
    <row r="234" spans="1:6" s="91" customFormat="1" ht="12.75">
      <c r="A234" s="43" t="s">
        <v>91</v>
      </c>
      <c r="B234" s="16">
        <f>B229+B230+B231+B232</f>
        <v>0</v>
      </c>
      <c r="C234" s="16">
        <f>C229+C230+C231+C232</f>
        <v>8980</v>
      </c>
      <c r="D234" s="16">
        <f>D229+D230+D231+D232</f>
        <v>0</v>
      </c>
      <c r="E234" s="16">
        <f>E229+E230+E231+E232</f>
        <v>0</v>
      </c>
      <c r="F234" s="16">
        <f>F229+F230+F231+F232</f>
        <v>70481</v>
      </c>
    </row>
    <row r="235" spans="1:6" ht="6.75" customHeight="1">
      <c r="A235" s="96"/>
      <c r="B235" s="64"/>
      <c r="C235" s="51"/>
      <c r="D235" s="64"/>
      <c r="E235" s="53"/>
      <c r="F235" s="64"/>
    </row>
    <row r="236" spans="1:6" ht="12.75">
      <c r="A236" s="96" t="s">
        <v>57</v>
      </c>
      <c r="B236" s="64"/>
      <c r="C236" s="51"/>
      <c r="D236" s="64"/>
      <c r="E236" s="53"/>
      <c r="F236" s="64"/>
    </row>
    <row r="237" spans="1:6" ht="12.75">
      <c r="A237" s="180" t="s">
        <v>58</v>
      </c>
      <c r="B237" s="39">
        <v>0</v>
      </c>
      <c r="C237" s="55">
        <v>0</v>
      </c>
      <c r="D237" s="39">
        <v>0</v>
      </c>
      <c r="E237" s="56">
        <v>0</v>
      </c>
      <c r="F237" s="39">
        <v>0</v>
      </c>
    </row>
    <row r="238" spans="1:6" ht="12.75">
      <c r="A238" s="125" t="s">
        <v>59</v>
      </c>
      <c r="B238" s="64">
        <v>0</v>
      </c>
      <c r="C238" s="51">
        <v>0</v>
      </c>
      <c r="D238" s="64">
        <v>0</v>
      </c>
      <c r="E238" s="53">
        <v>0</v>
      </c>
      <c r="F238" s="58">
        <v>0</v>
      </c>
    </row>
    <row r="239" spans="1:6" ht="12.75">
      <c r="A239" s="43" t="s">
        <v>133</v>
      </c>
      <c r="B239" s="16">
        <f>B237+B238</f>
        <v>0</v>
      </c>
      <c r="C239" s="16">
        <f>C237+C238</f>
        <v>0</v>
      </c>
      <c r="D239" s="16">
        <f>D237+D238</f>
        <v>0</v>
      </c>
      <c r="E239" s="16">
        <f>E237+E238</f>
        <v>0</v>
      </c>
      <c r="F239" s="16">
        <f>F237+F238</f>
        <v>0</v>
      </c>
    </row>
    <row r="240" spans="1:6" ht="9" customHeight="1">
      <c r="A240" s="96"/>
      <c r="B240" s="64"/>
      <c r="C240" s="51"/>
      <c r="D240" s="64"/>
      <c r="E240" s="64"/>
      <c r="F240" s="53"/>
    </row>
    <row r="241" spans="1:6" ht="12.75">
      <c r="A241" s="62" t="s">
        <v>94</v>
      </c>
      <c r="B241" s="48"/>
      <c r="C241" s="131"/>
      <c r="D241" s="48"/>
      <c r="E241" s="48"/>
      <c r="F241" s="94"/>
    </row>
    <row r="242" spans="1:6" ht="12.75">
      <c r="A242" s="54" t="s">
        <v>58</v>
      </c>
      <c r="B242" s="48">
        <v>0</v>
      </c>
      <c r="C242" s="48">
        <f>1_e_f_sz_melléklet!C40</f>
        <v>1156</v>
      </c>
      <c r="D242" s="48"/>
      <c r="E242" s="48">
        <v>0</v>
      </c>
      <c r="F242" s="56"/>
    </row>
    <row r="243" spans="1:6" ht="12.75">
      <c r="A243" s="126" t="s">
        <v>59</v>
      </c>
      <c r="B243" s="64">
        <v>0</v>
      </c>
      <c r="C243" s="51">
        <f>1_e_f_sz_melléklet!C46+1_e_f_sz_melléklet!C47</f>
        <v>53761</v>
      </c>
      <c r="D243" s="64"/>
      <c r="E243" s="64">
        <v>0</v>
      </c>
      <c r="F243" s="59">
        <v>0</v>
      </c>
    </row>
    <row r="244" spans="1:6" s="91" customFormat="1" ht="12" customHeight="1">
      <c r="A244" s="43" t="s">
        <v>95</v>
      </c>
      <c r="B244" s="16">
        <f>B242+B243</f>
        <v>0</v>
      </c>
      <c r="C244" s="16">
        <f>C242+C243</f>
        <v>54917</v>
      </c>
      <c r="D244" s="16">
        <f>D242+D243</f>
        <v>0</v>
      </c>
      <c r="E244" s="16">
        <f>E242+E243</f>
        <v>0</v>
      </c>
      <c r="F244" s="16">
        <f>F242+F243</f>
        <v>0</v>
      </c>
    </row>
    <row r="245" spans="1:6" ht="18" customHeight="1">
      <c r="A245" s="44" t="s">
        <v>63</v>
      </c>
      <c r="B245" s="48"/>
      <c r="C245" s="48"/>
      <c r="D245" s="48"/>
      <c r="E245" s="131"/>
      <c r="F245" s="48"/>
    </row>
    <row r="246" spans="1:6" ht="12.75">
      <c r="A246" s="57" t="s">
        <v>96</v>
      </c>
      <c r="B246" s="64">
        <v>0</v>
      </c>
      <c r="C246" s="64">
        <v>0</v>
      </c>
      <c r="D246" s="64">
        <v>0</v>
      </c>
      <c r="E246" s="51">
        <v>0</v>
      </c>
      <c r="F246" s="39">
        <v>0</v>
      </c>
    </row>
    <row r="247" spans="1:6" ht="12.75">
      <c r="A247" s="8" t="s">
        <v>134</v>
      </c>
      <c r="B247" s="39">
        <v>0</v>
      </c>
      <c r="C247" s="39">
        <v>0</v>
      </c>
      <c r="D247" s="39">
        <f>1_g_h_sz_melléklet!B16</f>
        <v>0</v>
      </c>
      <c r="E247" s="55">
        <v>0</v>
      </c>
      <c r="F247" s="58">
        <v>0</v>
      </c>
    </row>
    <row r="248" spans="1:6" s="91" customFormat="1" ht="12.75">
      <c r="A248" s="43" t="s">
        <v>98</v>
      </c>
      <c r="B248" s="16">
        <f>B246+B247</f>
        <v>0</v>
      </c>
      <c r="C248" s="16">
        <f>C246+C247</f>
        <v>0</v>
      </c>
      <c r="D248" s="16">
        <f>D246+D247</f>
        <v>0</v>
      </c>
      <c r="E248" s="16">
        <f>E246+E247</f>
        <v>0</v>
      </c>
      <c r="F248" s="16">
        <f>F246+F247</f>
        <v>0</v>
      </c>
    </row>
    <row r="249" spans="1:6" ht="18" customHeight="1">
      <c r="A249" s="47" t="s">
        <v>67</v>
      </c>
      <c r="B249" s="109"/>
      <c r="C249" s="69"/>
      <c r="D249" s="166"/>
      <c r="E249" s="109"/>
      <c r="F249" s="48"/>
    </row>
    <row r="250" spans="1:6" ht="12.75">
      <c r="A250" s="38" t="s">
        <v>135</v>
      </c>
      <c r="B250" s="131">
        <v>0</v>
      </c>
      <c r="C250" s="48">
        <v>0</v>
      </c>
      <c r="D250" s="49">
        <v>0</v>
      </c>
      <c r="E250" s="131">
        <v>0</v>
      </c>
      <c r="F250" s="39">
        <v>0</v>
      </c>
    </row>
    <row r="251" spans="1:6" ht="12.75">
      <c r="A251" s="38" t="s">
        <v>136</v>
      </c>
      <c r="B251" s="55">
        <v>0</v>
      </c>
      <c r="C251" s="39">
        <v>0</v>
      </c>
      <c r="D251" s="40">
        <v>0</v>
      </c>
      <c r="E251" s="55">
        <v>0</v>
      </c>
      <c r="F251" s="39">
        <v>0</v>
      </c>
    </row>
    <row r="252" spans="1:6" ht="12.75">
      <c r="A252" s="90" t="s">
        <v>70</v>
      </c>
      <c r="B252" s="16">
        <f>B250+B251</f>
        <v>0</v>
      </c>
      <c r="C252" s="16">
        <f>C250+C251</f>
        <v>0</v>
      </c>
      <c r="D252" s="16">
        <f>D250+D251</f>
        <v>0</v>
      </c>
      <c r="E252" s="16">
        <f>E250+E251</f>
        <v>0</v>
      </c>
      <c r="F252" s="16">
        <f>F250+F251</f>
        <v>0</v>
      </c>
    </row>
    <row r="253" spans="1:6" ht="12.75">
      <c r="A253" s="96"/>
      <c r="B253" s="52"/>
      <c r="C253" s="52"/>
      <c r="D253" s="52"/>
      <c r="E253" s="173"/>
      <c r="F253" s="64"/>
    </row>
    <row r="254" spans="1:6" ht="12.75">
      <c r="A254" s="181" t="s">
        <v>137</v>
      </c>
      <c r="B254" s="182"/>
      <c r="C254" s="182"/>
      <c r="D254" s="52"/>
      <c r="E254" s="173"/>
      <c r="F254" s="52"/>
    </row>
    <row r="255" spans="1:6" s="91" customFormat="1" ht="12.75">
      <c r="A255" s="184" t="s">
        <v>99</v>
      </c>
      <c r="B255" s="185">
        <f>B252+B248+B244+B239+B234+B226</f>
        <v>15480</v>
      </c>
      <c r="C255" s="185">
        <f>C252+C248+C244+C239+C234+C226</f>
        <v>63897</v>
      </c>
      <c r="D255" s="185">
        <f>D252+D248+D244+D239+D234+D226</f>
        <v>13488</v>
      </c>
      <c r="E255" s="185">
        <f>E252+E248+E244+E239+E234+E226</f>
        <v>1761</v>
      </c>
      <c r="F255" s="185">
        <f>F252+F248+F244+F239+F234+F226</f>
        <v>70481</v>
      </c>
    </row>
    <row r="256" spans="1:6" ht="12.75">
      <c r="A256" s="217"/>
      <c r="B256" s="196"/>
      <c r="C256" s="196"/>
      <c r="D256" s="69"/>
      <c r="E256" s="109"/>
      <c r="F256" s="69"/>
    </row>
    <row r="257" spans="1:6" ht="12.75">
      <c r="A257" s="220" t="s">
        <v>100</v>
      </c>
      <c r="B257" s="76"/>
      <c r="C257" s="221"/>
      <c r="D257" s="48"/>
      <c r="E257" s="48"/>
      <c r="F257" s="94"/>
    </row>
    <row r="258" spans="1:6" ht="12.75">
      <c r="A258" s="70" t="s">
        <v>73</v>
      </c>
      <c r="B258" s="130">
        <v>0</v>
      </c>
      <c r="C258" s="129">
        <v>0</v>
      </c>
      <c r="D258" s="39">
        <v>0</v>
      </c>
      <c r="E258" s="39">
        <v>0</v>
      </c>
      <c r="F258" s="56">
        <v>0</v>
      </c>
    </row>
    <row r="259" spans="1:6" ht="12.75">
      <c r="A259" s="113" t="s">
        <v>101</v>
      </c>
      <c r="B259" s="197">
        <v>0</v>
      </c>
      <c r="C259" s="189">
        <v>0</v>
      </c>
      <c r="D259" s="58"/>
      <c r="E259" s="58">
        <v>0</v>
      </c>
      <c r="F259" s="59">
        <f>'12_sz_ melléklet'!J11</f>
        <v>8696</v>
      </c>
    </row>
    <row r="260" spans="1:6" s="91" customFormat="1" ht="12.75">
      <c r="A260" s="90" t="s">
        <v>112</v>
      </c>
      <c r="B260" s="16">
        <f>B258+B259</f>
        <v>0</v>
      </c>
      <c r="C260" s="16">
        <f>C258+C259</f>
        <v>0</v>
      </c>
      <c r="D260" s="16">
        <f>D258+D259</f>
        <v>0</v>
      </c>
      <c r="E260" s="16">
        <f>E258+E259</f>
        <v>0</v>
      </c>
      <c r="F260" s="16">
        <f>F258+F259</f>
        <v>8696</v>
      </c>
    </row>
    <row r="261" spans="1:6" ht="12.75">
      <c r="A261" s="194"/>
      <c r="B261" s="64"/>
      <c r="C261" s="39"/>
      <c r="D261" s="67"/>
      <c r="E261" s="104"/>
      <c r="F261" s="64"/>
    </row>
    <row r="262" spans="1:6" s="91" customFormat="1" ht="13.5" thickBot="1">
      <c r="A262" s="132" t="s">
        <v>138</v>
      </c>
      <c r="B262" s="74">
        <f>B255+B260</f>
        <v>15480</v>
      </c>
      <c r="C262" s="74">
        <f>C255+C260</f>
        <v>63897</v>
      </c>
      <c r="D262" s="74">
        <f>D255+D260</f>
        <v>13488</v>
      </c>
      <c r="E262" s="74">
        <f>E255+E260</f>
        <v>1761</v>
      </c>
      <c r="F262" s="74">
        <f>F255+F260</f>
        <v>79177</v>
      </c>
    </row>
    <row r="263" spans="1:6" s="91" customFormat="1" ht="12.75">
      <c r="A263" s="198"/>
      <c r="B263" s="199"/>
      <c r="C263" s="199"/>
      <c r="D263" s="199"/>
      <c r="E263" s="199"/>
      <c r="F263" s="199"/>
    </row>
    <row r="264" spans="1:6" s="91" customFormat="1" ht="12.75">
      <c r="A264" s="198"/>
      <c r="B264" s="199"/>
      <c r="C264" s="199"/>
      <c r="D264" s="199"/>
      <c r="E264" s="199"/>
      <c r="F264" s="199"/>
    </row>
    <row r="265" spans="1:6" s="91" customFormat="1" ht="12.75">
      <c r="A265" s="1181">
        <v>6</v>
      </c>
      <c r="B265" s="1181"/>
      <c r="C265" s="1181"/>
      <c r="D265" s="1181"/>
      <c r="E265" s="1181"/>
      <c r="F265" s="1181"/>
    </row>
    <row r="266" spans="1:6" s="91" customFormat="1" ht="12.75">
      <c r="A266"/>
      <c r="B266"/>
      <c r="C266"/>
      <c r="D266"/>
      <c r="E266"/>
      <c r="F266"/>
    </row>
    <row r="267" spans="1:6" s="91" customFormat="1" ht="14.25">
      <c r="A267" s="1177" t="s">
        <v>146</v>
      </c>
      <c r="B267" s="1177"/>
      <c r="C267" s="1177"/>
      <c r="D267" s="1177"/>
      <c r="E267" s="1177"/>
      <c r="F267"/>
    </row>
    <row r="268" spans="1:6" s="91" customFormat="1" ht="15.75">
      <c r="A268" s="1176" t="s">
        <v>123</v>
      </c>
      <c r="B268" s="1176"/>
      <c r="C268" s="1176"/>
      <c r="D268" s="1176"/>
      <c r="E268" s="1176"/>
      <c r="F268" s="1176"/>
    </row>
    <row r="269" spans="1:6" s="91" customFormat="1" ht="15.75">
      <c r="A269" s="1176" t="s">
        <v>124</v>
      </c>
      <c r="B269" s="1176"/>
      <c r="C269" s="1176"/>
      <c r="D269" s="1176"/>
      <c r="E269" s="1176"/>
      <c r="F269" s="1176"/>
    </row>
    <row r="270" spans="1:6" s="91" customFormat="1" ht="13.5" thickBot="1">
      <c r="A270"/>
      <c r="B270"/>
      <c r="C270"/>
      <c r="D270"/>
      <c r="E270" s="31" t="s">
        <v>80</v>
      </c>
      <c r="F270"/>
    </row>
    <row r="271" spans="1:6" s="91" customFormat="1" ht="37.5" thickBot="1">
      <c r="A271" s="32" t="s">
        <v>125</v>
      </c>
      <c r="B271" s="200" t="s">
        <v>1122</v>
      </c>
      <c r="C271" s="918" t="s">
        <v>1254</v>
      </c>
      <c r="D271" s="176"/>
      <c r="E271" s="176"/>
      <c r="F271" s="214"/>
    </row>
    <row r="272" spans="1:6" s="91" customFormat="1" ht="12.75">
      <c r="A272" s="44" t="s">
        <v>42</v>
      </c>
      <c r="B272" s="69"/>
      <c r="C272" s="69"/>
      <c r="D272" s="69"/>
      <c r="E272" s="166"/>
      <c r="F272" s="69"/>
    </row>
    <row r="273" spans="1:6" s="91" customFormat="1" ht="12.75">
      <c r="A273" s="121" t="s">
        <v>43</v>
      </c>
      <c r="B273" s="48">
        <f>1500+90+84+43+881</f>
        <v>2598</v>
      </c>
      <c r="C273" s="39"/>
      <c r="D273" s="48"/>
      <c r="E273" s="49"/>
      <c r="F273" s="39"/>
    </row>
    <row r="274" spans="1:6" s="91" customFormat="1" ht="12.75">
      <c r="A274" s="19" t="s">
        <v>44</v>
      </c>
      <c r="B274" s="48">
        <f>435+44+26+4+22+173</f>
        <v>704</v>
      </c>
      <c r="C274" s="39"/>
      <c r="D274" s="48"/>
      <c r="E274" s="49"/>
      <c r="F274" s="39"/>
    </row>
    <row r="275" spans="1:6" s="91" customFormat="1" ht="12.75">
      <c r="A275" s="19" t="s">
        <v>45</v>
      </c>
      <c r="B275" s="48">
        <f>1353+51-1054</f>
        <v>350</v>
      </c>
      <c r="C275" s="39"/>
      <c r="D275" s="48"/>
      <c r="E275" s="49"/>
      <c r="F275" s="39"/>
    </row>
    <row r="276" spans="1:6" s="91" customFormat="1" ht="12.75">
      <c r="A276" s="19" t="s">
        <v>165</v>
      </c>
      <c r="B276" s="48"/>
      <c r="C276" s="39"/>
      <c r="D276" s="48"/>
      <c r="E276" s="49"/>
      <c r="F276" s="39"/>
    </row>
    <row r="277" spans="1:6" s="91" customFormat="1" ht="12.75">
      <c r="A277" s="19" t="s">
        <v>47</v>
      </c>
      <c r="B277" s="48">
        <v>0</v>
      </c>
      <c r="C277" s="39"/>
      <c r="D277" s="48"/>
      <c r="E277" s="49"/>
      <c r="F277" s="39"/>
    </row>
    <row r="278" spans="1:6" s="91" customFormat="1" ht="12.75">
      <c r="A278" s="8" t="s">
        <v>48</v>
      </c>
      <c r="B278" s="48">
        <v>0</v>
      </c>
      <c r="C278" s="39"/>
      <c r="D278" s="48"/>
      <c r="E278" s="49"/>
      <c r="F278" s="39"/>
    </row>
    <row r="279" spans="1:6" s="91" customFormat="1" ht="13.5" thickBot="1">
      <c r="A279" s="122" t="s">
        <v>153</v>
      </c>
      <c r="B279" s="48"/>
      <c r="C279" s="39"/>
      <c r="D279" s="39"/>
      <c r="E279" s="39"/>
      <c r="F279" s="39"/>
    </row>
    <row r="280" spans="1:6" s="91" customFormat="1" ht="13.5" thickBot="1">
      <c r="A280" s="43" t="s">
        <v>132</v>
      </c>
      <c r="B280" s="16">
        <f>SUM(B273:B278)</f>
        <v>3652</v>
      </c>
      <c r="C280" s="16">
        <f>SUM(C273:C278)</f>
        <v>0</v>
      </c>
      <c r="D280" s="16">
        <f>SUM(D273:D278)</f>
        <v>0</v>
      </c>
      <c r="E280" s="16">
        <f>SUM(E273:E278)</f>
        <v>0</v>
      </c>
      <c r="F280" s="16">
        <f>SUM(F273:F278)</f>
        <v>0</v>
      </c>
    </row>
    <row r="281" spans="1:6" s="91" customFormat="1" ht="12.75">
      <c r="A281" s="93"/>
      <c r="B281" s="69"/>
      <c r="C281" s="110"/>
      <c r="D281" s="69"/>
      <c r="E281" s="166"/>
      <c r="F281" s="48"/>
    </row>
    <row r="282" spans="1:6" s="91" customFormat="1" ht="12.75">
      <c r="A282" s="47" t="s">
        <v>51</v>
      </c>
      <c r="B282" s="48"/>
      <c r="C282" s="94"/>
      <c r="D282" s="48"/>
      <c r="E282" s="131"/>
      <c r="F282" s="39"/>
    </row>
    <row r="283" spans="1:6" s="91" customFormat="1" ht="12.75">
      <c r="A283" s="19" t="s">
        <v>52</v>
      </c>
      <c r="B283" s="48"/>
      <c r="C283" s="56"/>
      <c r="D283" s="48"/>
      <c r="E283" s="131"/>
      <c r="F283" s="39"/>
    </row>
    <row r="284" spans="1:6" s="91" customFormat="1" ht="12.75">
      <c r="A284" s="19" t="s">
        <v>53</v>
      </c>
      <c r="B284" s="48"/>
      <c r="C284" s="56"/>
      <c r="D284" s="48"/>
      <c r="E284" s="131"/>
      <c r="F284" s="39"/>
    </row>
    <row r="285" spans="1:6" s="91" customFormat="1" ht="12.75">
      <c r="A285" s="19" t="s">
        <v>54</v>
      </c>
      <c r="B285" s="48"/>
      <c r="C285" s="56"/>
      <c r="D285" s="48"/>
      <c r="E285" s="131"/>
      <c r="F285" s="39"/>
    </row>
    <row r="286" spans="1:6" s="91" customFormat="1" ht="13.5" thickBot="1">
      <c r="A286" s="179" t="s">
        <v>111</v>
      </c>
      <c r="B286" s="48"/>
      <c r="C286" s="48"/>
      <c r="D286" s="48"/>
      <c r="E286" s="48"/>
      <c r="F286" s="48"/>
    </row>
    <row r="287" spans="1:6" s="91" customFormat="1" ht="13.5" thickBot="1">
      <c r="A287" s="194"/>
      <c r="B287" s="64"/>
      <c r="C287" s="53"/>
      <c r="D287" s="64"/>
      <c r="E287" s="51"/>
      <c r="F287" s="58"/>
    </row>
    <row r="288" spans="1:6" s="91" customFormat="1" ht="13.5" thickBot="1">
      <c r="A288" s="43" t="s">
        <v>91</v>
      </c>
      <c r="B288" s="16">
        <f>B283+B284+B285+B286</f>
        <v>0</v>
      </c>
      <c r="C288" s="16">
        <f>C283+C284+C285+C286</f>
        <v>0</v>
      </c>
      <c r="D288" s="16">
        <f>D283+D284+D285+D286</f>
        <v>0</v>
      </c>
      <c r="E288" s="16">
        <f>E283+E284+E285+E286</f>
        <v>0</v>
      </c>
      <c r="F288" s="16">
        <f>F283+F284+F285+F286</f>
        <v>0</v>
      </c>
    </row>
    <row r="289" spans="1:6" s="91" customFormat="1" ht="12.75">
      <c r="A289" s="96"/>
      <c r="B289" s="64"/>
      <c r="C289" s="51"/>
      <c r="D289" s="64"/>
      <c r="E289" s="53"/>
      <c r="F289" s="64"/>
    </row>
    <row r="290" spans="1:6" s="91" customFormat="1" ht="12.75">
      <c r="A290" s="96" t="s">
        <v>57</v>
      </c>
      <c r="B290" s="64"/>
      <c r="C290" s="51"/>
      <c r="D290" s="64"/>
      <c r="E290" s="53"/>
      <c r="F290" s="64"/>
    </row>
    <row r="291" spans="1:6" s="91" customFormat="1" ht="12.75">
      <c r="A291" s="180" t="s">
        <v>58</v>
      </c>
      <c r="B291" s="39"/>
      <c r="C291" s="55">
        <f>1_e_f_sz_melléklet!C13</f>
        <v>58688</v>
      </c>
      <c r="D291" s="39"/>
      <c r="E291" s="56"/>
      <c r="F291" s="39"/>
    </row>
    <row r="292" spans="1:6" s="91" customFormat="1" ht="13.5" thickBot="1">
      <c r="A292" s="125" t="s">
        <v>59</v>
      </c>
      <c r="B292" s="64"/>
      <c r="C292" s="51"/>
      <c r="D292" s="64"/>
      <c r="E292" s="53"/>
      <c r="F292" s="58"/>
    </row>
    <row r="293" spans="1:6" s="91" customFormat="1" ht="13.5" thickBot="1">
      <c r="A293" s="43" t="s">
        <v>133</v>
      </c>
      <c r="B293" s="16">
        <f>B291+B292</f>
        <v>0</v>
      </c>
      <c r="C293" s="16">
        <f>C291+C292</f>
        <v>58688</v>
      </c>
      <c r="D293" s="16">
        <f>D291+D292</f>
        <v>0</v>
      </c>
      <c r="E293" s="16">
        <f>E291+E292</f>
        <v>0</v>
      </c>
      <c r="F293" s="16">
        <f>F291+F292</f>
        <v>0</v>
      </c>
    </row>
    <row r="294" spans="1:6" s="91" customFormat="1" ht="12.75">
      <c r="A294" s="96"/>
      <c r="B294" s="64"/>
      <c r="C294" s="51"/>
      <c r="D294" s="64"/>
      <c r="E294" s="64"/>
      <c r="F294" s="53"/>
    </row>
    <row r="295" spans="1:6" s="91" customFormat="1" ht="12.75">
      <c r="A295" s="62" t="s">
        <v>94</v>
      </c>
      <c r="B295" s="48"/>
      <c r="C295" s="131"/>
      <c r="D295" s="48"/>
      <c r="E295" s="48"/>
      <c r="F295" s="94"/>
    </row>
    <row r="296" spans="1:6" s="91" customFormat="1" ht="12.75">
      <c r="A296" s="54" t="s">
        <v>58</v>
      </c>
      <c r="B296" s="48"/>
      <c r="C296" s="48"/>
      <c r="D296" s="48"/>
      <c r="E296" s="48"/>
      <c r="F296" s="56"/>
    </row>
    <row r="297" spans="1:6" s="91" customFormat="1" ht="13.5" thickBot="1">
      <c r="A297" s="126" t="s">
        <v>59</v>
      </c>
      <c r="B297" s="64"/>
      <c r="C297" s="51"/>
      <c r="D297" s="64"/>
      <c r="E297" s="64"/>
      <c r="F297" s="59"/>
    </row>
    <row r="298" spans="1:6" s="91" customFormat="1" ht="13.5" thickBot="1">
      <c r="A298" s="43" t="s">
        <v>95</v>
      </c>
      <c r="B298" s="16">
        <f>B296+B297</f>
        <v>0</v>
      </c>
      <c r="C298" s="16">
        <f>C296+C297</f>
        <v>0</v>
      </c>
      <c r="D298" s="16">
        <f>D296+D297</f>
        <v>0</v>
      </c>
      <c r="E298" s="16">
        <f>E296+E297</f>
        <v>0</v>
      </c>
      <c r="F298" s="16">
        <f>F296+F297</f>
        <v>0</v>
      </c>
    </row>
    <row r="299" spans="1:6" s="91" customFormat="1" ht="12.75">
      <c r="A299" s="44" t="s">
        <v>63</v>
      </c>
      <c r="B299" s="48"/>
      <c r="C299" s="48"/>
      <c r="D299" s="48"/>
      <c r="E299" s="131"/>
      <c r="F299" s="48"/>
    </row>
    <row r="300" spans="1:6" s="91" customFormat="1" ht="12.75">
      <c r="A300" s="57" t="s">
        <v>96</v>
      </c>
      <c r="B300" s="64"/>
      <c r="C300" s="64"/>
      <c r="D300" s="64"/>
      <c r="E300" s="51"/>
      <c r="F300" s="39"/>
    </row>
    <row r="301" spans="1:6" s="91" customFormat="1" ht="13.5" thickBot="1">
      <c r="A301" s="8" t="s">
        <v>134</v>
      </c>
      <c r="B301" s="39"/>
      <c r="C301" s="39"/>
      <c r="D301" s="39"/>
      <c r="E301" s="55"/>
      <c r="F301" s="58"/>
    </row>
    <row r="302" spans="1:6" s="91" customFormat="1" ht="13.5" thickBot="1">
      <c r="A302" s="43" t="s">
        <v>98</v>
      </c>
      <c r="B302" s="16">
        <f>B300+B301</f>
        <v>0</v>
      </c>
      <c r="C302" s="16">
        <f>C300+C301</f>
        <v>0</v>
      </c>
      <c r="D302" s="16">
        <f>D300+D301</f>
        <v>0</v>
      </c>
      <c r="E302" s="16">
        <f>E300+E301</f>
        <v>0</v>
      </c>
      <c r="F302" s="16">
        <f>F300+F301</f>
        <v>0</v>
      </c>
    </row>
    <row r="303" spans="1:6" s="91" customFormat="1" ht="12.75">
      <c r="A303" s="47" t="s">
        <v>67</v>
      </c>
      <c r="B303" s="109"/>
      <c r="C303" s="69"/>
      <c r="D303" s="166"/>
      <c r="E303" s="109"/>
      <c r="F303" s="48"/>
    </row>
    <row r="304" spans="1:6" s="91" customFormat="1" ht="12.75">
      <c r="A304" s="38" t="s">
        <v>135</v>
      </c>
      <c r="B304" s="131"/>
      <c r="C304" s="48"/>
      <c r="D304" s="49"/>
      <c r="E304" s="131"/>
      <c r="F304" s="39"/>
    </row>
    <row r="305" spans="1:6" s="91" customFormat="1" ht="13.5" thickBot="1">
      <c r="A305" s="38" t="s">
        <v>136</v>
      </c>
      <c r="B305" s="55"/>
      <c r="C305" s="39"/>
      <c r="D305" s="40"/>
      <c r="E305" s="55"/>
      <c r="F305" s="39"/>
    </row>
    <row r="306" spans="1:6" s="91" customFormat="1" ht="13.5" thickBot="1">
      <c r="A306" s="90" t="s">
        <v>70</v>
      </c>
      <c r="B306" s="16">
        <f>B304+B305</f>
        <v>0</v>
      </c>
      <c r="C306" s="16">
        <f>C304+C305</f>
        <v>0</v>
      </c>
      <c r="D306" s="16">
        <f>D304+D305</f>
        <v>0</v>
      </c>
      <c r="E306" s="16">
        <f>E304+E305</f>
        <v>0</v>
      </c>
      <c r="F306" s="16">
        <f>F304+F305</f>
        <v>0</v>
      </c>
    </row>
    <row r="307" spans="1:6" s="91" customFormat="1" ht="13.5" thickBot="1">
      <c r="A307" s="96"/>
      <c r="B307" s="52"/>
      <c r="C307" s="52"/>
      <c r="D307" s="52"/>
      <c r="E307" s="173"/>
      <c r="F307" s="64"/>
    </row>
    <row r="308" spans="1:6" s="91" customFormat="1" ht="12.75">
      <c r="A308" s="181" t="s">
        <v>137</v>
      </c>
      <c r="B308" s="182"/>
      <c r="C308" s="182"/>
      <c r="D308" s="52"/>
      <c r="E308" s="173"/>
      <c r="F308" s="52"/>
    </row>
    <row r="309" spans="1:6" s="91" customFormat="1" ht="13.5" thickBot="1">
      <c r="A309" s="184" t="s">
        <v>99</v>
      </c>
      <c r="B309" s="185">
        <f>B306+B302+B298+B293+B288+B280</f>
        <v>3652</v>
      </c>
      <c r="C309" s="185">
        <f>C306+C302+C298+C293+C288+C280</f>
        <v>58688</v>
      </c>
      <c r="D309" s="185">
        <f>D306+D302+D298+D293+D288+D280</f>
        <v>0</v>
      </c>
      <c r="E309" s="185">
        <f>E306+E302+E298+E293+E288+E280</f>
        <v>0</v>
      </c>
      <c r="F309" s="185">
        <f>F306+F302+F298+F293+F288+F280</f>
        <v>0</v>
      </c>
    </row>
    <row r="310" spans="1:6" s="91" customFormat="1" ht="12.75">
      <c r="A310" s="217"/>
      <c r="B310" s="196"/>
      <c r="C310" s="196"/>
      <c r="D310" s="69"/>
      <c r="E310" s="109"/>
      <c r="F310" s="69"/>
    </row>
    <row r="311" spans="1:6" s="91" customFormat="1" ht="12.75">
      <c r="A311" s="220" t="s">
        <v>100</v>
      </c>
      <c r="B311" s="76"/>
      <c r="C311" s="221"/>
      <c r="D311" s="48"/>
      <c r="E311" s="48"/>
      <c r="F311" s="94"/>
    </row>
    <row r="312" spans="1:6" s="91" customFormat="1" ht="12.75">
      <c r="A312" s="70" t="s">
        <v>73</v>
      </c>
      <c r="B312" s="130"/>
      <c r="C312" s="129"/>
      <c r="D312" s="39"/>
      <c r="E312" s="39"/>
      <c r="F312" s="56"/>
    </row>
    <row r="313" spans="1:6" s="91" customFormat="1" ht="13.5" thickBot="1">
      <c r="A313" s="113" t="s">
        <v>101</v>
      </c>
      <c r="B313" s="197"/>
      <c r="C313" s="189"/>
      <c r="D313" s="58"/>
      <c r="E313" s="58"/>
      <c r="F313" s="59"/>
    </row>
    <row r="314" spans="1:6" s="91" customFormat="1" ht="13.5" thickBot="1">
      <c r="A314" s="90" t="s">
        <v>112</v>
      </c>
      <c r="B314" s="16">
        <f>B312+B313</f>
        <v>0</v>
      </c>
      <c r="C314" s="16">
        <f>C312+C313</f>
        <v>0</v>
      </c>
      <c r="D314" s="16">
        <f>D312+D313</f>
        <v>0</v>
      </c>
      <c r="E314" s="16">
        <f>E312+E313</f>
        <v>0</v>
      </c>
      <c r="F314" s="16">
        <f>F312+F313</f>
        <v>0</v>
      </c>
    </row>
    <row r="315" spans="1:6" s="91" customFormat="1" ht="13.5" thickBot="1">
      <c r="A315" s="194"/>
      <c r="B315" s="64"/>
      <c r="C315" s="39"/>
      <c r="D315" s="67"/>
      <c r="E315" s="104"/>
      <c r="F315" s="64"/>
    </row>
    <row r="316" spans="1:6" s="91" customFormat="1" ht="13.5" thickBot="1">
      <c r="A316" s="132" t="s">
        <v>138</v>
      </c>
      <c r="B316" s="74">
        <f>B309+B314</f>
        <v>3652</v>
      </c>
      <c r="C316" s="74">
        <f>C309+C314</f>
        <v>58688</v>
      </c>
      <c r="D316" s="74">
        <f>D309+D314</f>
        <v>0</v>
      </c>
      <c r="E316" s="74">
        <f>E309+E314</f>
        <v>0</v>
      </c>
      <c r="F316" s="74">
        <f>F309+F314</f>
        <v>0</v>
      </c>
    </row>
    <row r="317" spans="1:6" ht="12.75">
      <c r="A317" s="1181">
        <v>7</v>
      </c>
      <c r="B317" s="1181"/>
      <c r="C317" s="1181"/>
      <c r="D317" s="1181"/>
      <c r="E317" s="1181"/>
      <c r="F317" s="1181"/>
    </row>
    <row r="319" spans="1:5" ht="14.25">
      <c r="A319" s="1177" t="s">
        <v>122</v>
      </c>
      <c r="B319" s="1177"/>
      <c r="C319" s="1177"/>
      <c r="D319" s="1177"/>
      <c r="E319" s="1177"/>
    </row>
    <row r="320" spans="1:6" ht="15.75">
      <c r="A320" s="1176" t="s">
        <v>123</v>
      </c>
      <c r="B320" s="1176"/>
      <c r="C320" s="1176"/>
      <c r="D320" s="1176"/>
      <c r="E320" s="1176"/>
      <c r="F320" s="1176"/>
    </row>
    <row r="321" spans="1:6" ht="15.75">
      <c r="A321" s="1176" t="s">
        <v>124</v>
      </c>
      <c r="B321" s="1176"/>
      <c r="C321" s="1176"/>
      <c r="D321" s="1176"/>
      <c r="E321" s="1176"/>
      <c r="F321" s="1176"/>
    </row>
    <row r="322" ht="13.5" thickBot="1">
      <c r="E322" s="31" t="s">
        <v>80</v>
      </c>
    </row>
    <row r="323" spans="1:6" ht="51.75" customHeight="1" thickBot="1">
      <c r="A323" s="32" t="s">
        <v>81</v>
      </c>
      <c r="B323" s="176" t="s">
        <v>166</v>
      </c>
      <c r="C323" s="222" t="s">
        <v>167</v>
      </c>
      <c r="D323" s="214" t="s">
        <v>168</v>
      </c>
      <c r="E323" s="223" t="s">
        <v>169</v>
      </c>
      <c r="F323" s="224" t="s">
        <v>170</v>
      </c>
    </row>
    <row r="324" spans="1:6" ht="12.75">
      <c r="A324" s="44" t="s">
        <v>42</v>
      </c>
      <c r="B324" s="69"/>
      <c r="C324" s="69"/>
      <c r="D324" s="69"/>
      <c r="E324" s="166"/>
      <c r="F324" s="69"/>
    </row>
    <row r="325" spans="1:6" ht="12.75">
      <c r="A325" s="121" t="s">
        <v>43</v>
      </c>
      <c r="B325" s="48">
        <f aca="true" t="shared" si="0" ref="B325:B331">F219+E219+D219+C219+B219+B164+C164+D164+E164+F164+B112+C112+D112+E112+F112+B58+C58+D58+E58+F58+B7+C7+D7+E7+F7+B273</f>
        <v>350087</v>
      </c>
      <c r="C325" s="39"/>
      <c r="D325" s="48">
        <f>SUM(B325:C325)</f>
        <v>350087</v>
      </c>
      <c r="E325" s="49">
        <f>'1_c_sz_ melléklet'!F63</f>
        <v>1105712</v>
      </c>
      <c r="F325" s="39">
        <f>SUM(D325:E325)</f>
        <v>1455799</v>
      </c>
    </row>
    <row r="326" spans="1:6" ht="12.75">
      <c r="A326" s="19" t="s">
        <v>44</v>
      </c>
      <c r="B326" s="48">
        <f t="shared" si="0"/>
        <v>116347</v>
      </c>
      <c r="C326" s="39"/>
      <c r="D326" s="48">
        <f aca="true" t="shared" si="1" ref="D326:D331">SUM(B326:C326)</f>
        <v>116347</v>
      </c>
      <c r="E326" s="49">
        <f>'1_c_sz_ melléklet'!F64</f>
        <v>343335</v>
      </c>
      <c r="F326" s="39">
        <f aca="true" t="shared" si="2" ref="F326:F331">SUM(D326:E326)</f>
        <v>459682</v>
      </c>
    </row>
    <row r="327" spans="1:6" ht="12.75">
      <c r="A327" s="19" t="s">
        <v>45</v>
      </c>
      <c r="B327" s="48">
        <f t="shared" si="0"/>
        <v>606600</v>
      </c>
      <c r="C327" s="39"/>
      <c r="D327" s="48">
        <f t="shared" si="1"/>
        <v>606600</v>
      </c>
      <c r="E327" s="49">
        <f>'1_c_sz_ melléklet'!F65</f>
        <v>434512</v>
      </c>
      <c r="F327" s="39">
        <f t="shared" si="2"/>
        <v>1041112</v>
      </c>
    </row>
    <row r="328" spans="1:6" ht="12.75">
      <c r="A328" s="19" t="s">
        <v>171</v>
      </c>
      <c r="B328" s="48">
        <f t="shared" si="0"/>
        <v>-120152</v>
      </c>
      <c r="C328" s="39"/>
      <c r="D328" s="48">
        <f t="shared" si="1"/>
        <v>-120152</v>
      </c>
      <c r="E328" s="49">
        <v>0</v>
      </c>
      <c r="F328" s="39">
        <f t="shared" si="2"/>
        <v>-120152</v>
      </c>
    </row>
    <row r="329" spans="1:6" ht="12.75">
      <c r="A329" s="19" t="s">
        <v>47</v>
      </c>
      <c r="B329" s="48">
        <f t="shared" si="0"/>
        <v>0</v>
      </c>
      <c r="C329" s="39"/>
      <c r="D329" s="48">
        <f t="shared" si="1"/>
        <v>0</v>
      </c>
      <c r="E329" s="49">
        <f>'1_c_sz_ melléklet'!F66</f>
        <v>4643</v>
      </c>
      <c r="F329" s="39">
        <f t="shared" si="2"/>
        <v>4643</v>
      </c>
    </row>
    <row r="330" spans="1:6" ht="12.75">
      <c r="A330" s="8" t="s">
        <v>48</v>
      </c>
      <c r="B330" s="48">
        <f t="shared" si="0"/>
        <v>328626</v>
      </c>
      <c r="C330" s="39"/>
      <c r="D330" s="48">
        <f t="shared" si="1"/>
        <v>328626</v>
      </c>
      <c r="E330" s="49"/>
      <c r="F330" s="39">
        <f t="shared" si="2"/>
        <v>328626</v>
      </c>
    </row>
    <row r="331" spans="1:6" ht="13.5" thickBot="1">
      <c r="A331" s="122" t="s">
        <v>172</v>
      </c>
      <c r="B331" s="48">
        <f t="shared" si="0"/>
        <v>328626</v>
      </c>
      <c r="C331" s="39"/>
      <c r="D331" s="48">
        <f t="shared" si="1"/>
        <v>328626</v>
      </c>
      <c r="E331" s="40"/>
      <c r="F331" s="39">
        <f t="shared" si="2"/>
        <v>328626</v>
      </c>
    </row>
    <row r="332" spans="1:6" s="91" customFormat="1" ht="13.5" thickBot="1">
      <c r="A332" s="43" t="s">
        <v>132</v>
      </c>
      <c r="B332" s="16">
        <f>SUM(B325:B330)</f>
        <v>1281508</v>
      </c>
      <c r="C332" s="16">
        <f>SUM(C325:C330)</f>
        <v>0</v>
      </c>
      <c r="D332" s="16">
        <f>SUM(D325:D330)</f>
        <v>1281508</v>
      </c>
      <c r="E332" s="16">
        <f>SUM(E325:E330)</f>
        <v>1888202</v>
      </c>
      <c r="F332" s="16">
        <f>SUM(F325:F330)</f>
        <v>3169710</v>
      </c>
    </row>
    <row r="333" spans="1:6" ht="8.25" customHeight="1">
      <c r="A333" s="93"/>
      <c r="B333" s="52"/>
      <c r="C333" s="110"/>
      <c r="D333" s="69"/>
      <c r="E333" s="166"/>
      <c r="F333" s="48"/>
    </row>
    <row r="334" spans="1:6" ht="12.75">
      <c r="A334" s="41" t="s">
        <v>51</v>
      </c>
      <c r="B334" s="39"/>
      <c r="C334" s="56"/>
      <c r="D334" s="39"/>
      <c r="E334" s="55"/>
      <c r="F334" s="39"/>
    </row>
    <row r="335" spans="1:6" ht="12.75">
      <c r="A335" s="19" t="s">
        <v>52</v>
      </c>
      <c r="B335" s="48">
        <f>F229+E229+D229+C229+B229+F174+E174+D174+C174+B174+F122+E122+D122+C122+B122+F68+E68+D68+C68+B68+F16+E16+D16+C16+B16+B283</f>
        <v>354843</v>
      </c>
      <c r="C335" s="56"/>
      <c r="D335" s="39">
        <f>SUM(B335:C335)</f>
        <v>354843</v>
      </c>
      <c r="E335" s="131">
        <f>'1_c_sz_ melléklet'!F74</f>
        <v>16566</v>
      </c>
      <c r="F335" s="39">
        <f>SUM(D335:E335)</f>
        <v>371409</v>
      </c>
    </row>
    <row r="336" spans="1:6" ht="12.75">
      <c r="A336" s="19" t="s">
        <v>53</v>
      </c>
      <c r="B336" s="48">
        <f>F230+E230+D230+C230+B230+F175+E175+D175+C175+B175+F123+E123+D123+C123+B123+F69+E69+D69+C69+B69+F17+E17+D17+C17+B17+B284</f>
        <v>39301</v>
      </c>
      <c r="C336" s="56"/>
      <c r="D336" s="39">
        <f>SUM(B336:C336)</f>
        <v>39301</v>
      </c>
      <c r="E336" s="131">
        <f>'1_c_sz_ melléklet'!F75</f>
        <v>4720</v>
      </c>
      <c r="F336" s="39">
        <f>SUM(D336:E336)</f>
        <v>44021</v>
      </c>
    </row>
    <row r="337" spans="1:6" ht="12.75">
      <c r="A337" s="19" t="s">
        <v>54</v>
      </c>
      <c r="B337" s="48">
        <f>F231+E231+D231+C231+B231+F176+E176+D176+C176+B176+F124+E124+D124+C124+B124+F70+E70+D70+C70+B70+F18+E18+D18+C18+B18+B285</f>
        <v>1750</v>
      </c>
      <c r="C337" s="56"/>
      <c r="D337" s="39">
        <f>SUM(B337:C337)</f>
        <v>1750</v>
      </c>
      <c r="E337" s="131">
        <f>'1_c_sz_ melléklet'!F76</f>
        <v>0</v>
      </c>
      <c r="F337" s="39">
        <f>SUM(D337:E337)</f>
        <v>1750</v>
      </c>
    </row>
    <row r="338" spans="1:6" ht="13.5" thickBot="1">
      <c r="A338" s="179" t="s">
        <v>111</v>
      </c>
      <c r="B338" s="48">
        <f>F232+E232+D232+C232+B232+F177+E177+D177+C177+B177+F125+E125+D125+C125+B125+F71+E71+D71+C71+B71+F19+E19+D19+C19+B19</f>
        <v>120152</v>
      </c>
      <c r="C338" s="48"/>
      <c r="D338" s="39">
        <f>SUM(B338:C338)</f>
        <v>120152</v>
      </c>
      <c r="E338" s="131">
        <f>'1_c_sz_ melléklet'!F77</f>
        <v>0</v>
      </c>
      <c r="F338" s="39">
        <f>SUM(D338:E338)</f>
        <v>120152</v>
      </c>
    </row>
    <row r="339" spans="1:6" ht="9" customHeight="1" thickBot="1">
      <c r="A339" s="194"/>
      <c r="B339" s="64"/>
      <c r="C339" s="53"/>
      <c r="D339" s="64"/>
      <c r="E339" s="51"/>
      <c r="F339" s="58"/>
    </row>
    <row r="340" spans="1:6" s="91" customFormat="1" ht="13.5" thickBot="1">
      <c r="A340" s="43" t="s">
        <v>91</v>
      </c>
      <c r="B340" s="16">
        <f>SUM(B335:B338)</f>
        <v>516046</v>
      </c>
      <c r="C340" s="16">
        <f>SUM(C335:C338)</f>
        <v>0</v>
      </c>
      <c r="D340" s="16">
        <f>SUM(D335:D338)</f>
        <v>516046</v>
      </c>
      <c r="E340" s="16">
        <f>SUM(E335:E338)</f>
        <v>21286</v>
      </c>
      <c r="F340" s="16">
        <f>SUM(F335:F338)</f>
        <v>537332</v>
      </c>
    </row>
    <row r="341" spans="1:6" ht="7.5" customHeight="1">
      <c r="A341" s="96"/>
      <c r="B341" s="64"/>
      <c r="C341" s="51"/>
      <c r="D341" s="64"/>
      <c r="E341" s="53"/>
      <c r="F341" s="64"/>
    </row>
    <row r="342" spans="1:6" ht="12.75">
      <c r="A342" s="96" t="s">
        <v>57</v>
      </c>
      <c r="B342" s="64"/>
      <c r="C342" s="51"/>
      <c r="D342" s="64"/>
      <c r="E342" s="53"/>
      <c r="F342" s="64"/>
    </row>
    <row r="343" spans="1:6" ht="12.75">
      <c r="A343" s="180" t="s">
        <v>58</v>
      </c>
      <c r="B343" s="39">
        <f>F237+E237+D237+C237+B237+F182+E182+D182+C182+B182+F130+E130+D130+C130+B130+F76+E76+D76+C76+B76+F23+E23+D23+C23+B23+C291</f>
        <v>109157</v>
      </c>
      <c r="C343" s="55"/>
      <c r="D343" s="39">
        <f>SUM(B343:C343)</f>
        <v>109157</v>
      </c>
      <c r="E343" s="56">
        <f>'1_c_sz_ melléklet'!F82</f>
        <v>0</v>
      </c>
      <c r="F343" s="39">
        <f>SUM(D343:E343)</f>
        <v>109157</v>
      </c>
    </row>
    <row r="344" spans="1:6" ht="13.5" thickBot="1">
      <c r="A344" s="125" t="s">
        <v>59</v>
      </c>
      <c r="B344" s="39">
        <f>F238+E238+D238+C238+B238+F183+E183+D183+C183+B183+F131+E131+D131+C131+B131+F77+E77+D77+C77+B77+F24+E24+D24+C24+B24</f>
        <v>1545</v>
      </c>
      <c r="C344" s="51">
        <v>0</v>
      </c>
      <c r="D344" s="39">
        <f>SUM(B344:C344)</f>
        <v>1545</v>
      </c>
      <c r="E344" s="56">
        <f>'1_c_sz_ melléklet'!F83</f>
        <v>0</v>
      </c>
      <c r="F344" s="39">
        <f>SUM(D344:E344)</f>
        <v>1545</v>
      </c>
    </row>
    <row r="345" spans="1:6" s="91" customFormat="1" ht="13.5" thickBot="1">
      <c r="A345" s="43" t="s">
        <v>133</v>
      </c>
      <c r="B345" s="16">
        <f>B343+B344</f>
        <v>110702</v>
      </c>
      <c r="C345" s="16">
        <f>C343+C344</f>
        <v>0</v>
      </c>
      <c r="D345" s="16">
        <f>D343+D344</f>
        <v>110702</v>
      </c>
      <c r="E345" s="16">
        <f>E343+E344</f>
        <v>0</v>
      </c>
      <c r="F345" s="16">
        <f>F343+F344</f>
        <v>110702</v>
      </c>
    </row>
    <row r="346" spans="1:6" ht="6" customHeight="1">
      <c r="A346" s="96"/>
      <c r="B346" s="64"/>
      <c r="C346" s="51"/>
      <c r="D346" s="64"/>
      <c r="E346" s="64"/>
      <c r="F346" s="53"/>
    </row>
    <row r="347" spans="1:6" ht="12.75">
      <c r="A347" s="62" t="s">
        <v>94</v>
      </c>
      <c r="B347" s="48"/>
      <c r="C347" s="131"/>
      <c r="D347" s="48"/>
      <c r="E347" s="48"/>
      <c r="F347" s="94"/>
    </row>
    <row r="348" spans="1:6" ht="12.75">
      <c r="A348" s="54" t="s">
        <v>58</v>
      </c>
      <c r="B348" s="48">
        <f>F242+E242+D242+C242+B242+F187+E187+D187+C187+B187+F135+E135+D135+C135+B135+F81+E81+D81+C81+B81+F28+E28+D28+C28+B28</f>
        <v>253747</v>
      </c>
      <c r="C348" s="131"/>
      <c r="D348" s="48">
        <f>SUM(B348:C348)</f>
        <v>253747</v>
      </c>
      <c r="E348" s="48">
        <f>'1_c_sz_ melléklet'!F87</f>
        <v>0</v>
      </c>
      <c r="F348" s="39">
        <f>SUM(D348:E348)</f>
        <v>253747</v>
      </c>
    </row>
    <row r="349" spans="1:6" ht="13.5" thickBot="1">
      <c r="A349" s="126" t="s">
        <v>59</v>
      </c>
      <c r="B349" s="48">
        <f>F243+E243+D243+C243+B243+F188+E188+D188+C188+B188+F136+E136+D136+C136+B136+F82+E82+D82+C82+B82+F29+E29+D29+C29+B29</f>
        <v>74161</v>
      </c>
      <c r="C349" s="51"/>
      <c r="D349" s="48">
        <f>SUM(B349:C349)</f>
        <v>74161</v>
      </c>
      <c r="E349" s="48">
        <f>'1_c_sz_ melléklet'!F88</f>
        <v>0</v>
      </c>
      <c r="F349" s="39">
        <f>SUM(D349:E349)</f>
        <v>74161</v>
      </c>
    </row>
    <row r="350" spans="1:6" s="91" customFormat="1" ht="13.5" thickBot="1">
      <c r="A350" s="43" t="s">
        <v>95</v>
      </c>
      <c r="B350" s="16">
        <f>B348+B349</f>
        <v>327908</v>
      </c>
      <c r="C350" s="16">
        <f>C348+C349</f>
        <v>0</v>
      </c>
      <c r="D350" s="16">
        <f>D348+D349</f>
        <v>327908</v>
      </c>
      <c r="E350" s="16">
        <f>E348+E349</f>
        <v>0</v>
      </c>
      <c r="F350" s="16">
        <f>F348+F349</f>
        <v>327908</v>
      </c>
    </row>
    <row r="351" spans="1:6" ht="18.75" customHeight="1">
      <c r="A351" s="44" t="s">
        <v>63</v>
      </c>
      <c r="B351" s="48"/>
      <c r="C351" s="131"/>
      <c r="D351" s="69"/>
      <c r="E351" s="49"/>
      <c r="F351" s="48"/>
    </row>
    <row r="352" spans="1:6" ht="12.75">
      <c r="A352" s="57" t="s">
        <v>96</v>
      </c>
      <c r="B352" s="39">
        <f>F246+E246+D246+C246+B246+F191+E191+D191+C191+B191+F139+E139+D139+C139+B139+F85+E85+D85+C85+B85+F32+E32+D32+C32+B32</f>
        <v>1000</v>
      </c>
      <c r="C352" s="55"/>
      <c r="D352" s="39">
        <f>SUM(B352:C352)</f>
        <v>1000</v>
      </c>
      <c r="E352" s="40">
        <f>'1_c_sz_ melléklet'!F92</f>
        <v>0</v>
      </c>
      <c r="F352" s="39">
        <f>SUM(D352:E352)</f>
        <v>1000</v>
      </c>
    </row>
    <row r="353" spans="1:6" ht="13.5" thickBot="1">
      <c r="A353" s="8" t="s">
        <v>134</v>
      </c>
      <c r="B353" s="64">
        <f>F247+E247+D247+C247+B247+F192+E192+D192+C192+B192+F140+E140+D140+C140+B140+F86+E86+D86+C86+B86+F33+E33+D33+C33+B33</f>
        <v>5000</v>
      </c>
      <c r="C353" s="131"/>
      <c r="D353" s="64">
        <f>SUM(B353:C353)</f>
        <v>5000</v>
      </c>
      <c r="E353" s="72">
        <f>'1_c_sz_ melléklet'!F93</f>
        <v>0</v>
      </c>
      <c r="F353" s="39">
        <f>SUM(D353:E353)</f>
        <v>5000</v>
      </c>
    </row>
    <row r="354" spans="1:6" s="91" customFormat="1" ht="13.5" thickBot="1">
      <c r="A354" s="43" t="s">
        <v>98</v>
      </c>
      <c r="B354" s="16">
        <f>B352+B353</f>
        <v>6000</v>
      </c>
      <c r="C354" s="60">
        <f>C352+C353</f>
        <v>0</v>
      </c>
      <c r="D354" s="996">
        <f>D352+D353</f>
        <v>6000</v>
      </c>
      <c r="E354" s="61">
        <f>E352+E353</f>
        <v>0</v>
      </c>
      <c r="F354" s="16">
        <f>SUM(F352:F353)</f>
        <v>6000</v>
      </c>
    </row>
    <row r="355" spans="1:6" ht="18" customHeight="1">
      <c r="A355" s="47" t="s">
        <v>67</v>
      </c>
      <c r="B355" s="109"/>
      <c r="C355" s="69"/>
      <c r="D355" s="49"/>
      <c r="E355" s="109"/>
      <c r="F355" s="48"/>
    </row>
    <row r="356" spans="1:6" ht="12.75">
      <c r="A356" s="38" t="s">
        <v>135</v>
      </c>
      <c r="B356" s="131"/>
      <c r="C356" s="48">
        <f>15000-2500-300-3406-480-5714</f>
        <v>2600</v>
      </c>
      <c r="D356" s="49">
        <f>SUM(B356:C356)</f>
        <v>2600</v>
      </c>
      <c r="E356" s="131">
        <f>'1_c_sz_ melléklet'!F97</f>
        <v>0</v>
      </c>
      <c r="F356" s="39">
        <f>SUM(D356:E356)</f>
        <v>2600</v>
      </c>
    </row>
    <row r="357" spans="1:6" ht="13.5" thickBot="1">
      <c r="A357" s="38" t="s">
        <v>136</v>
      </c>
      <c r="B357" s="149"/>
      <c r="C357" s="58">
        <f>'5_sz_ melléklet'!B26</f>
        <v>85761</v>
      </c>
      <c r="D357" s="49">
        <f>SUM(B357:C357)</f>
        <v>85761</v>
      </c>
      <c r="E357" s="131">
        <f>'1_c_sz_ melléklet'!F98</f>
        <v>0</v>
      </c>
      <c r="F357" s="39">
        <f>SUM(D357:E357)</f>
        <v>85761</v>
      </c>
    </row>
    <row r="358" spans="1:6" s="91" customFormat="1" ht="13.5" thickBot="1">
      <c r="A358" s="90" t="s">
        <v>70</v>
      </c>
      <c r="B358" s="60">
        <f>B356+B357</f>
        <v>0</v>
      </c>
      <c r="C358" s="60">
        <f>C356+C357</f>
        <v>88361</v>
      </c>
      <c r="D358" s="16">
        <f>D356+D357</f>
        <v>88361</v>
      </c>
      <c r="E358" s="16">
        <f>E356+E357</f>
        <v>0</v>
      </c>
      <c r="F358" s="16">
        <f>F356+F357</f>
        <v>88361</v>
      </c>
    </row>
    <row r="359" spans="1:6" ht="13.5" thickBot="1">
      <c r="A359" s="96"/>
      <c r="B359" s="64"/>
      <c r="C359" s="64"/>
      <c r="D359" s="64"/>
      <c r="E359" s="51"/>
      <c r="F359" s="64"/>
    </row>
    <row r="360" spans="1:6" s="91" customFormat="1" ht="27.75" customHeight="1" thickBot="1">
      <c r="A360" s="225" t="s">
        <v>71</v>
      </c>
      <c r="B360" s="74">
        <f>B358+B354+B350+B345+B340+B332</f>
        <v>2242164</v>
      </c>
      <c r="C360" s="74">
        <f>C358+C354+C350+C345+C340+C332</f>
        <v>88361</v>
      </c>
      <c r="D360" s="74">
        <f>D358+D354+D350+D345+D340+D332</f>
        <v>2330525</v>
      </c>
      <c r="E360" s="74">
        <f>E358+E354+E350+E345+E340+E332</f>
        <v>1909488</v>
      </c>
      <c r="F360" s="74">
        <f>F358+F354+F350+F345+F340+F332</f>
        <v>4240013</v>
      </c>
    </row>
    <row r="361" spans="1:6" ht="9" customHeight="1">
      <c r="A361" s="217"/>
      <c r="B361" s="196"/>
      <c r="C361" s="196"/>
      <c r="D361" s="69"/>
      <c r="E361" s="109"/>
      <c r="F361" s="69"/>
    </row>
    <row r="362" spans="1:6" ht="12.75">
      <c r="A362" s="204" t="s">
        <v>100</v>
      </c>
      <c r="B362" s="76"/>
      <c r="C362" s="221"/>
      <c r="D362" s="48"/>
      <c r="E362" s="48"/>
      <c r="F362" s="94"/>
    </row>
    <row r="363" spans="1:6" ht="12.75">
      <c r="A363" s="70" t="s">
        <v>73</v>
      </c>
      <c r="B363" s="130">
        <f>F258+E258+D258+C258+B258+F203+E203+D203+C203+B203+F150+E150+D150+C150+B150+F97+E97+D97+C97+B97+F44+E44+D44+C44+B44</f>
        <v>0</v>
      </c>
      <c r="C363" s="129"/>
      <c r="D363" s="39">
        <f>SUM(B363:C363)</f>
        <v>0</v>
      </c>
      <c r="E363" s="39"/>
      <c r="F363" s="56">
        <f>SUM(D363:E363)</f>
        <v>0</v>
      </c>
    </row>
    <row r="364" spans="1:6" ht="13.5" thickBot="1">
      <c r="A364" s="113" t="s">
        <v>101</v>
      </c>
      <c r="B364" s="130">
        <f>F259+E259+D259+C259+B259+F204+E204+D204+C204+B204+F151+E151+D151+C151+B151+F98+E98+D98+C98+B98+F45+E45+D45+C45+B45</f>
        <v>13729</v>
      </c>
      <c r="C364" s="189"/>
      <c r="D364" s="39">
        <f>SUM(B364:C364)</f>
        <v>13729</v>
      </c>
      <c r="E364" s="39"/>
      <c r="F364" s="56">
        <f>SUM(D364:E364)</f>
        <v>13729</v>
      </c>
    </row>
    <row r="365" spans="1:6" s="91" customFormat="1" ht="13.5" thickBot="1">
      <c r="A365" s="90" t="s">
        <v>112</v>
      </c>
      <c r="B365" s="16">
        <f>B363+B364</f>
        <v>13729</v>
      </c>
      <c r="C365" s="16">
        <f>C363+C364</f>
        <v>0</v>
      </c>
      <c r="D365" s="16">
        <f>D363+D364</f>
        <v>13729</v>
      </c>
      <c r="E365" s="16">
        <f>E363+E364</f>
        <v>0</v>
      </c>
      <c r="F365" s="16">
        <f>SUM(F363:F364)</f>
        <v>13729</v>
      </c>
    </row>
    <row r="366" spans="1:6" ht="13.5" thickBot="1">
      <c r="A366" s="194"/>
      <c r="B366" s="64"/>
      <c r="C366" s="39"/>
      <c r="D366" s="67"/>
      <c r="E366" s="104"/>
      <c r="F366" s="64"/>
    </row>
    <row r="367" spans="1:6" s="91" customFormat="1" ht="13.5" thickBot="1">
      <c r="A367" s="132" t="s">
        <v>138</v>
      </c>
      <c r="B367" s="74">
        <f>B360+B365</f>
        <v>2255893</v>
      </c>
      <c r="C367" s="74">
        <f>C360+C365</f>
        <v>88361</v>
      </c>
      <c r="D367" s="74">
        <f>D360+D365</f>
        <v>2344254</v>
      </c>
      <c r="E367" s="74">
        <f>E360+E365</f>
        <v>1909488</v>
      </c>
      <c r="F367" s="74">
        <f>F360+F365</f>
        <v>4253742</v>
      </c>
    </row>
  </sheetData>
  <sheetProtection/>
  <mergeCells count="27">
    <mergeCell ref="A269:F269"/>
    <mergeCell ref="A215:F215"/>
    <mergeCell ref="A317:F317"/>
    <mergeCell ref="A319:E319"/>
    <mergeCell ref="A320:F320"/>
    <mergeCell ref="A321:F321"/>
    <mergeCell ref="A265:F265"/>
    <mergeCell ref="A267:E267"/>
    <mergeCell ref="A268:F268"/>
    <mergeCell ref="A158:E158"/>
    <mergeCell ref="A159:F159"/>
    <mergeCell ref="A160:F160"/>
    <mergeCell ref="A211:F211"/>
    <mergeCell ref="A213:E213"/>
    <mergeCell ref="A214:F214"/>
    <mergeCell ref="A54:F54"/>
    <mergeCell ref="A104:F104"/>
    <mergeCell ref="A106:E106"/>
    <mergeCell ref="A107:F107"/>
    <mergeCell ref="A108:F108"/>
    <mergeCell ref="A157:F157"/>
    <mergeCell ref="A1:E1"/>
    <mergeCell ref="A2:F2"/>
    <mergeCell ref="A3:F3"/>
    <mergeCell ref="A51:F51"/>
    <mergeCell ref="A52:E52"/>
    <mergeCell ref="A53:F53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53"/>
  <sheetViews>
    <sheetView zoomScalePageLayoutView="0" workbookViewId="0" topLeftCell="A1">
      <selection activeCell="A52" sqref="A1:D52"/>
    </sheetView>
  </sheetViews>
  <sheetFormatPr defaultColWidth="9.140625" defaultRowHeight="12.75"/>
  <cols>
    <col min="1" max="1" width="35.00390625" style="0" customWidth="1"/>
    <col min="2" max="2" width="14.421875" style="0" customWidth="1"/>
    <col min="3" max="3" width="14.28125" style="0" customWidth="1"/>
    <col min="4" max="4" width="17.421875" style="0" customWidth="1"/>
  </cols>
  <sheetData>
    <row r="1" spans="1:4" ht="12.75">
      <c r="A1" s="1183" t="s">
        <v>173</v>
      </c>
      <c r="B1" s="1183"/>
      <c r="C1" s="1183"/>
      <c r="D1" s="1183"/>
    </row>
    <row r="2" spans="1:4" ht="12.75">
      <c r="A2" s="31"/>
      <c r="B2" s="31"/>
      <c r="C2" s="31"/>
      <c r="D2" s="31"/>
    </row>
    <row r="3" spans="1:4" ht="15.75">
      <c r="A3" s="1176" t="s">
        <v>174</v>
      </c>
      <c r="B3" s="1176"/>
      <c r="C3" s="1176"/>
      <c r="D3" s="1176"/>
    </row>
    <row r="4" ht="9" customHeight="1">
      <c r="D4" s="27"/>
    </row>
    <row r="5" spans="1:4" ht="12.75">
      <c r="A5" s="1184" t="s">
        <v>33</v>
      </c>
      <c r="B5" s="1184"/>
      <c r="C5" s="1184"/>
      <c r="D5" s="1184"/>
    </row>
    <row r="6" spans="1:4" ht="30" customHeight="1">
      <c r="A6" s="66" t="s">
        <v>175</v>
      </c>
      <c r="B6" s="33" t="s">
        <v>176</v>
      </c>
      <c r="C6" s="227" t="s">
        <v>177</v>
      </c>
      <c r="D6" s="191" t="s">
        <v>178</v>
      </c>
    </row>
    <row r="7" spans="1:64" s="229" customFormat="1" ht="12.75">
      <c r="A7" s="15" t="s">
        <v>179</v>
      </c>
      <c r="B7" s="17">
        <f>SUM(B8:B13)</f>
        <v>0</v>
      </c>
      <c r="C7" s="17">
        <f>SUM(C8:C13)</f>
        <v>109157</v>
      </c>
      <c r="D7" s="17">
        <f>B7+C7</f>
        <v>109157</v>
      </c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</row>
    <row r="8" spans="1:64" ht="12.75">
      <c r="A8" s="19" t="s">
        <v>180</v>
      </c>
      <c r="B8" s="230"/>
      <c r="C8" s="231"/>
      <c r="D8" s="21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</row>
    <row r="9" spans="1:64" ht="12.75">
      <c r="A9" s="850" t="s">
        <v>1133</v>
      </c>
      <c r="B9" s="968"/>
      <c r="C9" s="233">
        <f>32632+9675</f>
        <v>42307</v>
      </c>
      <c r="D9" s="9">
        <f>SUM(B9+C9)</f>
        <v>42307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</row>
    <row r="10" spans="1:64" ht="12.75">
      <c r="A10" s="926" t="s">
        <v>1134</v>
      </c>
      <c r="B10" s="230"/>
      <c r="C10" s="233">
        <v>0</v>
      </c>
      <c r="D10" s="9">
        <f>C10</f>
        <v>0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</row>
    <row r="11" spans="1:64" ht="12.75">
      <c r="A11" s="832" t="s">
        <v>1135</v>
      </c>
      <c r="B11" s="232"/>
      <c r="C11" s="233">
        <f>2835+927+1865+810</f>
        <v>6437</v>
      </c>
      <c r="D11" s="21">
        <f aca="true" t="shared" si="0" ref="D11:D17">SUM(B11+C11)</f>
        <v>6437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</row>
    <row r="12" spans="1:64" ht="12.75">
      <c r="A12" s="832" t="s">
        <v>1136</v>
      </c>
      <c r="B12" s="235"/>
      <c r="C12" s="236">
        <f>902+823</f>
        <v>1725</v>
      </c>
      <c r="D12" s="21">
        <f t="shared" si="0"/>
        <v>1725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64" ht="12.75">
      <c r="A13" s="234" t="s">
        <v>1272</v>
      </c>
      <c r="B13" s="235"/>
      <c r="C13" s="236">
        <v>58688</v>
      </c>
      <c r="D13" s="21">
        <f t="shared" si="0"/>
        <v>58688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4" s="229" customFormat="1" ht="12.75">
      <c r="A14" s="15" t="s">
        <v>181</v>
      </c>
      <c r="B14" s="17">
        <v>0</v>
      </c>
      <c r="C14" s="237">
        <f>SUM(C16:C17)</f>
        <v>1545</v>
      </c>
      <c r="D14" s="17">
        <f t="shared" si="0"/>
        <v>1545</v>
      </c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</row>
    <row r="15" spans="1:64" ht="12.75">
      <c r="A15" s="19" t="s">
        <v>87</v>
      </c>
      <c r="B15" s="230"/>
      <c r="C15" s="231"/>
      <c r="D15" s="238">
        <f t="shared" si="0"/>
        <v>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4" ht="12.75">
      <c r="A16" s="850" t="s">
        <v>1133</v>
      </c>
      <c r="B16" s="232"/>
      <c r="C16" s="233">
        <v>475</v>
      </c>
      <c r="D16" s="21">
        <f t="shared" si="0"/>
        <v>475</v>
      </c>
    </row>
    <row r="17" spans="1:4" ht="12.75">
      <c r="A17" s="850" t="s">
        <v>1258</v>
      </c>
      <c r="B17" s="1116"/>
      <c r="C17" s="1117">
        <v>1070</v>
      </c>
      <c r="D17" s="21">
        <f t="shared" si="0"/>
        <v>1070</v>
      </c>
    </row>
    <row r="18" spans="1:4" s="91" customFormat="1" ht="12.75">
      <c r="A18" s="90" t="s">
        <v>182</v>
      </c>
      <c r="B18" s="17">
        <f>B7+B14</f>
        <v>0</v>
      </c>
      <c r="C18" s="237">
        <f>C7+C14</f>
        <v>110702</v>
      </c>
      <c r="D18" s="17">
        <f>D7+D14</f>
        <v>110702</v>
      </c>
    </row>
    <row r="20" spans="1:4" ht="12.75">
      <c r="A20" s="1183" t="s">
        <v>183</v>
      </c>
      <c r="B20" s="1183"/>
      <c r="C20" s="1183"/>
      <c r="D20" s="1183"/>
    </row>
    <row r="21" spans="1:4" ht="7.5" customHeight="1">
      <c r="A21" s="31"/>
      <c r="B21" s="31"/>
      <c r="C21" s="31"/>
      <c r="D21" s="31"/>
    </row>
    <row r="22" spans="1:4" ht="15.75">
      <c r="A22" s="1176" t="s">
        <v>184</v>
      </c>
      <c r="B22" s="1176"/>
      <c r="C22" s="1176"/>
      <c r="D22" s="1176"/>
    </row>
    <row r="23" ht="10.5" customHeight="1"/>
    <row r="24" spans="1:4" ht="12.75">
      <c r="A24" s="1184" t="s">
        <v>33</v>
      </c>
      <c r="B24" s="1184"/>
      <c r="C24" s="1184"/>
      <c r="D24" s="1184"/>
    </row>
    <row r="25" spans="1:4" ht="30" customHeight="1">
      <c r="A25" s="90" t="s">
        <v>175</v>
      </c>
      <c r="B25" s="43" t="s">
        <v>176</v>
      </c>
      <c r="C25" s="239" t="s">
        <v>177</v>
      </c>
      <c r="D25" s="240" t="s">
        <v>178</v>
      </c>
    </row>
    <row r="26" spans="1:4" s="91" customFormat="1" ht="12.75">
      <c r="A26" s="15" t="s">
        <v>179</v>
      </c>
      <c r="B26" s="16">
        <v>0</v>
      </c>
      <c r="C26" s="241">
        <f>SUM(C27:C44)</f>
        <v>253747</v>
      </c>
      <c r="D26" s="16">
        <f>B26+C26</f>
        <v>253747</v>
      </c>
    </row>
    <row r="27" spans="1:4" ht="25.5">
      <c r="A27" s="242" t="s">
        <v>185</v>
      </c>
      <c r="B27" s="48">
        <v>0</v>
      </c>
      <c r="C27" s="49">
        <f>10000+301</f>
        <v>10301</v>
      </c>
      <c r="D27" s="20">
        <f aca="true" t="shared" si="1" ref="D27:D51">B27+C27</f>
        <v>10301</v>
      </c>
    </row>
    <row r="28" spans="1:4" ht="12.75">
      <c r="A28" s="242" t="s">
        <v>186</v>
      </c>
      <c r="B28" s="48"/>
      <c r="C28" s="49">
        <f>9000-146+1170</f>
        <v>10024</v>
      </c>
      <c r="D28" s="20">
        <f t="shared" si="1"/>
        <v>10024</v>
      </c>
    </row>
    <row r="29" spans="1:4" ht="12.75">
      <c r="A29" s="19" t="s">
        <v>187</v>
      </c>
      <c r="B29" s="48">
        <v>0</v>
      </c>
      <c r="C29" s="49">
        <f>7000+200</f>
        <v>7200</v>
      </c>
      <c r="D29" s="20">
        <f t="shared" si="1"/>
        <v>7200</v>
      </c>
    </row>
    <row r="30" spans="1:4" ht="12.75">
      <c r="A30" s="19" t="s">
        <v>188</v>
      </c>
      <c r="B30" s="48">
        <v>0</v>
      </c>
      <c r="C30" s="49">
        <f>41000+559-61+2899+24398+1830+559+5000+96</f>
        <v>76280</v>
      </c>
      <c r="D30" s="20">
        <f t="shared" si="1"/>
        <v>76280</v>
      </c>
    </row>
    <row r="31" spans="1:4" ht="12.75">
      <c r="A31" s="19" t="s">
        <v>189</v>
      </c>
      <c r="B31" s="48">
        <v>0</v>
      </c>
      <c r="C31" s="49">
        <v>24000</v>
      </c>
      <c r="D31" s="20">
        <f t="shared" si="1"/>
        <v>24000</v>
      </c>
    </row>
    <row r="32" spans="1:4" ht="12.75">
      <c r="A32" s="19" t="s">
        <v>190</v>
      </c>
      <c r="B32" s="48">
        <v>0</v>
      </c>
      <c r="C32" s="49">
        <v>3700</v>
      </c>
      <c r="D32" s="20">
        <f t="shared" si="1"/>
        <v>3700</v>
      </c>
    </row>
    <row r="33" spans="1:4" ht="12.75">
      <c r="A33" s="19" t="s">
        <v>191</v>
      </c>
      <c r="B33" s="48">
        <v>0</v>
      </c>
      <c r="C33" s="49">
        <v>7215</v>
      </c>
      <c r="D33" s="20">
        <f t="shared" si="1"/>
        <v>7215</v>
      </c>
    </row>
    <row r="34" spans="1:4" ht="12.75">
      <c r="A34" s="19" t="s">
        <v>192</v>
      </c>
      <c r="B34" s="48">
        <v>0</v>
      </c>
      <c r="C34" s="49">
        <v>2335</v>
      </c>
      <c r="D34" s="20">
        <f t="shared" si="1"/>
        <v>2335</v>
      </c>
    </row>
    <row r="35" spans="1:4" ht="12.75">
      <c r="A35" s="8" t="s">
        <v>193</v>
      </c>
      <c r="B35" s="39">
        <v>0</v>
      </c>
      <c r="C35" s="40">
        <v>20</v>
      </c>
      <c r="D35" s="243">
        <f t="shared" si="1"/>
        <v>20</v>
      </c>
    </row>
    <row r="36" spans="1:4" ht="12.75">
      <c r="A36" s="8" t="s">
        <v>194</v>
      </c>
      <c r="B36" s="39">
        <v>0</v>
      </c>
      <c r="C36" s="40">
        <f>24000+6000</f>
        <v>30000</v>
      </c>
      <c r="D36" s="243">
        <f t="shared" si="1"/>
        <v>30000</v>
      </c>
    </row>
    <row r="37" spans="1:4" ht="12.75">
      <c r="A37" s="8" t="s">
        <v>195</v>
      </c>
      <c r="B37" s="39">
        <v>0</v>
      </c>
      <c r="C37" s="40">
        <f>19525+6000+412</f>
        <v>25937</v>
      </c>
      <c r="D37" s="243">
        <f t="shared" si="1"/>
        <v>25937</v>
      </c>
    </row>
    <row r="38" spans="1:4" ht="12.75">
      <c r="A38" s="8" t="s">
        <v>196</v>
      </c>
      <c r="B38" s="39">
        <v>0</v>
      </c>
      <c r="C38" s="40">
        <f>15000+2659</f>
        <v>17659</v>
      </c>
      <c r="D38" s="243">
        <f t="shared" si="1"/>
        <v>17659</v>
      </c>
    </row>
    <row r="39" spans="1:4" ht="12.75">
      <c r="A39" s="8" t="s">
        <v>197</v>
      </c>
      <c r="B39" s="39">
        <v>0</v>
      </c>
      <c r="C39" s="40">
        <v>416</v>
      </c>
      <c r="D39" s="243">
        <f t="shared" si="1"/>
        <v>416</v>
      </c>
    </row>
    <row r="40" spans="1:4" ht="12.75">
      <c r="A40" s="8" t="s">
        <v>198</v>
      </c>
      <c r="B40" s="39">
        <v>0</v>
      </c>
      <c r="C40" s="56">
        <f>1156</f>
        <v>1156</v>
      </c>
      <c r="D40" s="243">
        <f t="shared" si="1"/>
        <v>1156</v>
      </c>
    </row>
    <row r="41" spans="1:4" ht="12.75">
      <c r="A41" s="832" t="s">
        <v>1148</v>
      </c>
      <c r="B41" s="39">
        <v>0</v>
      </c>
      <c r="C41" s="40">
        <v>32227</v>
      </c>
      <c r="D41" s="243">
        <f t="shared" si="1"/>
        <v>32227</v>
      </c>
    </row>
    <row r="42" spans="1:4" ht="12.75">
      <c r="A42" s="8" t="s">
        <v>199</v>
      </c>
      <c r="B42" s="39">
        <v>0</v>
      </c>
      <c r="C42" s="40">
        <v>3977</v>
      </c>
      <c r="D42" s="243">
        <f t="shared" si="1"/>
        <v>3977</v>
      </c>
    </row>
    <row r="43" spans="1:4" ht="12.75">
      <c r="A43" s="850" t="s">
        <v>1128</v>
      </c>
      <c r="B43" s="851">
        <v>0</v>
      </c>
      <c r="C43" s="852">
        <v>300</v>
      </c>
      <c r="D43" s="853">
        <f t="shared" si="1"/>
        <v>300</v>
      </c>
    </row>
    <row r="44" spans="1:4" ht="12.75">
      <c r="A44" s="65" t="s">
        <v>200</v>
      </c>
      <c r="B44" s="64">
        <v>0</v>
      </c>
      <c r="C44" s="72">
        <v>1000</v>
      </c>
      <c r="D44" s="20">
        <f t="shared" si="1"/>
        <v>1000</v>
      </c>
    </row>
    <row r="45" spans="1:4" ht="12.75">
      <c r="A45" s="15" t="s">
        <v>201</v>
      </c>
      <c r="B45" s="16">
        <v>0</v>
      </c>
      <c r="C45" s="241">
        <f>SUM(C46:C51)</f>
        <v>74161</v>
      </c>
      <c r="D45" s="16">
        <f t="shared" si="1"/>
        <v>74161</v>
      </c>
    </row>
    <row r="46" spans="1:4" ht="12.75">
      <c r="A46" s="19" t="s">
        <v>202</v>
      </c>
      <c r="B46" s="48">
        <v>0</v>
      </c>
      <c r="C46" s="49">
        <f>30876+125</f>
        <v>31001</v>
      </c>
      <c r="D46" s="20">
        <f t="shared" si="1"/>
        <v>31001</v>
      </c>
    </row>
    <row r="47" spans="1:4" ht="12.75">
      <c r="A47" s="19" t="s">
        <v>203</v>
      </c>
      <c r="B47" s="48"/>
      <c r="C47" s="49">
        <f>18000+3885+875</f>
        <v>22760</v>
      </c>
      <c r="D47" s="20">
        <f t="shared" si="1"/>
        <v>22760</v>
      </c>
    </row>
    <row r="48" spans="1:4" ht="12.75">
      <c r="A48" s="8" t="s">
        <v>204</v>
      </c>
      <c r="B48" s="39">
        <v>0</v>
      </c>
      <c r="C48" s="40">
        <f>1000-1000</f>
        <v>0</v>
      </c>
      <c r="D48" s="243">
        <f t="shared" si="1"/>
        <v>0</v>
      </c>
    </row>
    <row r="49" spans="1:4" ht="12.75">
      <c r="A49" s="234" t="s">
        <v>205</v>
      </c>
      <c r="B49" s="58">
        <v>0</v>
      </c>
      <c r="C49" s="42">
        <v>5000</v>
      </c>
      <c r="D49" s="243">
        <f t="shared" si="1"/>
        <v>5000</v>
      </c>
    </row>
    <row r="50" spans="1:4" ht="12.75">
      <c r="A50" s="12" t="s">
        <v>206</v>
      </c>
      <c r="B50" s="58"/>
      <c r="C50" s="42">
        <f>15000</f>
        <v>15000</v>
      </c>
      <c r="D50" s="243">
        <f t="shared" si="1"/>
        <v>15000</v>
      </c>
    </row>
    <row r="51" spans="1:4" ht="12.75">
      <c r="A51" s="244" t="s">
        <v>207</v>
      </c>
      <c r="B51" s="58"/>
      <c r="C51" s="42">
        <v>400</v>
      </c>
      <c r="D51" s="243">
        <f t="shared" si="1"/>
        <v>400</v>
      </c>
    </row>
    <row r="52" spans="1:4" ht="12.75">
      <c r="A52" s="90" t="s">
        <v>182</v>
      </c>
      <c r="B52" s="16">
        <f>B26+B45</f>
        <v>0</v>
      </c>
      <c r="C52" s="16">
        <f>C26+C45</f>
        <v>327908</v>
      </c>
      <c r="D52" s="16">
        <f>D26+D45</f>
        <v>327908</v>
      </c>
    </row>
    <row r="53" spans="1:4" s="91" customFormat="1" ht="12.75">
      <c r="A53"/>
      <c r="B53"/>
      <c r="C53"/>
      <c r="D53"/>
    </row>
  </sheetData>
  <sheetProtection/>
  <mergeCells count="6">
    <mergeCell ref="A1:D1"/>
    <mergeCell ref="A3:D3"/>
    <mergeCell ref="A5:D5"/>
    <mergeCell ref="A20:D20"/>
    <mergeCell ref="A22:D22"/>
    <mergeCell ref="A24:D24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45"/>
  <sheetViews>
    <sheetView zoomScalePageLayoutView="0" workbookViewId="0" topLeftCell="A1">
      <selection activeCell="A45" sqref="A1:B45"/>
    </sheetView>
  </sheetViews>
  <sheetFormatPr defaultColWidth="9.140625" defaultRowHeight="12.75"/>
  <cols>
    <col min="1" max="1" width="65.7109375" style="0" customWidth="1"/>
    <col min="2" max="2" width="19.00390625" style="0" customWidth="1"/>
  </cols>
  <sheetData>
    <row r="2" ht="15">
      <c r="B2" s="245" t="s">
        <v>208</v>
      </c>
    </row>
    <row r="3" ht="15.75">
      <c r="A3" s="29"/>
    </row>
    <row r="4" spans="1:2" ht="15.75">
      <c r="A4" s="1176" t="s">
        <v>209</v>
      </c>
      <c r="B4" s="1176"/>
    </row>
    <row r="5" ht="15.75">
      <c r="A5" s="29"/>
    </row>
    <row r="6" ht="12.75">
      <c r="B6" s="31" t="s">
        <v>210</v>
      </c>
    </row>
    <row r="7" spans="1:2" ht="15.75">
      <c r="A7" s="118" t="s">
        <v>211</v>
      </c>
      <c r="B7" s="246" t="s">
        <v>212</v>
      </c>
    </row>
    <row r="8" spans="1:2" ht="12.75">
      <c r="A8" s="247"/>
      <c r="B8" s="248" t="s">
        <v>39</v>
      </c>
    </row>
    <row r="9" spans="1:2" ht="12.75">
      <c r="A9" s="249" t="s">
        <v>213</v>
      </c>
      <c r="B9" s="201"/>
    </row>
    <row r="10" spans="1:2" ht="12.75">
      <c r="A10" s="88" t="s">
        <v>214</v>
      </c>
      <c r="B10" s="39">
        <v>1000</v>
      </c>
    </row>
    <row r="11" spans="1:2" ht="12.75">
      <c r="A11" s="194"/>
      <c r="B11" s="39"/>
    </row>
    <row r="12" spans="1:2" s="91" customFormat="1" ht="12.75">
      <c r="A12" s="249" t="s">
        <v>215</v>
      </c>
      <c r="B12" s="6">
        <f>SUM(B10:B11)</f>
        <v>1000</v>
      </c>
    </row>
    <row r="13" spans="1:2" ht="12.75">
      <c r="A13" s="194"/>
      <c r="B13" s="65"/>
    </row>
    <row r="14" spans="1:2" ht="12.75">
      <c r="A14" s="249" t="s">
        <v>216</v>
      </c>
      <c r="B14" s="6"/>
    </row>
    <row r="15" spans="1:2" ht="12.75">
      <c r="A15" s="88" t="s">
        <v>217</v>
      </c>
      <c r="B15" s="39">
        <v>5000</v>
      </c>
    </row>
    <row r="16" spans="1:2" ht="12.75">
      <c r="A16" s="88"/>
      <c r="B16" s="39"/>
    </row>
    <row r="17" spans="1:2" ht="12.75">
      <c r="A17" s="88"/>
      <c r="B17" s="39"/>
    </row>
    <row r="18" spans="1:2" ht="12.75">
      <c r="A18" s="249" t="s">
        <v>218</v>
      </c>
      <c r="B18" s="6">
        <f>SUM(B15:B16)</f>
        <v>5000</v>
      </c>
    </row>
    <row r="19" spans="1:2" ht="12.75">
      <c r="A19" s="88"/>
      <c r="B19" s="39"/>
    </row>
    <row r="20" spans="1:2" ht="12.75">
      <c r="A20" s="88"/>
      <c r="B20" s="39"/>
    </row>
    <row r="21" spans="1:2" ht="12.75">
      <c r="A21" s="250"/>
      <c r="B21" s="78"/>
    </row>
    <row r="22" spans="1:2" ht="12.75">
      <c r="A22" s="43" t="s">
        <v>219</v>
      </c>
      <c r="B22" s="16">
        <f>B12+B18</f>
        <v>6000</v>
      </c>
    </row>
    <row r="25" ht="12.75">
      <c r="B25" t="s">
        <v>220</v>
      </c>
    </row>
    <row r="27" spans="1:2" ht="12.75">
      <c r="A27" s="1181" t="s">
        <v>221</v>
      </c>
      <c r="B27" s="1181"/>
    </row>
    <row r="30" ht="12.75">
      <c r="B30" t="s">
        <v>210</v>
      </c>
    </row>
    <row r="31" spans="1:2" ht="30.75" customHeight="1">
      <c r="A31" s="251" t="s">
        <v>211</v>
      </c>
      <c r="B31" s="252" t="s">
        <v>178</v>
      </c>
    </row>
    <row r="32" spans="1:2" ht="12.75">
      <c r="A32" s="253"/>
      <c r="B32" s="162"/>
    </row>
    <row r="33" spans="1:2" ht="12.75">
      <c r="A33" s="253"/>
      <c r="B33" s="162"/>
    </row>
    <row r="34" spans="1:2" ht="12.75">
      <c r="A34" s="253"/>
      <c r="B34" s="162"/>
    </row>
    <row r="35" spans="1:2" ht="12.75">
      <c r="A35" s="254"/>
      <c r="B35" s="152"/>
    </row>
    <row r="36" spans="1:2" ht="12.75">
      <c r="A36" s="255" t="s">
        <v>222</v>
      </c>
      <c r="B36" s="256">
        <v>0</v>
      </c>
    </row>
    <row r="37" spans="1:2" ht="12.75">
      <c r="A37" s="257"/>
      <c r="B37" s="145"/>
    </row>
    <row r="38" spans="1:2" ht="12.75">
      <c r="A38" s="253" t="s">
        <v>177</v>
      </c>
      <c r="B38" s="162"/>
    </row>
    <row r="39" spans="1:2" ht="12.75">
      <c r="A39" s="253" t="s">
        <v>223</v>
      </c>
      <c r="B39" s="148">
        <v>1250</v>
      </c>
    </row>
    <row r="40" spans="1:2" ht="12.75">
      <c r="A40" s="254" t="s">
        <v>1257</v>
      </c>
      <c r="B40" s="258">
        <v>500</v>
      </c>
    </row>
    <row r="41" spans="1:2" ht="12.75">
      <c r="A41" s="254" t="s">
        <v>224</v>
      </c>
      <c r="B41" s="258"/>
    </row>
    <row r="42" spans="1:2" ht="12.75">
      <c r="A42" s="1115" t="s">
        <v>225</v>
      </c>
      <c r="B42" s="996">
        <f>SUM(B39:B41)</f>
        <v>1750</v>
      </c>
    </row>
    <row r="43" spans="1:2" ht="12.75">
      <c r="A43" s="257"/>
      <c r="B43" s="145"/>
    </row>
    <row r="44" spans="1:2" ht="12.75">
      <c r="A44" s="254"/>
      <c r="B44" s="152"/>
    </row>
    <row r="45" spans="1:2" ht="12.75">
      <c r="A45" s="1115" t="s">
        <v>226</v>
      </c>
      <c r="B45" s="996">
        <f>B36+B42</f>
        <v>1750</v>
      </c>
    </row>
  </sheetData>
  <sheetProtection/>
  <mergeCells count="2">
    <mergeCell ref="A4:B4"/>
    <mergeCell ref="A27:B27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28">
      <selection activeCell="F43" sqref="F43"/>
    </sheetView>
  </sheetViews>
  <sheetFormatPr defaultColWidth="9.140625" defaultRowHeight="12.75"/>
  <cols>
    <col min="1" max="1" width="39.57421875" style="0" customWidth="1"/>
    <col min="2" max="3" width="14.421875" style="0" customWidth="1"/>
    <col min="4" max="4" width="16.421875" style="0" customWidth="1"/>
  </cols>
  <sheetData>
    <row r="1" spans="1:4" ht="14.25">
      <c r="A1" s="1177" t="s">
        <v>227</v>
      </c>
      <c r="B1" s="1177"/>
      <c r="C1" s="1177"/>
      <c r="D1" s="1177"/>
    </row>
    <row r="2" spans="1:4" ht="15.75">
      <c r="A2" s="1176" t="s">
        <v>228</v>
      </c>
      <c r="B2" s="1176"/>
      <c r="C2" s="1176"/>
      <c r="D2" s="1176"/>
    </row>
    <row r="3" ht="12.75">
      <c r="D3" s="31" t="s">
        <v>33</v>
      </c>
    </row>
    <row r="4" spans="1:4" ht="15.75">
      <c r="A4" s="259" t="s">
        <v>229</v>
      </c>
      <c r="B4" s="33" t="s">
        <v>35</v>
      </c>
      <c r="C4" s="33" t="s">
        <v>230</v>
      </c>
      <c r="D4" s="260" t="s">
        <v>212</v>
      </c>
    </row>
    <row r="5" spans="1:4" ht="12.75">
      <c r="A5" s="261"/>
      <c r="B5" s="35" t="s">
        <v>39</v>
      </c>
      <c r="C5" s="35" t="s">
        <v>39</v>
      </c>
      <c r="D5" s="262" t="s">
        <v>39</v>
      </c>
    </row>
    <row r="6" spans="1:4" ht="15.75">
      <c r="A6" s="107" t="s">
        <v>231</v>
      </c>
      <c r="B6" s="263">
        <f>B7+B8</f>
        <v>27866</v>
      </c>
      <c r="C6" s="264">
        <f>C7+C8</f>
        <v>1443088</v>
      </c>
      <c r="D6" s="264">
        <f>D7+D8</f>
        <v>1470954</v>
      </c>
    </row>
    <row r="7" spans="1:4" ht="15.75">
      <c r="A7" s="265" t="s">
        <v>232</v>
      </c>
      <c r="B7" s="266">
        <f>'2_a_d_sz_ melléklet'!B11</f>
        <v>27866</v>
      </c>
      <c r="C7" s="266">
        <f>'2_a_d_sz_ melléklet'!C11</f>
        <v>247371</v>
      </c>
      <c r="D7" s="267">
        <f>SUM(B7:C7)</f>
        <v>275237</v>
      </c>
    </row>
    <row r="8" spans="1:4" s="81" customFormat="1" ht="15.75">
      <c r="A8" s="268" t="s">
        <v>233</v>
      </c>
      <c r="B8" s="269">
        <f>B9+B10+B11+B12</f>
        <v>0</v>
      </c>
      <c r="C8" s="270">
        <f>C9+C10+C11+C12</f>
        <v>1195717</v>
      </c>
      <c r="D8" s="270">
        <f>D9+D10+D11+D12</f>
        <v>1195717</v>
      </c>
    </row>
    <row r="9" spans="1:4" ht="15.75">
      <c r="A9" s="271" t="s">
        <v>234</v>
      </c>
      <c r="B9" s="272">
        <v>0</v>
      </c>
      <c r="C9" s="273">
        <f>'2_a_d_sz_ melléklet'!B47</f>
        <v>659000</v>
      </c>
      <c r="D9" s="274">
        <f>SUM(C9)</f>
        <v>659000</v>
      </c>
    </row>
    <row r="10" spans="1:4" ht="15.75">
      <c r="A10" s="275" t="s">
        <v>235</v>
      </c>
      <c r="B10" s="272">
        <v>0</v>
      </c>
      <c r="C10" s="276">
        <f>'2_a_d_sz_ melléklet'!B73</f>
        <v>507108</v>
      </c>
      <c r="D10" s="277">
        <f>SUM(C10)</f>
        <v>507108</v>
      </c>
    </row>
    <row r="11" spans="1:4" ht="15.75">
      <c r="A11" s="275" t="s">
        <v>236</v>
      </c>
      <c r="B11" s="272">
        <v>0</v>
      </c>
      <c r="C11" s="276">
        <f>'2_a_d_sz_ melléklet'!B48</f>
        <v>5000</v>
      </c>
      <c r="D11" s="277">
        <f>SUM(C11)</f>
        <v>5000</v>
      </c>
    </row>
    <row r="12" spans="1:4" ht="15.75">
      <c r="A12" s="278" t="s">
        <v>237</v>
      </c>
      <c r="B12" s="279">
        <v>0</v>
      </c>
      <c r="C12" s="280">
        <f>'2_a_d_sz_ melléklet'!B49</f>
        <v>24609</v>
      </c>
      <c r="D12" s="281">
        <f>SUM(C12)</f>
        <v>24609</v>
      </c>
    </row>
    <row r="13" spans="1:4" ht="15.75">
      <c r="A13" s="107" t="s">
        <v>238</v>
      </c>
      <c r="B13" s="282">
        <f>B14+B21+B26</f>
        <v>359408</v>
      </c>
      <c r="C13" s="283">
        <f>C14+C21+C26</f>
        <v>2232270.137</v>
      </c>
      <c r="D13" s="284">
        <f>SUM(B13:C13)</f>
        <v>2591678.137</v>
      </c>
    </row>
    <row r="14" spans="1:4" s="81" customFormat="1" ht="15.75">
      <c r="A14" s="265" t="s">
        <v>1132</v>
      </c>
      <c r="B14" s="266">
        <f>B15+B16+B17+B18+B19</f>
        <v>0</v>
      </c>
      <c r="C14" s="266">
        <f>C15+C16+C17+C18+C19+C20</f>
        <v>1929862.137</v>
      </c>
      <c r="D14" s="266">
        <f aca="true" t="shared" si="0" ref="D14:D20">SUM(C14)</f>
        <v>1929862.137</v>
      </c>
    </row>
    <row r="15" spans="1:4" ht="15.75">
      <c r="A15" s="285" t="s">
        <v>239</v>
      </c>
      <c r="B15" s="272">
        <v>0</v>
      </c>
      <c r="C15" s="272">
        <f>'2_e_1_sz_ melléklet'!B118</f>
        <v>1143689.137</v>
      </c>
      <c r="D15" s="272">
        <f t="shared" si="0"/>
        <v>1143689.137</v>
      </c>
    </row>
    <row r="16" spans="1:4" ht="15.75">
      <c r="A16" s="286" t="s">
        <v>240</v>
      </c>
      <c r="B16" s="272">
        <v>0</v>
      </c>
      <c r="C16" s="279">
        <f>'2_f_h_sz_ melléklet'!D33</f>
        <v>202660</v>
      </c>
      <c r="D16" s="272">
        <f t="shared" si="0"/>
        <v>202660</v>
      </c>
    </row>
    <row r="17" spans="1:4" ht="15.75">
      <c r="A17" s="287" t="s">
        <v>241</v>
      </c>
      <c r="B17" s="288">
        <v>0</v>
      </c>
      <c r="C17" s="288">
        <f>'2_f_h_sz_ melléklet'!D34</f>
        <v>252861</v>
      </c>
      <c r="D17" s="272">
        <f t="shared" si="0"/>
        <v>252861</v>
      </c>
    </row>
    <row r="18" spans="1:4" ht="15.75">
      <c r="A18" s="289" t="s">
        <v>242</v>
      </c>
      <c r="B18" s="272">
        <v>0</v>
      </c>
      <c r="C18" s="272">
        <f>'2_e_1_sz_ melléklet'!B133+'2_e_1_sz_ melléklet'!B143</f>
        <v>290735</v>
      </c>
      <c r="D18" s="272">
        <f t="shared" si="0"/>
        <v>290735</v>
      </c>
    </row>
    <row r="19" spans="1:4" ht="15.75">
      <c r="A19" s="846" t="s">
        <v>243</v>
      </c>
      <c r="B19" s="847">
        <v>0</v>
      </c>
      <c r="C19" s="847">
        <f>'2_f_h_sz_ melléklet'!D51</f>
        <v>10951</v>
      </c>
      <c r="D19" s="847">
        <f t="shared" si="0"/>
        <v>10951</v>
      </c>
    </row>
    <row r="20" spans="1:4" ht="15.75">
      <c r="A20" s="848" t="s">
        <v>1126</v>
      </c>
      <c r="B20" s="290"/>
      <c r="C20" s="290">
        <f>'2_f_h_sz_ melléklet'!D35</f>
        <v>28966</v>
      </c>
      <c r="D20" s="847">
        <f t="shared" si="0"/>
        <v>28966</v>
      </c>
    </row>
    <row r="21" spans="1:4" s="81" customFormat="1" ht="15.75">
      <c r="A21" s="265" t="s">
        <v>244</v>
      </c>
      <c r="B21" s="266">
        <f>B22+B24</f>
        <v>300720</v>
      </c>
      <c r="C21" s="266">
        <f>C22+C24</f>
        <v>302408</v>
      </c>
      <c r="D21" s="266">
        <f>D22+D24</f>
        <v>603128</v>
      </c>
    </row>
    <row r="22" spans="1:4" ht="15.75">
      <c r="A22" s="291" t="s">
        <v>245</v>
      </c>
      <c r="B22" s="272">
        <f>'2_f_h_sz_ melléklet'!B63</f>
        <v>300720</v>
      </c>
      <c r="C22" s="272">
        <f>'2_f_h_sz_ melléklet'!C68</f>
        <v>222443</v>
      </c>
      <c r="D22" s="272">
        <f>SUM(B22:C22)</f>
        <v>523163</v>
      </c>
    </row>
    <row r="23" spans="1:4" ht="15.75">
      <c r="A23" s="95" t="s">
        <v>246</v>
      </c>
      <c r="B23" s="279">
        <f>'2_k_ sz_ melléklet'!D18</f>
        <v>292558</v>
      </c>
      <c r="C23" s="279">
        <f>'2_k_ sz_ melléklet'!B64</f>
        <v>1501</v>
      </c>
      <c r="D23" s="272">
        <f>SUM(B23:C23)</f>
        <v>294059</v>
      </c>
    </row>
    <row r="24" spans="1:4" ht="15.75">
      <c r="A24" s="95" t="s">
        <v>247</v>
      </c>
      <c r="B24" s="288">
        <f>'2_f_h_sz_ melléklet'!B126</f>
        <v>0</v>
      </c>
      <c r="C24" s="288">
        <f>'2_f_h_sz_ melléklet'!C126</f>
        <v>79965</v>
      </c>
      <c r="D24" s="288">
        <f>SUM(B24:C24)</f>
        <v>79965</v>
      </c>
    </row>
    <row r="25" spans="1:4" ht="16.5" thickBot="1">
      <c r="A25" s="292" t="s">
        <v>246</v>
      </c>
      <c r="B25" s="293">
        <f>'2_k_ sz_ melléklet'!D20</f>
        <v>0</v>
      </c>
      <c r="C25" s="293"/>
      <c r="D25" s="279">
        <f>SUM(B25:C25)</f>
        <v>0</v>
      </c>
    </row>
    <row r="26" spans="1:4" s="81" customFormat="1" ht="16.5" thickBot="1">
      <c r="A26" s="294" t="s">
        <v>248</v>
      </c>
      <c r="B26" s="266">
        <f>'2_k_ sz_ melléklet'!D21</f>
        <v>58688</v>
      </c>
      <c r="C26" s="1062">
        <v>0</v>
      </c>
      <c r="D26" s="1064">
        <f>SUM(B26:C26)</f>
        <v>58688</v>
      </c>
    </row>
    <row r="27" spans="1:4" s="91" customFormat="1" ht="16.5" thickBot="1">
      <c r="A27" s="107" t="s">
        <v>249</v>
      </c>
      <c r="B27" s="263">
        <f>B28+B29+B31+B33</f>
        <v>1262</v>
      </c>
      <c r="C27" s="263">
        <f>C28+C30+C31+C33</f>
        <v>183697</v>
      </c>
      <c r="D27" s="1063">
        <f>D28+D30+D31+D33</f>
        <v>184959</v>
      </c>
    </row>
    <row r="28" spans="1:4" ht="15.75">
      <c r="A28" s="113" t="s">
        <v>250</v>
      </c>
      <c r="B28" s="290">
        <f>'2_i_j_sz_ mell_'!C22</f>
        <v>950</v>
      </c>
      <c r="C28" s="290">
        <f>'2_i_j_sz_ mell_'!D22</f>
        <v>3135</v>
      </c>
      <c r="D28" s="290">
        <f>'2_i_j_sz_ mell_'!E22</f>
        <v>4085</v>
      </c>
    </row>
    <row r="29" spans="1:4" ht="15.75">
      <c r="A29" s="295" t="s">
        <v>251</v>
      </c>
      <c r="B29" s="281"/>
      <c r="C29" s="281"/>
      <c r="D29" s="281"/>
    </row>
    <row r="30" spans="1:4" ht="15.75">
      <c r="A30" s="296" t="s">
        <v>252</v>
      </c>
      <c r="B30" s="274">
        <v>0</v>
      </c>
      <c r="C30" s="274">
        <f>'2_i_j_sz_ mell_'!E35</f>
        <v>172000</v>
      </c>
      <c r="D30" s="274">
        <f>SUM(C30)</f>
        <v>172000</v>
      </c>
    </row>
    <row r="31" spans="1:4" ht="15.75">
      <c r="A31" s="89" t="s">
        <v>253</v>
      </c>
      <c r="B31" s="290">
        <v>0</v>
      </c>
      <c r="C31" s="288">
        <f>'2_i_j_sz_ mell_'!E48</f>
        <v>811</v>
      </c>
      <c r="D31" s="288">
        <f>SUM(C31)</f>
        <v>811</v>
      </c>
    </row>
    <row r="32" spans="1:4" ht="15.75">
      <c r="A32" s="297" t="s">
        <v>254</v>
      </c>
      <c r="B32" s="281"/>
      <c r="C32" s="281"/>
      <c r="D32" s="281"/>
    </row>
    <row r="33" spans="1:4" ht="15.75">
      <c r="A33" s="298" t="s">
        <v>255</v>
      </c>
      <c r="B33" s="299">
        <f>'2_i_j_sz_ mell_'!C73</f>
        <v>312</v>
      </c>
      <c r="C33" s="299">
        <f>'2_i_j_sz_ mell_'!D73</f>
        <v>7751</v>
      </c>
      <c r="D33" s="299">
        <f>SUM(B33:C33)</f>
        <v>8063</v>
      </c>
    </row>
    <row r="34" spans="1:4" s="91" customFormat="1" ht="28.5" customHeight="1">
      <c r="A34" s="225" t="s">
        <v>256</v>
      </c>
      <c r="B34" s="263">
        <f>B35+B36+B37</f>
        <v>0</v>
      </c>
      <c r="C34" s="263">
        <f>C35+C36+C37</f>
        <v>279516</v>
      </c>
      <c r="D34" s="263">
        <f>D35+D36+D37</f>
        <v>279516</v>
      </c>
    </row>
    <row r="35" spans="1:4" ht="15.75">
      <c r="A35" s="300" t="s">
        <v>257</v>
      </c>
      <c r="B35" s="301">
        <v>0</v>
      </c>
      <c r="C35" s="302">
        <f>'2_i_j_sz_ mell_'!E85</f>
        <v>0</v>
      </c>
      <c r="D35" s="301">
        <f>SUM(B35:C35)</f>
        <v>0</v>
      </c>
    </row>
    <row r="36" spans="1:4" ht="15.75">
      <c r="A36" s="89" t="s">
        <v>258</v>
      </c>
      <c r="B36" s="288">
        <v>0</v>
      </c>
      <c r="C36" s="276">
        <f>'2_i_j_sz_ mell_'!E86</f>
        <v>4500</v>
      </c>
      <c r="D36" s="288">
        <f>SUM(B36:C36)</f>
        <v>4500</v>
      </c>
    </row>
    <row r="37" spans="1:4" ht="15.75">
      <c r="A37" s="89" t="s">
        <v>259</v>
      </c>
      <c r="B37" s="272">
        <v>0</v>
      </c>
      <c r="C37" s="303">
        <f>'2_i_j_sz_ mell_'!E87</f>
        <v>275016</v>
      </c>
      <c r="D37" s="293">
        <f>SUM(B37:C37)</f>
        <v>275016</v>
      </c>
    </row>
    <row r="38" spans="1:4" s="91" customFormat="1" ht="15.75">
      <c r="A38" s="107" t="s">
        <v>260</v>
      </c>
      <c r="B38" s="263">
        <f>B39</f>
        <v>25109</v>
      </c>
      <c r="C38" s="264">
        <f>C39</f>
        <v>153264</v>
      </c>
      <c r="D38" s="263">
        <f>D39</f>
        <v>178373</v>
      </c>
    </row>
    <row r="39" spans="1:4" ht="15.75">
      <c r="A39" s="304" t="s">
        <v>261</v>
      </c>
      <c r="B39" s="301">
        <f>B40+B41</f>
        <v>25109</v>
      </c>
      <c r="C39" s="305">
        <f>C40+C41</f>
        <v>153264</v>
      </c>
      <c r="D39" s="305">
        <f>D40+D41</f>
        <v>178373</v>
      </c>
    </row>
    <row r="40" spans="1:4" ht="15.75">
      <c r="A40" s="89" t="s">
        <v>262</v>
      </c>
      <c r="B40" s="288">
        <f>'2_k_ sz_ melléklet'!D33</f>
        <v>24559</v>
      </c>
      <c r="C40" s="288">
        <f>'2_k_ sz_ melléklet'!D79</f>
        <v>142523</v>
      </c>
      <c r="D40" s="288">
        <f>SUM(B40:C40)</f>
        <v>167082</v>
      </c>
    </row>
    <row r="41" spans="1:4" ht="15.75" customHeight="1">
      <c r="A41" s="854" t="s">
        <v>1129</v>
      </c>
      <c r="B41" s="293">
        <f>'2_k_ sz_ melléklet'!D34</f>
        <v>550</v>
      </c>
      <c r="C41" s="293">
        <f>'2_k_ sz_ melléklet'!D80</f>
        <v>10741</v>
      </c>
      <c r="D41" s="306">
        <f>SUM(B41:C41)</f>
        <v>11291</v>
      </c>
    </row>
    <row r="42" spans="1:4" s="91" customFormat="1" ht="29.25" customHeight="1">
      <c r="A42" s="307" t="s">
        <v>263</v>
      </c>
      <c r="B42" s="308">
        <f>B38+B34+B27+B13+B6</f>
        <v>413645</v>
      </c>
      <c r="C42" s="308">
        <f>C38+C34+C27+C13+C6</f>
        <v>4291835.137</v>
      </c>
      <c r="D42" s="308">
        <f>D38+D34+D27+D13+D6</f>
        <v>4705480.137</v>
      </c>
    </row>
    <row r="43" spans="1:4" s="91" customFormat="1" ht="15.75">
      <c r="A43" s="184" t="s">
        <v>264</v>
      </c>
      <c r="B43" s="309">
        <f>B44+B45</f>
        <v>0</v>
      </c>
      <c r="C43" s="310">
        <f>C44+C45</f>
        <v>253754.8629999999</v>
      </c>
      <c r="D43" s="310">
        <f>D44+D45</f>
        <v>253754.8629999999</v>
      </c>
    </row>
    <row r="44" spans="1:4" ht="15.75">
      <c r="A44" s="311" t="s">
        <v>265</v>
      </c>
      <c r="B44" s="301">
        <v>0</v>
      </c>
      <c r="C44" s="312">
        <f>'7_sz_ melléklet'!B25</f>
        <v>227406.8629999999</v>
      </c>
      <c r="D44" s="313">
        <f>SUM(B44:C44)</f>
        <v>227406.8629999999</v>
      </c>
    </row>
    <row r="45" spans="1:4" ht="15.75">
      <c r="A45" s="88" t="s">
        <v>266</v>
      </c>
      <c r="B45" s="272">
        <f>'2_k_ sz_ melléklet'!D42</f>
        <v>0</v>
      </c>
      <c r="C45" s="288">
        <f>'7_sz_ melléklet'!B49</f>
        <v>26348</v>
      </c>
      <c r="D45" s="314">
        <f>SUM(B45:C45)</f>
        <v>26348</v>
      </c>
    </row>
    <row r="46" spans="1:4" s="91" customFormat="1" ht="15.75">
      <c r="A46" s="90" t="s">
        <v>267</v>
      </c>
      <c r="B46" s="308">
        <f>B43+B42</f>
        <v>413645</v>
      </c>
      <c r="C46" s="308">
        <f>C43+C42</f>
        <v>4545590</v>
      </c>
      <c r="D46" s="315">
        <f>D43+D42</f>
        <v>4959235</v>
      </c>
    </row>
  </sheetData>
  <sheetProtection/>
  <mergeCells count="2">
    <mergeCell ref="A1:D1"/>
    <mergeCell ref="A2:D2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1">
      <selection activeCell="A76" sqref="A1:D76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3.00390625" style="0" customWidth="1"/>
    <col min="4" max="4" width="13.8515625" style="0" customWidth="1"/>
  </cols>
  <sheetData>
    <row r="1" spans="1:4" ht="15">
      <c r="A1" s="1185" t="s">
        <v>268</v>
      </c>
      <c r="B1" s="1185"/>
      <c r="C1" s="1185"/>
      <c r="D1" s="1185"/>
    </row>
    <row r="2" spans="3:4" ht="14.25" customHeight="1">
      <c r="C2" s="30"/>
      <c r="D2" s="316" t="s">
        <v>269</v>
      </c>
    </row>
    <row r="3" spans="1:4" ht="15.75">
      <c r="A3" s="1176" t="s">
        <v>270</v>
      </c>
      <c r="B3" s="1176"/>
      <c r="C3" s="1176"/>
      <c r="D3" s="1176"/>
    </row>
    <row r="4" ht="12.75">
      <c r="D4" s="31" t="s">
        <v>33</v>
      </c>
    </row>
    <row r="5" spans="1:4" ht="26.25">
      <c r="A5" s="259" t="s">
        <v>229</v>
      </c>
      <c r="B5" s="317" t="s">
        <v>84</v>
      </c>
      <c r="C5" s="318" t="s">
        <v>271</v>
      </c>
      <c r="D5" s="318" t="s">
        <v>178</v>
      </c>
    </row>
    <row r="6" spans="1:4" ht="12.75">
      <c r="A6" s="319" t="s">
        <v>272</v>
      </c>
      <c r="B6" s="76">
        <f>'2_k_ sz_ melléklet'!D10</f>
        <v>0</v>
      </c>
      <c r="C6" s="196">
        <f>'2_k_ sz_ melléklet'!D56</f>
        <v>6615</v>
      </c>
      <c r="D6" s="196">
        <f>SUM(B6:C6)</f>
        <v>6615</v>
      </c>
    </row>
    <row r="7" spans="1:4" ht="12.75">
      <c r="A7" s="71" t="s">
        <v>273</v>
      </c>
      <c r="B7" s="76">
        <f>'2_k_ sz_ melléklet'!D11</f>
        <v>27266</v>
      </c>
      <c r="C7" s="130">
        <f>'2_k_ sz_ melléklet'!D57</f>
        <v>159507</v>
      </c>
      <c r="D7" s="130">
        <f>SUM(B7:C7)</f>
        <v>186773</v>
      </c>
    </row>
    <row r="8" spans="1:4" ht="12.75">
      <c r="A8" s="289" t="s">
        <v>274</v>
      </c>
      <c r="B8" s="76">
        <f>'2_k_ sz_ melléklet'!D12</f>
        <v>0</v>
      </c>
      <c r="C8" s="130">
        <f>'2_k_ sz_ melléklet'!D58</f>
        <v>74108</v>
      </c>
      <c r="D8" s="130">
        <f>SUM(B8:C8)</f>
        <v>74108</v>
      </c>
    </row>
    <row r="9" spans="1:4" ht="12.75">
      <c r="A9" s="320" t="s">
        <v>275</v>
      </c>
      <c r="B9" s="76">
        <f>'2_k_ sz_ melléklet'!D13</f>
        <v>540</v>
      </c>
      <c r="C9" s="130">
        <f>'2_k_ sz_ melléklet'!D59</f>
        <v>2628</v>
      </c>
      <c r="D9" s="130">
        <f>SUM(B9:C9)</f>
        <v>3168</v>
      </c>
    </row>
    <row r="10" spans="1:4" ht="12.75">
      <c r="A10" s="289" t="s">
        <v>276</v>
      </c>
      <c r="B10" s="76">
        <f>'2_k_ sz_ melléklet'!D14</f>
        <v>60</v>
      </c>
      <c r="C10" s="321">
        <f>'2_k_ sz_ melléklet'!D60</f>
        <v>4513</v>
      </c>
      <c r="D10" s="322">
        <f>C10+B10</f>
        <v>4573</v>
      </c>
    </row>
    <row r="11" spans="1:4" ht="13.5" thickBot="1">
      <c r="A11" s="90" t="s">
        <v>277</v>
      </c>
      <c r="B11" s="74">
        <f>SUM(B6:B10)</f>
        <v>27866</v>
      </c>
      <c r="C11" s="241">
        <f>SUM(C6:C10)</f>
        <v>247371</v>
      </c>
      <c r="D11" s="16">
        <f>SUM(D6:D10)</f>
        <v>275237</v>
      </c>
    </row>
    <row r="12" spans="1:4" ht="12.75">
      <c r="A12" s="323"/>
      <c r="B12" s="199"/>
      <c r="C12" s="859"/>
      <c r="D12" s="859"/>
    </row>
    <row r="13" spans="1:4" ht="15">
      <c r="A13" s="1185" t="s">
        <v>278</v>
      </c>
      <c r="B13" s="1185"/>
      <c r="C13" s="1185"/>
      <c r="D13" s="1185"/>
    </row>
    <row r="14" spans="1:4" ht="11.25" customHeight="1">
      <c r="A14" s="323"/>
      <c r="B14" s="37"/>
      <c r="C14" s="83"/>
      <c r="D14" s="83"/>
    </row>
    <row r="15" spans="1:4" ht="15.75">
      <c r="A15" s="1176" t="s">
        <v>279</v>
      </c>
      <c r="B15" s="1176"/>
      <c r="C15" s="1176"/>
      <c r="D15" s="1176"/>
    </row>
    <row r="16" spans="1:4" ht="12.75">
      <c r="A16" s="323"/>
      <c r="B16" s="37"/>
      <c r="D16" s="31" t="s">
        <v>33</v>
      </c>
    </row>
    <row r="17" spans="1:4" ht="27" thickBot="1">
      <c r="A17" s="861" t="s">
        <v>229</v>
      </c>
      <c r="B17" s="862" t="s">
        <v>84</v>
      </c>
      <c r="C17" s="863" t="s">
        <v>271</v>
      </c>
      <c r="D17" s="864" t="s">
        <v>178</v>
      </c>
    </row>
    <row r="18" spans="1:4" s="81" customFormat="1" ht="13.5" thickBot="1">
      <c r="A18" s="1072" t="s">
        <v>280</v>
      </c>
      <c r="B18" s="1073">
        <v>60</v>
      </c>
      <c r="C18" s="1074"/>
      <c r="D18" s="1075">
        <f aca="true" t="shared" si="0" ref="D18:D33">SUM(B18:C18)</f>
        <v>60</v>
      </c>
    </row>
    <row r="19" spans="1:4" s="81" customFormat="1" ht="13.5" thickBot="1">
      <c r="A19" s="1076" t="s">
        <v>1219</v>
      </c>
      <c r="B19" s="996">
        <f>SUM(B18)</f>
        <v>60</v>
      </c>
      <c r="C19" s="996"/>
      <c r="D19" s="996">
        <f>SUM(D18)</f>
        <v>60</v>
      </c>
    </row>
    <row r="20" spans="1:4" s="81" customFormat="1" ht="12.75">
      <c r="A20" s="1121" t="s">
        <v>1268</v>
      </c>
      <c r="B20" s="1120"/>
      <c r="C20" s="1122">
        <v>75</v>
      </c>
      <c r="D20" s="1069">
        <f t="shared" si="0"/>
        <v>75</v>
      </c>
    </row>
    <row r="21" spans="1:4" s="81" customFormat="1" ht="13.5" thickBot="1">
      <c r="A21" s="865" t="s">
        <v>1218</v>
      </c>
      <c r="B21" s="1067"/>
      <c r="C21" s="1068">
        <v>1250</v>
      </c>
      <c r="D21" s="1069">
        <f t="shared" si="0"/>
        <v>1250</v>
      </c>
    </row>
    <row r="22" spans="1:4" s="81" customFormat="1" ht="13.5" thickBot="1">
      <c r="A22" s="844" t="s">
        <v>374</v>
      </c>
      <c r="B22" s="996"/>
      <c r="C22" s="775">
        <f>SUM(C20:C21)</f>
        <v>1325</v>
      </c>
      <c r="D22" s="996">
        <f>SUM(D20:D21)</f>
        <v>1325</v>
      </c>
    </row>
    <row r="23" spans="1:4" s="81" customFormat="1" ht="12.75">
      <c r="A23" s="1066" t="s">
        <v>1119</v>
      </c>
      <c r="B23" s="1070">
        <v>0</v>
      </c>
      <c r="C23" s="1071">
        <v>800</v>
      </c>
      <c r="D23" s="1069">
        <f t="shared" si="0"/>
        <v>800</v>
      </c>
    </row>
    <row r="24" spans="1:4" s="81" customFormat="1" ht="13.5" thickBot="1">
      <c r="A24" s="865" t="s">
        <v>1120</v>
      </c>
      <c r="B24" s="856"/>
      <c r="C24" s="774">
        <v>250</v>
      </c>
      <c r="D24" s="1022">
        <f t="shared" si="0"/>
        <v>250</v>
      </c>
    </row>
    <row r="25" spans="1:4" s="81" customFormat="1" ht="13.5" thickBot="1">
      <c r="A25" s="844" t="s">
        <v>1217</v>
      </c>
      <c r="B25" s="996"/>
      <c r="C25" s="775">
        <f>SUM(C23:C24)</f>
        <v>1050</v>
      </c>
      <c r="D25" s="996">
        <f>SUM(D23:D24)</f>
        <v>1050</v>
      </c>
    </row>
    <row r="26" spans="1:4" s="81" customFormat="1" ht="12.75">
      <c r="A26" s="1066" t="s">
        <v>1098</v>
      </c>
      <c r="B26" s="1067"/>
      <c r="C26" s="1068">
        <v>550</v>
      </c>
      <c r="D26" s="1069">
        <f t="shared" si="0"/>
        <v>550</v>
      </c>
    </row>
    <row r="27" spans="1:4" s="81" customFormat="1" ht="12.75">
      <c r="A27" s="867" t="s">
        <v>1159</v>
      </c>
      <c r="B27" s="856"/>
      <c r="C27" s="774">
        <v>950</v>
      </c>
      <c r="D27" s="866">
        <f t="shared" si="0"/>
        <v>950</v>
      </c>
    </row>
    <row r="28" spans="1:4" s="81" customFormat="1" ht="12.75">
      <c r="A28" s="867" t="s">
        <v>1182</v>
      </c>
      <c r="B28" s="856"/>
      <c r="C28" s="774">
        <v>300</v>
      </c>
      <c r="D28" s="866">
        <f>SUM(B28:C28)</f>
        <v>300</v>
      </c>
    </row>
    <row r="29" spans="1:4" s="81" customFormat="1" ht="12.75">
      <c r="A29" s="867" t="s">
        <v>1183</v>
      </c>
      <c r="B29" s="856"/>
      <c r="C29" s="774">
        <v>145</v>
      </c>
      <c r="D29" s="866">
        <f>SUM(B29:C29)</f>
        <v>145</v>
      </c>
    </row>
    <row r="30" spans="1:4" s="81" customFormat="1" ht="12.75">
      <c r="A30" s="867" t="s">
        <v>1184</v>
      </c>
      <c r="B30" s="856"/>
      <c r="C30" s="774">
        <v>99</v>
      </c>
      <c r="D30" s="866">
        <f>SUM(B30:C30)</f>
        <v>99</v>
      </c>
    </row>
    <row r="31" spans="1:4" s="81" customFormat="1" ht="12.75">
      <c r="A31" s="867" t="s">
        <v>1099</v>
      </c>
      <c r="B31" s="856"/>
      <c r="C31" s="774">
        <v>14</v>
      </c>
      <c r="D31" s="866">
        <f t="shared" si="0"/>
        <v>14</v>
      </c>
    </row>
    <row r="32" spans="1:4" s="81" customFormat="1" ht="13.5" thickBot="1">
      <c r="A32" s="868" t="s">
        <v>1100</v>
      </c>
      <c r="B32" s="856"/>
      <c r="C32" s="774">
        <v>80</v>
      </c>
      <c r="D32" s="866">
        <f t="shared" si="0"/>
        <v>80</v>
      </c>
    </row>
    <row r="33" spans="1:4" ht="13.5" thickBot="1">
      <c r="A33" s="855" t="s">
        <v>1097</v>
      </c>
      <c r="B33" s="857"/>
      <c r="C33" s="775">
        <f>SUM(C26:C32)</f>
        <v>2138</v>
      </c>
      <c r="D33" s="776">
        <f t="shared" si="0"/>
        <v>2138</v>
      </c>
    </row>
    <row r="34" spans="1:4" ht="26.25" thickBot="1">
      <c r="A34" s="869" t="s">
        <v>279</v>
      </c>
      <c r="B34" s="1127">
        <f>B19+B22+B25+B33</f>
        <v>60</v>
      </c>
      <c r="C34" s="870">
        <f>C19+C22+C25+C33</f>
        <v>4513</v>
      </c>
      <c r="D34" s="870">
        <f>D19+D22+D25+D33</f>
        <v>4573</v>
      </c>
    </row>
    <row r="35" spans="1:4" ht="11.25" customHeight="1">
      <c r="A35" s="323"/>
      <c r="B35" s="37"/>
      <c r="C35" s="37"/>
      <c r="D35" s="37"/>
    </row>
    <row r="36" spans="1:4" ht="15">
      <c r="A36" s="325"/>
      <c r="B36" s="325" t="s">
        <v>281</v>
      </c>
      <c r="D36" s="26"/>
    </row>
    <row r="37" spans="1:4" ht="15.75">
      <c r="A37" s="1176" t="s">
        <v>282</v>
      </c>
      <c r="B37" s="1176"/>
      <c r="C37" s="326"/>
      <c r="D37" s="326"/>
    </row>
    <row r="38" spans="1:4" ht="14.25">
      <c r="A38" s="323"/>
      <c r="B38" s="226" t="s">
        <v>80</v>
      </c>
      <c r="C38" s="326"/>
      <c r="D38" s="326"/>
    </row>
    <row r="39" spans="1:4" ht="15.75">
      <c r="A39" s="327" t="s">
        <v>229</v>
      </c>
      <c r="B39" s="33" t="s">
        <v>212</v>
      </c>
      <c r="C39" s="323"/>
      <c r="D39" s="323"/>
    </row>
    <row r="40" spans="1:4" ht="12.75">
      <c r="A40" s="250"/>
      <c r="B40" s="35" t="s">
        <v>283</v>
      </c>
      <c r="C40" s="323"/>
      <c r="D40" s="323"/>
    </row>
    <row r="41" spans="1:4" ht="12.75">
      <c r="A41" s="70" t="s">
        <v>284</v>
      </c>
      <c r="B41" s="69">
        <v>95000</v>
      </c>
      <c r="C41" s="37"/>
      <c r="D41" s="37"/>
    </row>
    <row r="42" spans="1:4" ht="12.75">
      <c r="A42" s="70" t="s">
        <v>285</v>
      </c>
      <c r="B42" s="48">
        <v>0</v>
      </c>
      <c r="C42" s="37"/>
      <c r="D42" s="37"/>
    </row>
    <row r="43" spans="1:4" ht="12.75">
      <c r="A43" s="70" t="s">
        <v>286</v>
      </c>
      <c r="B43" s="48">
        <v>0</v>
      </c>
      <c r="C43" s="37"/>
      <c r="D43" s="37"/>
    </row>
    <row r="44" spans="1:4" ht="12.75">
      <c r="A44" s="88" t="s">
        <v>287</v>
      </c>
      <c r="B44" s="39">
        <v>18000</v>
      </c>
      <c r="C44" s="37"/>
      <c r="D44" s="37"/>
    </row>
    <row r="45" spans="1:4" ht="26.25" customHeight="1">
      <c r="A45" s="328" t="s">
        <v>288</v>
      </c>
      <c r="B45" s="329">
        <v>545000</v>
      </c>
      <c r="C45" s="330"/>
      <c r="D45" s="330"/>
    </row>
    <row r="46" spans="1:4" ht="25.5" customHeight="1">
      <c r="A46" s="328" t="s">
        <v>289</v>
      </c>
      <c r="B46" s="331">
        <v>1000</v>
      </c>
      <c r="C46" s="330"/>
      <c r="D46" s="330"/>
    </row>
    <row r="47" spans="1:4" ht="12.75">
      <c r="A47" s="66" t="s">
        <v>290</v>
      </c>
      <c r="B47" s="201">
        <f>SUM(B41:B46)</f>
        <v>659000</v>
      </c>
      <c r="C47" s="330"/>
      <c r="D47" s="330"/>
    </row>
    <row r="48" spans="1:4" ht="12.75">
      <c r="A48" s="332" t="s">
        <v>291</v>
      </c>
      <c r="B48" s="16">
        <v>5000</v>
      </c>
      <c r="C48" s="37"/>
      <c r="D48" s="37"/>
    </row>
    <row r="49" spans="1:4" ht="12.75">
      <c r="A49" s="333" t="s">
        <v>292</v>
      </c>
      <c r="B49" s="334">
        <f>24564+45</f>
        <v>24609</v>
      </c>
      <c r="C49" s="37"/>
      <c r="D49" s="37"/>
    </row>
    <row r="50" spans="1:4" ht="13.5" thickBot="1">
      <c r="A50" s="332" t="s">
        <v>293</v>
      </c>
      <c r="B50" s="335">
        <v>1000</v>
      </c>
      <c r="C50" s="37"/>
      <c r="D50" s="37"/>
    </row>
    <row r="51" spans="1:4" ht="12.75">
      <c r="A51" s="860"/>
      <c r="B51" s="37"/>
      <c r="C51" s="37"/>
      <c r="D51" s="37"/>
    </row>
    <row r="52" spans="1:4" ht="12.75">
      <c r="A52" s="860"/>
      <c r="B52" s="37"/>
      <c r="C52" s="37"/>
      <c r="D52" s="37"/>
    </row>
    <row r="53" spans="1:4" ht="12.75">
      <c r="A53" s="860"/>
      <c r="B53" s="37"/>
      <c r="C53" s="37"/>
      <c r="D53" s="37"/>
    </row>
    <row r="54" spans="1:4" ht="12.75">
      <c r="A54" s="860"/>
      <c r="B54" s="37"/>
      <c r="C54" s="37"/>
      <c r="D54" s="37"/>
    </row>
    <row r="55" spans="1:4" ht="12.75">
      <c r="A55" s="860"/>
      <c r="B55" s="37"/>
      <c r="C55" s="37"/>
      <c r="D55" s="37"/>
    </row>
    <row r="56" spans="1:4" ht="12.75">
      <c r="A56" s="860"/>
      <c r="B56" s="37"/>
      <c r="C56" s="37"/>
      <c r="D56" s="37"/>
    </row>
    <row r="57" spans="1:4" ht="12.75">
      <c r="A57" s="860"/>
      <c r="B57" s="37"/>
      <c r="C57" s="37"/>
      <c r="D57" s="37"/>
    </row>
    <row r="58" spans="1:4" ht="12.75">
      <c r="A58" s="860"/>
      <c r="B58" s="37"/>
      <c r="C58" s="37"/>
      <c r="D58" s="37"/>
    </row>
    <row r="59" spans="1:4" ht="12.75">
      <c r="A59" s="860"/>
      <c r="B59" s="37"/>
      <c r="C59" s="37"/>
      <c r="D59" s="37"/>
    </row>
    <row r="60" spans="1:4" ht="12.75">
      <c r="A60" s="860"/>
      <c r="B60" s="37"/>
      <c r="C60" s="37"/>
      <c r="D60" s="37"/>
    </row>
    <row r="61" spans="1:4" ht="15">
      <c r="A61" s="323"/>
      <c r="B61" s="336" t="s">
        <v>294</v>
      </c>
      <c r="C61" s="37"/>
      <c r="D61" s="37"/>
    </row>
    <row r="62" spans="1:2" ht="15.75">
      <c r="A62" s="1176" t="s">
        <v>295</v>
      </c>
      <c r="B62" s="1176"/>
    </row>
    <row r="63" spans="1:4" ht="14.25">
      <c r="A63" s="323"/>
      <c r="B63" s="37"/>
      <c r="C63" s="326"/>
      <c r="D63" s="326"/>
    </row>
    <row r="64" spans="1:4" ht="14.25">
      <c r="A64" s="323"/>
      <c r="B64" s="226" t="s">
        <v>80</v>
      </c>
      <c r="C64" s="326"/>
      <c r="D64" s="326"/>
    </row>
    <row r="65" spans="1:4" ht="26.25">
      <c r="A65" s="327" t="s">
        <v>229</v>
      </c>
      <c r="B65" s="191" t="s">
        <v>178</v>
      </c>
      <c r="C65" s="326"/>
      <c r="D65" s="326"/>
    </row>
    <row r="66" spans="1:4" ht="12.75">
      <c r="A66" s="304" t="s">
        <v>296</v>
      </c>
      <c r="B66" s="69">
        <v>190789</v>
      </c>
      <c r="C66" s="323"/>
      <c r="D66" s="323"/>
    </row>
    <row r="67" spans="1:4" ht="12.75">
      <c r="A67" s="71" t="s">
        <v>297</v>
      </c>
      <c r="B67" s="48">
        <f>241339-20020</f>
        <v>221319</v>
      </c>
      <c r="C67" s="37"/>
      <c r="D67" s="37"/>
    </row>
    <row r="68" spans="1:4" ht="12.75">
      <c r="A68" s="70" t="s">
        <v>298</v>
      </c>
      <c r="B68" s="48"/>
      <c r="C68" s="37"/>
      <c r="D68" s="37"/>
    </row>
    <row r="69" spans="1:4" ht="12.75">
      <c r="A69" s="70" t="s">
        <v>299</v>
      </c>
      <c r="B69" s="48">
        <v>95000</v>
      </c>
      <c r="C69" s="37"/>
      <c r="D69" s="37"/>
    </row>
    <row r="70" spans="1:4" ht="12.75">
      <c r="A70" s="70" t="s">
        <v>300</v>
      </c>
      <c r="B70" s="48">
        <v>0</v>
      </c>
      <c r="C70" s="37"/>
      <c r="D70" s="37"/>
    </row>
    <row r="71" spans="1:4" ht="12.75">
      <c r="A71" s="88" t="s">
        <v>301</v>
      </c>
      <c r="B71" s="39">
        <v>0</v>
      </c>
      <c r="C71" s="37"/>
      <c r="D71" s="37"/>
    </row>
    <row r="72" spans="1:4" ht="12.75">
      <c r="A72" s="337" t="s">
        <v>302</v>
      </c>
      <c r="B72" s="322">
        <v>0</v>
      </c>
      <c r="C72" s="37"/>
      <c r="D72" s="37"/>
    </row>
    <row r="73" spans="1:4" ht="12.75">
      <c r="A73" s="90" t="s">
        <v>303</v>
      </c>
      <c r="B73" s="16">
        <f>SUM(B66:B72)</f>
        <v>507108</v>
      </c>
      <c r="C73" s="330"/>
      <c r="D73" s="330"/>
    </row>
    <row r="74" spans="3:4" ht="12.75">
      <c r="C74" s="37"/>
      <c r="D74" s="37"/>
    </row>
  </sheetData>
  <sheetProtection/>
  <mergeCells count="6">
    <mergeCell ref="A1:D1"/>
    <mergeCell ref="A3:D3"/>
    <mergeCell ref="A13:D13"/>
    <mergeCell ref="A15:D15"/>
    <mergeCell ref="A37:B37"/>
    <mergeCell ref="A62:B62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Mezőkövesd</cp:lastModifiedBy>
  <cp:lastPrinted>2010-03-18T12:55:19Z</cp:lastPrinted>
  <dcterms:created xsi:type="dcterms:W3CDTF">2009-09-16T12:04:45Z</dcterms:created>
  <dcterms:modified xsi:type="dcterms:W3CDTF">2010-03-19T11:59:05Z</dcterms:modified>
  <cp:category/>
  <cp:version/>
  <cp:contentType/>
  <cp:contentStatus/>
</cp:coreProperties>
</file>