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1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75" windowWidth="15180" windowHeight="7230" firstSheet="8" activeTab="11"/>
  </bookViews>
  <sheets>
    <sheet name="1_sz_ melléklet" sheetId="1" r:id="rId1"/>
    <sheet name="1_a_sz_ melléklet" sheetId="2" r:id="rId2"/>
    <sheet name="1_b_sz_melléklet" sheetId="3" r:id="rId3"/>
    <sheet name="1_c_sz_ melléklet" sheetId="4" r:id="rId4"/>
    <sheet name="1_d_sz_melléklet" sheetId="5" r:id="rId5"/>
    <sheet name="1_e_f_sz_melléklet" sheetId="6" r:id="rId6"/>
    <sheet name="1_g_h_sz_melléklet" sheetId="7" r:id="rId7"/>
    <sheet name="2_sz_ melléklet" sheetId="8" r:id="rId8"/>
    <sheet name="2_a_d_sz_ melléklet" sheetId="9" r:id="rId9"/>
    <sheet name="2_f_h_sz_ melléklet" sheetId="10" r:id="rId10"/>
    <sheet name="2_i_j_sz_ mell_" sheetId="11" r:id="rId11"/>
    <sheet name="2_k_ sz_ melléklet" sheetId="12" r:id="rId12"/>
    <sheet name="2_l_sz_ melléklet" sheetId="13" r:id="rId13"/>
    <sheet name="2_m_n_sz_ melléklet" sheetId="14" r:id="rId14"/>
    <sheet name="3_sz_ melléklet" sheetId="15" r:id="rId15"/>
    <sheet name="4_sz_ melléklet" sheetId="16" r:id="rId16"/>
    <sheet name="5_sz_ melléklet" sheetId="17" r:id="rId17"/>
    <sheet name="6_sz_ melléklet" sheetId="18" r:id="rId18"/>
    <sheet name="7_sz_ melléklet" sheetId="19" r:id="rId19"/>
    <sheet name="8_sz_ melléklet" sheetId="20" r:id="rId20"/>
    <sheet name="9_sz_ melléklet" sheetId="21" r:id="rId21"/>
    <sheet name="10_ sz_ melléklet" sheetId="22" r:id="rId22"/>
    <sheet name="11_sz_ melléklet" sheetId="23" r:id="rId23"/>
    <sheet name="12_sz_ melléklet" sheetId="24" r:id="rId24"/>
    <sheet name="13_sz_ melléklet" sheetId="25" r:id="rId25"/>
    <sheet name="14_15_sz_ melléklet" sheetId="26" r:id="rId26"/>
    <sheet name="16_17_sz_ melléklet" sheetId="27" r:id="rId27"/>
    <sheet name="18_19_ sz_ melléklet" sheetId="28" r:id="rId28"/>
    <sheet name="20_ sz_ melléklet" sheetId="29" r:id="rId29"/>
    <sheet name="1_ sz_ tájékoztató" sheetId="30" r:id="rId30"/>
    <sheet name="2_ sz_ tájékoztató" sheetId="31" r:id="rId31"/>
    <sheet name="3_ sz_ tájékoztató" sheetId="32" r:id="rId32"/>
    <sheet name="2_e_1_sz_ melléklet" sheetId="33" r:id="rId33"/>
  </sheets>
  <externalReferences>
    <externalReference r:id="rId36"/>
  </externalReferences>
  <definedNames/>
  <calcPr fullCalcOnLoad="1"/>
</workbook>
</file>

<file path=xl/sharedStrings.xml><?xml version="1.0" encoding="utf-8"?>
<sst xmlns="http://schemas.openxmlformats.org/spreadsheetml/2006/main" count="2044" uniqueCount="1156">
  <si>
    <t>1. sz. melléklet</t>
  </si>
  <si>
    <t>Költségvetés mérlege</t>
  </si>
  <si>
    <t>2009. év</t>
  </si>
  <si>
    <t>BEVÉTEL</t>
  </si>
  <si>
    <t>KIADÁS</t>
  </si>
  <si>
    <t>Megnevezés</t>
  </si>
  <si>
    <t>Előirányzat</t>
  </si>
  <si>
    <t>I. Működési bevételek</t>
  </si>
  <si>
    <t>I. Működési kiadások</t>
  </si>
  <si>
    <t xml:space="preserve">   Ebből: Műk.c.pénzeszk. átv. államházt. kívülről</t>
  </si>
  <si>
    <t>II. Támogatások, támogatás értékű bevételek, visszatérülések</t>
  </si>
  <si>
    <t>II. Felhalmozási kiadások</t>
  </si>
  <si>
    <t>III. Felhalmozási és tőke jellegű bevételek</t>
  </si>
  <si>
    <t>III. Támogatás értékű kiadás államháztartáson belülre</t>
  </si>
  <si>
    <t xml:space="preserve">   Ebből: Felh.c.pénzeszk. átv. államházt. kívülről</t>
  </si>
  <si>
    <t>IV. Támogatási kölcsönök visszatérülése, értékpapírok értékesítésének, kibocsátásának bevétele</t>
  </si>
  <si>
    <t>IV. Pénzeszközátadás államháztartáson kívülre</t>
  </si>
  <si>
    <t>V. Pénzforgalom nélküli bevételek</t>
  </si>
  <si>
    <t>V. Nyújtott kölcsönök</t>
  </si>
  <si>
    <t>VI. Tartalékok</t>
  </si>
  <si>
    <t xml:space="preserve">      Általános tartalék</t>
  </si>
  <si>
    <t xml:space="preserve">      Céltartalék</t>
  </si>
  <si>
    <t>Költségvetési bevételek összesen</t>
  </si>
  <si>
    <t>Költségvetési kiadások összesen</t>
  </si>
  <si>
    <t>VI. Hitelfelvétel</t>
  </si>
  <si>
    <t>VII. Hiteltörlesztés</t>
  </si>
  <si>
    <t xml:space="preserve">      Ebből: -működési célú</t>
  </si>
  <si>
    <t xml:space="preserve">                 -felhalmozási célú</t>
  </si>
  <si>
    <t xml:space="preserve">                  -felhalmozási célú</t>
  </si>
  <si>
    <t>Bevételek mindösszesen</t>
  </si>
  <si>
    <t>Kiadások mindösszesen</t>
  </si>
  <si>
    <t xml:space="preserve">   1/a. sz. melléklet</t>
  </si>
  <si>
    <t>Az önkormányzat 2009. évi kiadási előirányzatai összesen</t>
  </si>
  <si>
    <t>Ezer Ft-ban</t>
  </si>
  <si>
    <t>KIADÁSOK</t>
  </si>
  <si>
    <t xml:space="preserve">Intézmények </t>
  </si>
  <si>
    <t xml:space="preserve">Polgármesteri </t>
  </si>
  <si>
    <t xml:space="preserve">ÖNKORMÁNYZAT </t>
  </si>
  <si>
    <t>JOGCÍMEI</t>
  </si>
  <si>
    <t>összesen</t>
  </si>
  <si>
    <t>hivatal összesen</t>
  </si>
  <si>
    <t>ÖSSZESEN</t>
  </si>
  <si>
    <t>MŰKÖDÉSI KIADÁSOK</t>
  </si>
  <si>
    <t>1. Személyi juttatás</t>
  </si>
  <si>
    <t>2. Munkaadót terh. járulékok</t>
  </si>
  <si>
    <t>3. Dologi kiadás</t>
  </si>
  <si>
    <t xml:space="preserve">    Ebből: hosszú lej. hitel kamata</t>
  </si>
  <si>
    <t>4. Ellátottak pénzbeli juttatásai</t>
  </si>
  <si>
    <t>5. Speciális célú támogatás</t>
  </si>
  <si>
    <r>
      <t xml:space="preserve">       -</t>
    </r>
    <r>
      <rPr>
        <sz val="10"/>
        <rFont val="Arial CE"/>
        <family val="2"/>
      </rPr>
      <t xml:space="preserve"> Társadalom-, szociálpolitikai kiadás</t>
    </r>
  </si>
  <si>
    <t>I. Működési kiad. összesen</t>
  </si>
  <si>
    <t>FELHALMOZÁSI KIADÁSOK</t>
  </si>
  <si>
    <t>1. Beruházás</t>
  </si>
  <si>
    <t>2. Felujítás</t>
  </si>
  <si>
    <t xml:space="preserve">3. Pénzügyi befektetés  </t>
  </si>
  <si>
    <t>4. Hosszú lejáratú hitelek kamata</t>
  </si>
  <si>
    <t xml:space="preserve">II. Felhalmozási kiadás összesen </t>
  </si>
  <si>
    <t>TÁMOGATÁS ÉRTÉKŰ KIADÁS</t>
  </si>
  <si>
    <t xml:space="preserve">1. Működési célú </t>
  </si>
  <si>
    <t xml:space="preserve">2. Felhalmozási célú </t>
  </si>
  <si>
    <t>III. Támogatás értékű kiadás összesen</t>
  </si>
  <si>
    <t>PÉNZESZKÖZ ÁTADÁS ÁH. KÍVÜLRE</t>
  </si>
  <si>
    <t>IV. Pénzeszköz átadás összesen</t>
  </si>
  <si>
    <t>NYÚJTOTT KÖLCSÖNÖK</t>
  </si>
  <si>
    <t>Működési célra</t>
  </si>
  <si>
    <t>Felhalmozási célra</t>
  </si>
  <si>
    <t>V. Nyújtott kölcsönök összesen</t>
  </si>
  <si>
    <t>TARTALÉKOK</t>
  </si>
  <si>
    <t>Általános tartalék</t>
  </si>
  <si>
    <t>Céltartalék</t>
  </si>
  <si>
    <t>VI. Tartalékok összesen</t>
  </si>
  <si>
    <t>KÖLTSÉGVETÉSI KIADÁS ÖSSZESEN</t>
  </si>
  <si>
    <t>HITEL TÖRLESZTÉS</t>
  </si>
  <si>
    <t>Működési célú hitel törlesztés</t>
  </si>
  <si>
    <t>Felahalmozási célú hitel törlesztés</t>
  </si>
  <si>
    <t>VII. Hiteltörlesztés összesen</t>
  </si>
  <si>
    <t>KIADÁS MINDÖSSZESEN</t>
  </si>
  <si>
    <t>1/b. sz. melléklet</t>
  </si>
  <si>
    <t xml:space="preserve">Önállóan működő és önállóan gazdálkodó intézmények  </t>
  </si>
  <si>
    <t xml:space="preserve">2009. évi költségvetési kiadási előirányzatai  </t>
  </si>
  <si>
    <t xml:space="preserve">Ezer Ft-ban </t>
  </si>
  <si>
    <t>KIADÁSOK  JOGCÍMEI</t>
  </si>
  <si>
    <t>Rendelőintézet</t>
  </si>
  <si>
    <t>Tűzoltóság</t>
  </si>
  <si>
    <t>Intézmények összesen</t>
  </si>
  <si>
    <t xml:space="preserve">    Ebből: hosszú lej. Hitel kam.</t>
  </si>
  <si>
    <t>5. Speciálos célú támogatás</t>
  </si>
  <si>
    <t xml:space="preserve">Ebből: </t>
  </si>
  <si>
    <t xml:space="preserve"> - Társadalom-, szociálp. kiad.</t>
  </si>
  <si>
    <t>I. Működési kiad. össz.</t>
  </si>
  <si>
    <t>2. Felújítás</t>
  </si>
  <si>
    <t xml:space="preserve">II. Felhalmozási kiad. össz. </t>
  </si>
  <si>
    <t>TÁMOGATÁS ÉRTÉK. KIADÁS</t>
  </si>
  <si>
    <t xml:space="preserve">III. Támog. ért. kiad. össz. </t>
  </si>
  <si>
    <t>PÉNZESZKÖZ ÁTADÁS</t>
  </si>
  <si>
    <t>IV. Pénzeszköz átadás össz.</t>
  </si>
  <si>
    <t>1. Működési célra</t>
  </si>
  <si>
    <t>2. Felhalmozási célra</t>
  </si>
  <si>
    <t>V. Nyújtott kölcsönök össz.</t>
  </si>
  <si>
    <t>KIADÁS ÖSSZESEN</t>
  </si>
  <si>
    <t>HITELTÖRLESZTÉS</t>
  </si>
  <si>
    <t>Felhalmozási célú hitel törl.</t>
  </si>
  <si>
    <t>KIADÁS MINDÖSSZESEN:</t>
  </si>
  <si>
    <t>1/c. sz. melléklet</t>
  </si>
  <si>
    <t xml:space="preserve">Önállóan működő (részben-önállóan gazdálkodó) intézmények  </t>
  </si>
  <si>
    <t xml:space="preserve">2009. évi költségvetési kiadásielőirányzatai  </t>
  </si>
  <si>
    <t>Város-gondnokság</t>
  </si>
  <si>
    <t>Városi Óvoda</t>
  </si>
  <si>
    <t>MÁAMIPSZ</t>
  </si>
  <si>
    <t>Könyvtár</t>
  </si>
  <si>
    <t>Városi Bölcsőde</t>
  </si>
  <si>
    <t>4. Hosszúlej. hitelek kamata</t>
  </si>
  <si>
    <t>VII. Hitel törlesztés</t>
  </si>
  <si>
    <t xml:space="preserve">1/c. sz. melléklet </t>
  </si>
  <si>
    <t>KIADÁSOK                     JOGCÍMEI</t>
  </si>
  <si>
    <t>Városi Sport-csarnok</t>
  </si>
  <si>
    <t>Szent L. Gimnázium</t>
  </si>
  <si>
    <t>Széchenyi I. Szakképz.</t>
  </si>
  <si>
    <t>Bayer R. Kollég. És Élelm.Közp</t>
  </si>
  <si>
    <t>PH-hoz tartozó részben-önállóan műk. Int. összesen</t>
  </si>
  <si>
    <t>Polgári Védelem</t>
  </si>
  <si>
    <t>Részben-önállóan gazdálkodó intézmények mind-összesen</t>
  </si>
  <si>
    <t xml:space="preserve">1/d. sz. melléklet </t>
  </si>
  <si>
    <t xml:space="preserve">                        A polgármesteri hivatal 2009. évi költségvetési kiadási</t>
  </si>
  <si>
    <t xml:space="preserve">   előirányzatai  feladatonként</t>
  </si>
  <si>
    <t>KIADÁSOK JOGCÍMEI</t>
  </si>
  <si>
    <t>Épület-fenntartás</t>
  </si>
  <si>
    <t>Helyi közutak felúj.</t>
  </si>
  <si>
    <t>Helyi közutak üzem.</t>
  </si>
  <si>
    <t>TISZK</t>
  </si>
  <si>
    <t>Ingatlan haszn.</t>
  </si>
  <si>
    <t xml:space="preserve">   Ebből:felh. hitel kamata</t>
  </si>
  <si>
    <t xml:space="preserve">  Ebből:-Társadalom-, szociálp. kiad.</t>
  </si>
  <si>
    <t>I. Működési kiadás összesen</t>
  </si>
  <si>
    <t xml:space="preserve">III. Támog. értékű kiad. össz. </t>
  </si>
  <si>
    <t xml:space="preserve">2. Felhalmozási célra </t>
  </si>
  <si>
    <t>1. Általános tartalék</t>
  </si>
  <si>
    <t>2. Céltartalék</t>
  </si>
  <si>
    <t>KÖLTSÉGVETÉSI</t>
  </si>
  <si>
    <t>KIADÁSOK ÖSSZESEN:</t>
  </si>
  <si>
    <t>Gyámhiv. Okmányi.</t>
  </si>
  <si>
    <t>Önkorm. Ig. tev.</t>
  </si>
  <si>
    <t>Kisebbségi önkorm.</t>
  </si>
  <si>
    <t>Önkorm. ellátó tev.</t>
  </si>
  <si>
    <t>Szakmai kiseg.tev.</t>
  </si>
  <si>
    <t xml:space="preserve">   Ebből: felh. Hitel kamata</t>
  </si>
  <si>
    <t>Ebből:-Társadalom-, szociálp. kiad.</t>
  </si>
  <si>
    <t xml:space="preserve">1/d.. sz. melléklet </t>
  </si>
  <si>
    <t>Városgazd Szolg.</t>
  </si>
  <si>
    <t>Települési Vízellátás</t>
  </si>
  <si>
    <t>Köz-világítás</t>
  </si>
  <si>
    <t>Oktatási célok</t>
  </si>
  <si>
    <t>Fogorvosi ellátás</t>
  </si>
  <si>
    <t xml:space="preserve">   Ebből:felh. Hitel kamata</t>
  </si>
  <si>
    <t xml:space="preserve"> - Ebből:Társadalom-, szociálp. kiad.</t>
  </si>
  <si>
    <t>Iskolaeü. Ellátás</t>
  </si>
  <si>
    <t>Rendsz. pénzb.szoc.</t>
  </si>
  <si>
    <t>Rendsz. gyermekv.</t>
  </si>
  <si>
    <t>Munkanélk Ellátások</t>
  </si>
  <si>
    <t>Eseti pénzb. szoc.</t>
  </si>
  <si>
    <t>Ebből:felh. Hitel kamata</t>
  </si>
  <si>
    <t>Eseti pénzb. gyerm.véd</t>
  </si>
  <si>
    <t>Szennyvíz-elvezetés</t>
  </si>
  <si>
    <t>Kulturális sport</t>
  </si>
  <si>
    <t>Múzeumi tev.</t>
  </si>
  <si>
    <t>Fürdő-strandszolg.</t>
  </si>
  <si>
    <t xml:space="preserve">    Ebből:felh.hitel kamata</t>
  </si>
  <si>
    <t>Feladatok összesen</t>
  </si>
  <si>
    <r>
      <t>Tartalék</t>
    </r>
    <r>
      <rPr>
        <b/>
        <sz val="10"/>
        <rFont val="Arial"/>
        <family val="2"/>
      </rPr>
      <t xml:space="preserve"> Hiteltörl.</t>
    </r>
  </si>
  <si>
    <t>Szakfelad. összesen</t>
  </si>
  <si>
    <t>PH-hoz tart. Részben önáll.</t>
  </si>
  <si>
    <t>PH. Mind-összesen</t>
  </si>
  <si>
    <t xml:space="preserve">   Ebből:felh.hitel kamata</t>
  </si>
  <si>
    <t>Ebből:- Társadalom-, szociálp. kiad.</t>
  </si>
  <si>
    <t>1/e melléklet</t>
  </si>
  <si>
    <t xml:space="preserve">III. Támogatás értékű kiadás </t>
  </si>
  <si>
    <t>Támogatott megnevezése</t>
  </si>
  <si>
    <t>Intézmények</t>
  </si>
  <si>
    <t>Polgármesteri Hivatal</t>
  </si>
  <si>
    <t>Önkormányzat összesen</t>
  </si>
  <si>
    <t>1. Működési célú összesen</t>
  </si>
  <si>
    <t>Ebből:</t>
  </si>
  <si>
    <t xml:space="preserve">    - Polg.Hiv.Többcélú Kist.Társulásnak</t>
  </si>
  <si>
    <t xml:space="preserve">    - Kisebbségi Önkormányzat-Cigány</t>
  </si>
  <si>
    <t xml:space="preserve">2. Felhalmozási célú összesen </t>
  </si>
  <si>
    <t>Összesen</t>
  </si>
  <si>
    <t>1/f. melléklet</t>
  </si>
  <si>
    <t xml:space="preserve">IV. Pénzeszközátadás államháztartáson kívülre </t>
  </si>
  <si>
    <t>Ebből: - Nonprofit szervek tám. (pályázat alapján) működésre</t>
  </si>
  <si>
    <t xml:space="preserve">          - Rendezvények lebonyolítására</t>
  </si>
  <si>
    <t xml:space="preserve">          - Művelődési Közalapítvány</t>
  </si>
  <si>
    <t xml:space="preserve">          - KÖZKINCS-TÁR nonprof. Kft.</t>
  </si>
  <si>
    <t xml:space="preserve">          - MÉDIA KHT</t>
  </si>
  <si>
    <t xml:space="preserve">          - Máltai Szer. Szolg. </t>
  </si>
  <si>
    <t xml:space="preserve">          - Szent László Egyh. Temetőfennt.</t>
  </si>
  <si>
    <t xml:space="preserve">          - Jézus Szíve Plébánia Altemplom</t>
  </si>
  <si>
    <t xml:space="preserve">          - Cigány Kisebbségi Önk.-Társ.sz.</t>
  </si>
  <si>
    <t xml:space="preserve">          - MKC támogatása</t>
  </si>
  <si>
    <t xml:space="preserve">          - MSE támogatása</t>
  </si>
  <si>
    <t xml:space="preserve">          - Egyéb-támogtói nyilatkozat alapj.</t>
  </si>
  <si>
    <t xml:space="preserve">          - Örmény Kisebbségi Önk.-Társ. Sz.</t>
  </si>
  <si>
    <t xml:space="preserve">          - Víziközmű társ. Működésére</t>
  </si>
  <si>
    <t xml:space="preserve">          - TISZK műk-re MITISZK-nek</t>
  </si>
  <si>
    <t xml:space="preserve">          - LAKSZÖVnek önk. Ing. után</t>
  </si>
  <si>
    <t>2. Felhalmozási célú összesen</t>
  </si>
  <si>
    <t xml:space="preserve"> Ebből:- Szennyvízcs. alap.tám.nyugati</t>
  </si>
  <si>
    <t xml:space="preserve">          - Víziközmű társ. Hitelkamatra</t>
  </si>
  <si>
    <t xml:space="preserve">          - Önerős gázépítő közösség</t>
  </si>
  <si>
    <t xml:space="preserve">          - Lakásépítés támogatása</t>
  </si>
  <si>
    <t xml:space="preserve">          - MSE támogatása(sportp.hit.kam)</t>
  </si>
  <si>
    <t xml:space="preserve">          -LAKSZÖVnek önk. lakásra</t>
  </si>
  <si>
    <t xml:space="preserve">      1/g. sz. melléklet</t>
  </si>
  <si>
    <t xml:space="preserve">V. Kölcsön nyújtása   </t>
  </si>
  <si>
    <t xml:space="preserve">                Ezer Ft-ban </t>
  </si>
  <si>
    <t xml:space="preserve">KIADÁSOK JOGCÍMEI </t>
  </si>
  <si>
    <t>Önkormányzat</t>
  </si>
  <si>
    <t xml:space="preserve">1.1. Kölcsön nyújtása államháztartáson kívülre  </t>
  </si>
  <si>
    <t xml:space="preserve">        Kamatmentes kölcsön nyújtása</t>
  </si>
  <si>
    <t>1.1. Működési célú támogatási kölcsön nyújtása összesen</t>
  </si>
  <si>
    <t xml:space="preserve">1.2.Felhalmozási kölcsön nyújtása államháztartáson kívülre  </t>
  </si>
  <si>
    <t xml:space="preserve">      Lakáscélú kölcsön nyújtása háztartásoknak</t>
  </si>
  <si>
    <t>1.2.Felhalmozási kölcsön nyújtása államháztartáson kívülre  összesen</t>
  </si>
  <si>
    <t>V. Kölcsön nyújtás mindösszesen</t>
  </si>
  <si>
    <t>1/h. sz. melléklet</t>
  </si>
  <si>
    <t>II/3 Pénzügyi befektetés</t>
  </si>
  <si>
    <t>Intézmények összesen:</t>
  </si>
  <si>
    <t xml:space="preserve">       -VG Rt. részvény vásárlása</t>
  </si>
  <si>
    <t xml:space="preserve">       -OTP tőkegarantált pénzpiaci alapok</t>
  </si>
  <si>
    <t>Összesen:</t>
  </si>
  <si>
    <t>ÖNKORMÁNYZAT ÖSSZESEN</t>
  </si>
  <si>
    <t xml:space="preserve">                  2.sz. melléklet</t>
  </si>
  <si>
    <t xml:space="preserve">     Az önkormányzat 2009. évi bevételi előirányzatai összesen</t>
  </si>
  <si>
    <t xml:space="preserve">  BEVÉTELEK JOGCÍMEI</t>
  </si>
  <si>
    <t>Polg.m.hivat.</t>
  </si>
  <si>
    <t xml:space="preserve">I. Működési bevételek (1+2) </t>
  </si>
  <si>
    <t>1. Intézményi működési bevételek</t>
  </si>
  <si>
    <t>2. Önkorm.sajátos működési bev(2.1..+2.4)</t>
  </si>
  <si>
    <t xml:space="preserve">2.1. Helyi adók </t>
  </si>
  <si>
    <t xml:space="preserve">2.2. Átengedett központi adók </t>
  </si>
  <si>
    <t xml:space="preserve">2.3. Pótlékok, birságok </t>
  </si>
  <si>
    <t xml:space="preserve">2.4. Egyéb sajátos bevételek </t>
  </si>
  <si>
    <t>II.Támogatások, támog.ért.bev.  Visszatér.</t>
  </si>
  <si>
    <t>1. Önkormányz. költségv.-i támogatása (1.1..+1.5)</t>
  </si>
  <si>
    <t xml:space="preserve">1.1. Normatív támogatások </t>
  </si>
  <si>
    <t xml:space="preserve">1.2. Központosított előirányzatok </t>
  </si>
  <si>
    <t xml:space="preserve">1.3. Egyes jövedelempótló támogatások </t>
  </si>
  <si>
    <t>1.4. Normatív kötött felhasználású támogatások</t>
  </si>
  <si>
    <t xml:space="preserve">1.5. Fejlesztési célú támogatások </t>
  </si>
  <si>
    <t xml:space="preserve">2. Támogatás értékű bevételek (2.1.+2.2) </t>
  </si>
  <si>
    <t>2.1. Működési célú támog. értékű átvétel</t>
  </si>
  <si>
    <t xml:space="preserve">      Ebből: Társad. Bizt. Alapból átvett</t>
  </si>
  <si>
    <t>2.2. Felhalmozási célú támog. értékű bevétel</t>
  </si>
  <si>
    <t xml:space="preserve">3. Kiegészítések, visszatérülések </t>
  </si>
  <si>
    <t>III. Felhalmozási és tőke jellegű bev.(1+..4)</t>
  </si>
  <si>
    <t>1. Tárgyi eszközök, immat. javak értékesítése</t>
  </si>
  <si>
    <t xml:space="preserve">2. Önkormányzatok sajátos felhalmozási </t>
  </si>
  <si>
    <t xml:space="preserve">    és tőke jellegű bevételei </t>
  </si>
  <si>
    <t xml:space="preserve">3. Pénzügyi befektetés bevételei </t>
  </si>
  <si>
    <t xml:space="preserve">4. Felhalmozási célú pénzeszköz átvétel </t>
  </si>
  <si>
    <t xml:space="preserve">    államháztartáson kívülről </t>
  </si>
  <si>
    <t xml:space="preserve">   IV. Támogatási kölcs. Visszatér. értékpapír ért. Kibocs. bevétele (1…+3)</t>
  </si>
  <si>
    <t>1. Működési célú kölcsön visszatérülése</t>
  </si>
  <si>
    <t>2. Felhalmozási célú kölcsön visszatérülése</t>
  </si>
  <si>
    <t xml:space="preserve">3. Értékpapírok értékesítése, kötvény kibocs. </t>
  </si>
  <si>
    <t xml:space="preserve">V. Pénzforgalom nélküli bevételek </t>
  </si>
  <si>
    <t xml:space="preserve">1. Előző évi pénzmaradvány igénybevétele </t>
  </si>
  <si>
    <t xml:space="preserve">       Ebből: működési célú</t>
  </si>
  <si>
    <t>KÖLTSÉGVETÉSI BEVÉTELEK       ÖSSZESEN(I…+VI.)</t>
  </si>
  <si>
    <t xml:space="preserve">VI. Hitelek (1+2) </t>
  </si>
  <si>
    <t xml:space="preserve">1. Működési célú hitel igénybevétele </t>
  </si>
  <si>
    <t xml:space="preserve">2. Fejlesztési célú hitel igénybevétele </t>
  </si>
  <si>
    <t>BEVÉTELEK MINDÖSSZESEN (I…+VI.)</t>
  </si>
  <si>
    <t xml:space="preserve">                  2/a. sz. melléklet</t>
  </si>
  <si>
    <t xml:space="preserve"> </t>
  </si>
  <si>
    <t xml:space="preserve">               I/1. Intézményi működési bevételek részletezése </t>
  </si>
  <si>
    <t>Polg.m.hivat. Összesen</t>
  </si>
  <si>
    <t>1.1. Hatósági jogkörhöz köthető működési bevételek</t>
  </si>
  <si>
    <t xml:space="preserve">1.2. Egyéb saját bevételek </t>
  </si>
  <si>
    <t>1.3. Általános forgalmi adó bevételek, visszatérülések</t>
  </si>
  <si>
    <t>1.4. Hozam és kamatbevételek</t>
  </si>
  <si>
    <t xml:space="preserve">1.5. Műk. célú pénzeszk. átvétel államházt.-on kívülről  </t>
  </si>
  <si>
    <t xml:space="preserve">I/1. Intézményi működési bevételek összesen </t>
  </si>
  <si>
    <t xml:space="preserve">2/b. sz. melléklet </t>
  </si>
  <si>
    <t xml:space="preserve">I/1.5. Működési célú pénzeszköz átvétel államháztartáson kívülről </t>
  </si>
  <si>
    <t>Polgári Védelem- versenyre</t>
  </si>
  <si>
    <t>2/c. sz. melléklet</t>
  </si>
  <si>
    <t xml:space="preserve">          I/2.1. Helyi adó bevételek részletezése </t>
  </si>
  <si>
    <t xml:space="preserve">összesen </t>
  </si>
  <si>
    <t>2.1.1. Építményadó</t>
  </si>
  <si>
    <t xml:space="preserve">2.1.2. Vállalkozók kommunális adója </t>
  </si>
  <si>
    <t>2.1.3. Magánszemélyek kommunális adója</t>
  </si>
  <si>
    <t>2.1.4. Idegenforgalmi adó tartózkodás után</t>
  </si>
  <si>
    <t>2.1.5. Iparűzési adó állandó jelleggel végzett iparűzési     tevékenység után</t>
  </si>
  <si>
    <t>2.1.6. Iparűzési adó ideiglenes jelleggel végzett iparűzési tevékenység után (napi átalány)</t>
  </si>
  <si>
    <t xml:space="preserve">I./2.1. Helyi adó bevételek összesen </t>
  </si>
  <si>
    <t>I./2.3.Pótlékok, bírságok</t>
  </si>
  <si>
    <t>I./2.4. Egyéb sajátos bevételek</t>
  </si>
  <si>
    <t xml:space="preserve">          ebből:talajterh. Díj</t>
  </si>
  <si>
    <t>2/d. sz. melléklet</t>
  </si>
  <si>
    <t xml:space="preserve"> I/2.2. Átengedett központi adók részletezése </t>
  </si>
  <si>
    <t xml:space="preserve">2.2.1. Személyi jöv.adó helyben maradó része </t>
  </si>
  <si>
    <t xml:space="preserve">2.2.2. Jövedelemkülönbségek mérséklése (+, -) </t>
  </si>
  <si>
    <t xml:space="preserve">2.2.3. Személyi jöv.adó norm. módon elosztott része </t>
  </si>
  <si>
    <t xml:space="preserve">2.2.4. Gépjárműadó </t>
  </si>
  <si>
    <t>2.2.5. Luxusadó</t>
  </si>
  <si>
    <t xml:space="preserve">2.2.6. Termőföld bérbeadásából származó jöv.adó </t>
  </si>
  <si>
    <t xml:space="preserve">2.2.7. Átengedett egyéb központi adók </t>
  </si>
  <si>
    <t xml:space="preserve">I/2.2. Átengedett központi adók összesen </t>
  </si>
  <si>
    <t xml:space="preserve">      2/f. sz. melléklet</t>
  </si>
  <si>
    <t xml:space="preserve">II/1.2. Központosított előirányzatok részletezése </t>
  </si>
  <si>
    <t xml:space="preserve">BEVÉTELEK JOGCÍMEI </t>
  </si>
  <si>
    <t>Kisebbségi Önkormányzat tám. - Cigány</t>
  </si>
  <si>
    <t xml:space="preserve">                                               - Örmény</t>
  </si>
  <si>
    <t>közműfejlesztési hozzájárulás</t>
  </si>
  <si>
    <t>II/1.2. Központosított előirányzatok összesen</t>
  </si>
  <si>
    <t>II/1.3. Egyes jöv. pótló támogatások</t>
  </si>
  <si>
    <t xml:space="preserve">       2/g. sz. melléklet</t>
  </si>
  <si>
    <t xml:space="preserve">II/1.5. Fejlesztési célú támogatások részletezése </t>
  </si>
  <si>
    <t xml:space="preserve">               Ezer Ft-ban </t>
  </si>
  <si>
    <t xml:space="preserve">1.5.1. Címzett támogatás </t>
  </si>
  <si>
    <t>1.5.2. Céltámogatás: egészségügyi gép-műszer</t>
  </si>
  <si>
    <t>1.5.3. A helyi önk.-ok fejlesztési és vis maior feladatainak támogatása</t>
  </si>
  <si>
    <t xml:space="preserve">          - TEKI tám. - "B" ép.</t>
  </si>
  <si>
    <t xml:space="preserve">          - TEUT tám. - utakra</t>
  </si>
  <si>
    <t xml:space="preserve">II/1.5. Fejlesztési célú támogatások összesen </t>
  </si>
  <si>
    <t xml:space="preserve">       2/h. sz. melléklet</t>
  </si>
  <si>
    <t>II/2. Támogatás értékű bevételek</t>
  </si>
  <si>
    <t>Intézm.</t>
  </si>
  <si>
    <t xml:space="preserve">Polgárm. hiv. </t>
  </si>
  <si>
    <t>2.1. Működési bevételek összesen</t>
  </si>
  <si>
    <t>Ebből: - Rendelő: - TB alaptól</t>
  </si>
  <si>
    <t xml:space="preserve">          - Tűzoltóság -Munkaügyi Központtól</t>
  </si>
  <si>
    <t xml:space="preserve">          - Könyvtár mozgókönyvt.fa. Többcélútól</t>
  </si>
  <si>
    <t>2.1. Működési bevételek összesen Polghiv.</t>
  </si>
  <si>
    <t>Ebből: - Többcélú Kist. Társulástól átvett</t>
  </si>
  <si>
    <t xml:space="preserve">          - Egerlövőtől átvett</t>
  </si>
  <si>
    <t xml:space="preserve">          - PV-hez vidéki önkormányzatoktól</t>
  </si>
  <si>
    <t xml:space="preserve">          - Iskola eü.-re TB-től</t>
  </si>
  <si>
    <t xml:space="preserve">          - Kp-i kv-i szervtől Otthonteremt. támog.   </t>
  </si>
  <si>
    <t xml:space="preserve">          - Kp-i kv-i szervtől Mozgáskorlát. támog.</t>
  </si>
  <si>
    <t xml:space="preserve">          - Vidéki önkorm.-tól tagisk. Műk-re</t>
  </si>
  <si>
    <t xml:space="preserve">          - Prémium évesek ktg. Megtér.</t>
  </si>
  <si>
    <t xml:space="preserve">          </t>
  </si>
  <si>
    <t>2.2. Felhalmozási bevételek összesen</t>
  </si>
  <si>
    <t>Önkorm. Pályázatokra: Mező F. kazán</t>
  </si>
  <si>
    <t xml:space="preserve">                                  Szennyvízcsat. Hál. </t>
  </si>
  <si>
    <t xml:space="preserve">                                  Bárdos L.tagisk. Akadálym.</t>
  </si>
  <si>
    <t xml:space="preserve">                                  Gyula u. rendelő Akadálym.</t>
  </si>
  <si>
    <t xml:space="preserve">                                  Bayer R. koll. Akadálym.</t>
  </si>
  <si>
    <t xml:space="preserve">                                  Városi Rendelői. Akadálym.</t>
  </si>
  <si>
    <t xml:space="preserve">                                  I. sz. tagóv. Akadálym.</t>
  </si>
  <si>
    <t xml:space="preserve">                                  Anna köz 13. tájház.</t>
  </si>
  <si>
    <t xml:space="preserve">                                  Piac-BM önerő</t>
  </si>
  <si>
    <t>2/i./1. sz. melléklet</t>
  </si>
  <si>
    <t>III/1. Tárgyi eszközök, immateriális javak értékesítésének részletezése</t>
  </si>
  <si>
    <t>ÉRTÉKESÍTENDŐ TÁRGYI ESZKÖZÖK, IMMATERIÁLIS JAVAK MEGNEVEZÉSE</t>
  </si>
  <si>
    <t>Költségvetési szerv megnev.</t>
  </si>
  <si>
    <t>B e v é t e l</t>
  </si>
  <si>
    <t>Intézmény</t>
  </si>
  <si>
    <t>Polgárm.hiv.</t>
  </si>
  <si>
    <t>Önkorm.össz.</t>
  </si>
  <si>
    <t>Járműértékesítés</t>
  </si>
  <si>
    <t xml:space="preserve">Intézmény összesen: </t>
  </si>
  <si>
    <t>Ingatlan értékesités</t>
  </si>
  <si>
    <t xml:space="preserve">Polgármesteri Hivatal össz: </t>
  </si>
  <si>
    <t>III/1. Tárgyi eszk.immat.jav. ért.össz.</t>
  </si>
  <si>
    <t>2/i./2. sz. melléklet</t>
  </si>
  <si>
    <t xml:space="preserve">III/2. Önkormányzatok sajátos felhalmozási és tőke jellegű bevételeinek </t>
  </si>
  <si>
    <t>részletezése</t>
  </si>
  <si>
    <t>BEVÉTELEK JOGCÍMEI</t>
  </si>
  <si>
    <t>Önkorm. vagyon bérbeadás (Zsóry víz,-csat.+egyéb saj. Bev.+szeméttel.)</t>
  </si>
  <si>
    <t>Önkormányzati lakás értékesités</t>
  </si>
  <si>
    <t>III/2. Önkormányzatok sajátos felhalmozási és tőke jellegű bevétel összesen</t>
  </si>
  <si>
    <t>2/i./3. sz. melléklet</t>
  </si>
  <si>
    <t xml:space="preserve">III/3. Pénzügyi befektetés bevételének részletezése </t>
  </si>
  <si>
    <t>Tőkegarantált pénzpiaci alapok  értékesitése</t>
  </si>
  <si>
    <t>Kötvény hozama</t>
  </si>
  <si>
    <t>III/2. Pénzügyi befektetés bevétele összesen</t>
  </si>
  <si>
    <t>2/i./4. sz. melléklet</t>
  </si>
  <si>
    <t>III/4. Felhalmozási célú pénzeszköz átvétel államháztartáson kívülről</t>
  </si>
  <si>
    <t>ezer Ft-ban</t>
  </si>
  <si>
    <t>Intézmény összesen</t>
  </si>
  <si>
    <t>Polgárm.hiv. összesen</t>
  </si>
  <si>
    <t>Szent László Gimnázium - SZKHJ</t>
  </si>
  <si>
    <t>Széchenyi István Szakképző Isk. - SZKHJ</t>
  </si>
  <si>
    <t>Mköv. és Körny. Egészségéért Alapítvány-Rendelői.</t>
  </si>
  <si>
    <t>Polgármesteri Hivatal összesen:</t>
  </si>
  <si>
    <t>III./4. Felhalmozási célú pénzeszköz átvétel államháztartáson kívülről</t>
  </si>
  <si>
    <t>2/j. sz. melléklet</t>
  </si>
  <si>
    <t xml:space="preserve">IV. Támogatási kölcsönök visszatérülése </t>
  </si>
  <si>
    <t>Működési célú kölcsön visszatérülés</t>
  </si>
  <si>
    <t>Felhalmozási célú kölcsön visszatérülés</t>
  </si>
  <si>
    <t>IV. Támogatási kölcsönök visszatérülése</t>
  </si>
  <si>
    <t>2/k. melléklet</t>
  </si>
  <si>
    <t xml:space="preserve">Önállóan működő és önállóan gazdálkodó költségvetési intézmények </t>
  </si>
  <si>
    <t>2009. évi  költségvetési bevételei</t>
  </si>
  <si>
    <t>Intézmények  összesen</t>
  </si>
  <si>
    <t>1.1. Hatósági jogkörh. köt.műk. bevételek</t>
  </si>
  <si>
    <t>1.3. Általános forg. adó bevételek, visszatér.</t>
  </si>
  <si>
    <t xml:space="preserve">1.5. Műk.célú pénze. átv. államh-on kívülről  </t>
  </si>
  <si>
    <t xml:space="preserve">I/1. Intézm.műk. bevételek összesen </t>
  </si>
  <si>
    <t>1. Tárgyi eszk., immat.javak értékesítése</t>
  </si>
  <si>
    <t>4. Felhalm.c. pénzeszk.átv. államházt.kívülről</t>
  </si>
  <si>
    <t>III. Felhalmozási és tőke jell.bev.össz.</t>
  </si>
  <si>
    <t>2. Értékpapírok értékesítése</t>
  </si>
  <si>
    <t>IV. Támogat. kölcsön visszatér., ért.pap.ért. kibocs. bev.</t>
  </si>
  <si>
    <t>1. Előző évi pénzmaradvány igénybevétele</t>
  </si>
  <si>
    <t xml:space="preserve">      Ebből: működési célú</t>
  </si>
  <si>
    <t xml:space="preserve">                felhalmozási célú</t>
  </si>
  <si>
    <t>V. Pénzforgalom nélküli bevételek össz.</t>
  </si>
  <si>
    <t>Intézményi bevételek összesen</t>
  </si>
  <si>
    <t>Önkormányzati támogatás</t>
  </si>
  <si>
    <t>Intézményi bevételek mindösszesen</t>
  </si>
  <si>
    <t>Polgármesteri Hivatal feladatai össz.</t>
  </si>
  <si>
    <t>PH-hoz tartozó részben-önállóan gazd. Int. Összesen</t>
  </si>
  <si>
    <t xml:space="preserve">Polgármesteri Hivatal mind-összesen </t>
  </si>
  <si>
    <t>3. Értékpapírok értékesítése</t>
  </si>
  <si>
    <t>2/l. melléklet</t>
  </si>
  <si>
    <t xml:space="preserve">Önállóan működő (részben önállóan gazdálkodó) költségvetési intézmények </t>
  </si>
  <si>
    <t>2009. évi költségvetési bevételei</t>
  </si>
  <si>
    <t>Városi Könyvtár</t>
  </si>
  <si>
    <t>Széchenyi I. Szakképző</t>
  </si>
  <si>
    <t>Bayer R. Kollég. És Élelmk.</t>
  </si>
  <si>
    <t>PH-hoz tartozó önállóan műk. Int. Összesen</t>
  </si>
  <si>
    <t>PV.</t>
  </si>
  <si>
    <t>Önállóan működő intézmények összesen</t>
  </si>
  <si>
    <t xml:space="preserve">      2/m. sz. melléklet</t>
  </si>
  <si>
    <t xml:space="preserve">IV/1. Működési célú támogatási kölcsön visszatérülése   </t>
  </si>
  <si>
    <t xml:space="preserve">1.1. Kölcsön visszatérülése államháztartáson belülről  </t>
  </si>
  <si>
    <t xml:space="preserve">1.2. Kölcsön visszatérülése államháztartáson kívülről </t>
  </si>
  <si>
    <t>Kamatmentes kölcsön -háztartásoktól</t>
  </si>
  <si>
    <t>IV/1. Működési célú támog. kölcsön visszatér. összesen</t>
  </si>
  <si>
    <t xml:space="preserve">      2/n. sz. melléklet</t>
  </si>
  <si>
    <t xml:space="preserve">IV/2. Felhalmozási célú támogatási kölcsön visszatérülése </t>
  </si>
  <si>
    <t xml:space="preserve">2.1. Kölcsön visszatérülése államháztartáson belülről </t>
  </si>
  <si>
    <t xml:space="preserve">2.1. Kölcsön visszatérülése államháztartáson kívülről </t>
  </si>
  <si>
    <t>Dolg.lak.ép.,vás.-ra folyósitott kőlcsön</t>
  </si>
  <si>
    <t>Lakáshitel - háztartásoktól</t>
  </si>
  <si>
    <t>Első lakás - háztartásoktól</t>
  </si>
  <si>
    <t>Lakáscélu - háztartásoktól</t>
  </si>
  <si>
    <t>IV/2. Felhalmozási célú támog.kölcsön visszatér. összesen</t>
  </si>
  <si>
    <r>
      <t xml:space="preserve"> </t>
    </r>
    <r>
      <rPr>
        <b/>
        <u val="single"/>
        <sz val="10"/>
        <rFont val="Arial CE"/>
        <family val="2"/>
      </rPr>
      <t>3. sz. melléklet</t>
    </r>
  </si>
  <si>
    <t>Felújítási kiadási előirányzatok</t>
  </si>
  <si>
    <t>célonkénti részletezése</t>
  </si>
  <si>
    <t>Felújítási cél</t>
  </si>
  <si>
    <t>2009. évi előirányzat</t>
  </si>
  <si>
    <t>Szent László Gimnázium - taniroda felújítás</t>
  </si>
  <si>
    <t>Ös s z e s e n:</t>
  </si>
  <si>
    <t>2008. évben indult Csokonai-Radnóti út</t>
  </si>
  <si>
    <t>Bajcsy Zs. Út</t>
  </si>
  <si>
    <t>Díszburkolat bővítés</t>
  </si>
  <si>
    <t xml:space="preserve">          Útfelújítás összesen</t>
  </si>
  <si>
    <t>Játszóterek felújítása</t>
  </si>
  <si>
    <t>Mező F. tagiskola kazánfelújítás</t>
  </si>
  <si>
    <t>Víz-,csatorna felujitás</t>
  </si>
  <si>
    <t xml:space="preserve">          Települési vízellátás összesen</t>
  </si>
  <si>
    <t>Polgármestei Hivatal összesen</t>
  </si>
  <si>
    <t>Önkormányzat összesen:</t>
  </si>
  <si>
    <t>4.sz. melléklet</t>
  </si>
  <si>
    <t>Beruházási kiadási előirányzatok</t>
  </si>
  <si>
    <t>feladatonkénti részletezése</t>
  </si>
  <si>
    <t>Beruházási feladat</t>
  </si>
  <si>
    <t>Városi Rendelőintézet</t>
  </si>
  <si>
    <t>Ö s s z e s e n :</t>
  </si>
  <si>
    <t>Szent László Gimnázium és Szakközépiskola</t>
  </si>
  <si>
    <t xml:space="preserve">  - ügyvitel, számítástechn.berendezések</t>
  </si>
  <si>
    <t xml:space="preserve">  - gép, berend.felszerelés</t>
  </si>
  <si>
    <t>Széchenyi István Szakképző Iskola</t>
  </si>
  <si>
    <t xml:space="preserve">Polgármesteri Hivatal  </t>
  </si>
  <si>
    <t xml:space="preserve">          -    fénymásoló beszerzés /óvoda/</t>
  </si>
  <si>
    <t xml:space="preserve">          -   Bárdos L. tagiskola akadálymentesítés</t>
  </si>
  <si>
    <t xml:space="preserve">          -   Gyula úti orvosi rend. Akadálymentesítés</t>
  </si>
  <si>
    <t xml:space="preserve">          -   Bayer R. Kollég. Akadálymentesítés</t>
  </si>
  <si>
    <t xml:space="preserve">          -   Városi Rendelőint. Akadálymentesítés</t>
  </si>
  <si>
    <t xml:space="preserve">          -   I. sz. tagóvoda Akadálymentesítés</t>
  </si>
  <si>
    <t xml:space="preserve">          -   Belosztály  krónikus egység fejl.</t>
  </si>
  <si>
    <t xml:space="preserve">              Városgazd. Szolg. mindösszesen</t>
  </si>
  <si>
    <t>Klementina közvilágítás</t>
  </si>
  <si>
    <t xml:space="preserve">              Közvilágítási feladatok összesen</t>
  </si>
  <si>
    <t>Zsóry fejlesztés garancia terhére</t>
  </si>
  <si>
    <t>Zsóry fejlesztés műszaki ellenőri díjai</t>
  </si>
  <si>
    <t>Szennyvízcsatorna tervei</t>
  </si>
  <si>
    <t xml:space="preserve">             Szennyvízcsatorna fejlesztési feladatok összesen</t>
  </si>
  <si>
    <t>ÖNKORMÁNYZAT ÖSSZESEN:</t>
  </si>
  <si>
    <r>
      <t xml:space="preserve">     </t>
    </r>
    <r>
      <rPr>
        <b/>
        <u val="single"/>
        <sz val="10"/>
        <rFont val="Arial CE"/>
        <family val="2"/>
      </rPr>
      <t>5. sz. melléklet</t>
    </r>
  </si>
  <si>
    <t>Céltartalék összegének célonkénti részletezése</t>
  </si>
  <si>
    <t>M e g n e v e z é s</t>
  </si>
  <si>
    <t xml:space="preserve"> 2009. évi előirányzat</t>
  </si>
  <si>
    <t>M Ű K Ö D É S</t>
  </si>
  <si>
    <t>Inézmények nyári tisztasági festése</t>
  </si>
  <si>
    <t>érdekeltségnövelő támogatás önrész</t>
  </si>
  <si>
    <t>energia és egyéb közüzemi díj árváltozásra</t>
  </si>
  <si>
    <t>szakértői díjak, engedélyek</t>
  </si>
  <si>
    <t>szociális juttatások önerejének növekedésére</t>
  </si>
  <si>
    <t xml:space="preserve">Működési céltartalék összesen: </t>
  </si>
  <si>
    <t xml:space="preserve">Felhalmozás </t>
  </si>
  <si>
    <t>hitelkamatok változására</t>
  </si>
  <si>
    <t>pályázati önerő - Tüo. Gépjármű beszerzés (kötelezettség)</t>
  </si>
  <si>
    <t>pályázati önerő - egyéb</t>
  </si>
  <si>
    <t>kötvény kamatkiadásának fedezetére tartalék</t>
  </si>
  <si>
    <t xml:space="preserve">Felhalmozási céltartalék összesen: </t>
  </si>
  <si>
    <t xml:space="preserve">Céltartalék mindösszesen: </t>
  </si>
  <si>
    <t xml:space="preserve">  Felhalmozási céltartalék  (hitelkamatok változására 3885eft, Tüo. Gk. vás. 25mó, egyéb pály. Önerő 17mó, kötvény  Kamat kiadás tartaléka 140mó)</t>
  </si>
  <si>
    <r>
      <t xml:space="preserve">    </t>
    </r>
    <r>
      <rPr>
        <b/>
        <u val="single"/>
        <sz val="10"/>
        <rFont val="Arial CE"/>
        <family val="2"/>
      </rPr>
      <t>6. sz. melléklet</t>
    </r>
  </si>
  <si>
    <t>Költségvetési szervek létszámkerete</t>
  </si>
  <si>
    <t>Költségvetési szerv</t>
  </si>
  <si>
    <t>Jóváh.létszám /fő/</t>
  </si>
  <si>
    <t>Önkormányzati Tűzoltóság</t>
  </si>
  <si>
    <t>Bayer Róbert Középiskolai Kollégium</t>
  </si>
  <si>
    <t>Közcélú foglalkoztatottak</t>
  </si>
  <si>
    <t>Városi Önkorm. Rendelőintézet</t>
  </si>
  <si>
    <t>Polgári Védelmi Társulás</t>
  </si>
  <si>
    <t>Városgondnokság</t>
  </si>
  <si>
    <t>Bölcsőde</t>
  </si>
  <si>
    <t xml:space="preserve">Városi  Sportcsarnok és Szabadidőközpont </t>
  </si>
  <si>
    <t>Létszámkeret összesen</t>
  </si>
  <si>
    <t>7. sz. melléklet</t>
  </si>
  <si>
    <t>I. Működési célú bevételek és kiadások mérlege</t>
  </si>
  <si>
    <t>K i a d á s</t>
  </si>
  <si>
    <t>2009.évi előir.</t>
  </si>
  <si>
    <t>2009. évi előir.</t>
  </si>
  <si>
    <t>Működési bevételek</t>
  </si>
  <si>
    <t>Személyi juttatások</t>
  </si>
  <si>
    <t>Felhalm.ÁFA visszatér.</t>
  </si>
  <si>
    <t>Munkaadót terhelő járulékok</t>
  </si>
  <si>
    <t xml:space="preserve">Magánszem.komm.adója 100 % </t>
  </si>
  <si>
    <t>Dologi kiadások</t>
  </si>
  <si>
    <t>Magánszem.ép.adó 20 %</t>
  </si>
  <si>
    <t>ebből: - rövid lejáratú hit.kamata</t>
  </si>
  <si>
    <t>Támog. támog.ért.bevételek</t>
  </si>
  <si>
    <r>
      <t xml:space="preserve">          -</t>
    </r>
    <r>
      <rPr>
        <sz val="9"/>
        <rFont val="Arial CE"/>
        <family val="2"/>
      </rPr>
      <t>hosszú lejáratú hit.kamata</t>
    </r>
  </si>
  <si>
    <t>ebből:lakáshoz jut.tám.SZJA 100 %-a</t>
  </si>
  <si>
    <t xml:space="preserve">         - ért. tárgyie.áfabefiz</t>
  </si>
  <si>
    <t xml:space="preserve">       felhalm. támog.</t>
  </si>
  <si>
    <t>Speciális célú támogatás</t>
  </si>
  <si>
    <t>Nyújtott kölcsönök visszatérülése</t>
  </si>
  <si>
    <t>ebből: - társad.és szocpol.juttat.</t>
  </si>
  <si>
    <t>Pénzmaradv.igénybevétele</t>
  </si>
  <si>
    <t>Ellátottak pénzbeni jutt.</t>
  </si>
  <si>
    <t>Luxusadó 20%-a</t>
  </si>
  <si>
    <t>Támogtás értékű kiadás</t>
  </si>
  <si>
    <t>Nyújtott kölcsönök</t>
  </si>
  <si>
    <t>Pénzeszközátadás</t>
  </si>
  <si>
    <t>Tartalékok</t>
  </si>
  <si>
    <t xml:space="preserve">  - általános tartalék</t>
  </si>
  <si>
    <t xml:space="preserve">  - céltartalék</t>
  </si>
  <si>
    <t>Költségvetési bev.össz.</t>
  </si>
  <si>
    <t>Költségvetési kiadás össz.</t>
  </si>
  <si>
    <t>Hitelfelvétel /forráshiány/</t>
  </si>
  <si>
    <t>Hiteltörlesztés</t>
  </si>
  <si>
    <t>ebből: - rulírozó hitel</t>
  </si>
  <si>
    <t xml:space="preserve">          - forráshiány</t>
  </si>
  <si>
    <t>Műk.célú bevétel összesen:</t>
  </si>
  <si>
    <t>Műk.célú kiadás összesen:</t>
  </si>
  <si>
    <t>II. Felhalmozási célú bevételek és kiadások mérlege</t>
  </si>
  <si>
    <t>Felhalm. és tőke jell.bev.</t>
  </si>
  <si>
    <t>Beruházás</t>
  </si>
  <si>
    <t>Önkorm. Felhalm támog.</t>
  </si>
  <si>
    <t>Felújítás</t>
  </si>
  <si>
    <t>Támogatás értékű bevételek</t>
  </si>
  <si>
    <t>Pénzügyi befektetések</t>
  </si>
  <si>
    <t>Átvett pénzeszk.egyéb szerv.-től</t>
  </si>
  <si>
    <t>Pénzeszköz átadás áh.kív.</t>
  </si>
  <si>
    <t>Pénzmaradvány igénybevétel</t>
  </si>
  <si>
    <t>Nyújtott kölcsön visszatér.</t>
  </si>
  <si>
    <t>Hosszú lejáratú hitelek kamata</t>
  </si>
  <si>
    <t>Átengedett közp.-i adók</t>
  </si>
  <si>
    <t>ebből: lakáshoz jutás és lakásfenntart.tám.SZJA 50 %-a</t>
  </si>
  <si>
    <t>a./ általános tartalék</t>
  </si>
  <si>
    <t>Magánszem.komm.adója 100 %</t>
  </si>
  <si>
    <t>b./ céltartalék</t>
  </si>
  <si>
    <t>Magánsz.építm.és telekadó 20 %</t>
  </si>
  <si>
    <t>Értékesített tárgyie.áfabefiz.</t>
  </si>
  <si>
    <t>Támogatás értékű kiadás</t>
  </si>
  <si>
    <t>Felhalm.kiad.ÁFA visszatér.</t>
  </si>
  <si>
    <t>Költségvetési bevét.össz.</t>
  </si>
  <si>
    <t>Költségvetési kiad.össz.</t>
  </si>
  <si>
    <t>Hitelfelvétel</t>
  </si>
  <si>
    <t>Felhalm.bevét.össz.</t>
  </si>
  <si>
    <t>Felhalm.célú kiad.össz.</t>
  </si>
  <si>
    <t>Költségvetési bevét.mindössz.</t>
  </si>
  <si>
    <t>Költségvetési kiad.mindössz.</t>
  </si>
  <si>
    <t>Hiteltörlesztés összesen</t>
  </si>
  <si>
    <t>Önkormányzati bev.mindö.</t>
  </si>
  <si>
    <t>Önkorm.kiadás mindössz.</t>
  </si>
  <si>
    <t xml:space="preserve">                 8.sz. melléklet</t>
  </si>
  <si>
    <t>A költségvetési évet követő 2 év várható előirányzatai</t>
  </si>
  <si>
    <r>
      <t xml:space="preserve">                                </t>
    </r>
    <r>
      <rPr>
        <b/>
        <sz val="12"/>
        <rFont val="Times New Roman"/>
        <family val="1"/>
      </rPr>
      <t xml:space="preserve">Megnevezés            </t>
    </r>
  </si>
  <si>
    <t>2010. év</t>
  </si>
  <si>
    <t>2011. év</t>
  </si>
  <si>
    <t xml:space="preserve">I. Működési célú bevételek és kiadások </t>
  </si>
  <si>
    <t>Intézményi működési bevételek</t>
  </si>
  <si>
    <t>Önkormányzat sajátos működési bevétele</t>
  </si>
  <si>
    <t>Önkorm. költségv.-i támogat., átenged. szem jöv.adó</t>
  </si>
  <si>
    <t xml:space="preserve">Működési célú pénzeszk. átvétel államházt. kívülről </t>
  </si>
  <si>
    <t xml:space="preserve">Támogatásértékű működési bevétel </t>
  </si>
  <si>
    <t xml:space="preserve">Továbbadási célú (lebonyolítási) működ. bevétel </t>
  </si>
  <si>
    <t xml:space="preserve">Működési célú kölcsön visszatérülése, igénybevétele </t>
  </si>
  <si>
    <t>Rövid lejáratú hitel</t>
  </si>
  <si>
    <t xml:space="preserve">Rövid lejár. értékpapírok értékesítése, kibocsátása </t>
  </si>
  <si>
    <t>Működési célú előző évi pénzmaradvány igénybevétele</t>
  </si>
  <si>
    <t xml:space="preserve">Működési célú bevételek összesen: </t>
  </si>
  <si>
    <t xml:space="preserve">Dologi kiadások és egyéb folyó kiadások </t>
  </si>
  <si>
    <t>Működési célú pénzeszköz átadás államházt. kívülre</t>
  </si>
  <si>
    <t>Támogatásértékű működési kiadás</t>
  </si>
  <si>
    <t>Továbbadási célú (lebonyolítási) működ. kiadás</t>
  </si>
  <si>
    <t>Ellátottak pénzbeni juttatása</t>
  </si>
  <si>
    <t xml:space="preserve">Működési célú kölcsönök nyújtása és törlesztése </t>
  </si>
  <si>
    <t xml:space="preserve">Rövid lejáratú hitelek visszafizetése </t>
  </si>
  <si>
    <t>Rövid lejáratú hitelek kamata</t>
  </si>
  <si>
    <t xml:space="preserve">Rövid lejáratú értékpapírok beváltása, vásárlása </t>
  </si>
  <si>
    <t xml:space="preserve">Működési célú kiadások összesen: </t>
  </si>
  <si>
    <t>II. Felhalmozási  célú bevét. és kiad.</t>
  </si>
  <si>
    <t>Önkormányzat felhalmozási és tőke jellegű bevételei</t>
  </si>
  <si>
    <t>Önkormányzatok sajátos felhalm. és tőke jell. bevét.</t>
  </si>
  <si>
    <t xml:space="preserve">Fejlesztési célú támogatások </t>
  </si>
  <si>
    <t>Felhalm.-i célú pénzeszköz átvétel államháztart. kívülről</t>
  </si>
  <si>
    <t xml:space="preserve">Támogatásértékű felhalmozási bevétel </t>
  </si>
  <si>
    <t>Továbbadási (lebonyolítási) célú felhalmozási bevétel</t>
  </si>
  <si>
    <t>Felhalmozási áfa visszatérülés</t>
  </si>
  <si>
    <t>Értékesített tárgyi eszk., immateriális javak áfa-ja</t>
  </si>
  <si>
    <t>Felhalm. célú kölcsönök visszatérülése, igénybevétele</t>
  </si>
  <si>
    <t>Hosszúlejáratú hitel felvétel</t>
  </si>
  <si>
    <t xml:space="preserve">Hosszú lejáratú értékpapírok kibocsátása </t>
  </si>
  <si>
    <t xml:space="preserve">Felhalm.-i célú pénzmaradvány igénybevétele </t>
  </si>
  <si>
    <t>Felhalmozási célú bevételek összesen:</t>
  </si>
  <si>
    <t>Felhalmozási kiadások (áfa-val  együtt)</t>
  </si>
  <si>
    <t>Felújítási kiadások (áfa-val együtt)</t>
  </si>
  <si>
    <t>Értékesített tárgyi eszk. áfa-ja miatti befizetés</t>
  </si>
  <si>
    <t>Felhalm.-i célú pénzeszköz átadás államházt.kívülre</t>
  </si>
  <si>
    <t>Támogatásértékű felhalmozási kiadás</t>
  </si>
  <si>
    <t>Továbbadási (lebonyolítási) célú felhalmozási kiadás</t>
  </si>
  <si>
    <t xml:space="preserve">Felhalmozási célú kölcsönök nyújtása és törlesztése </t>
  </si>
  <si>
    <t>Hosszú lejáratú hitel visszafizetése</t>
  </si>
  <si>
    <t>Hosszú lejáratú hitel kamata</t>
  </si>
  <si>
    <t xml:space="preserve">Hosszú lejáratú értékpapírok vásárlása </t>
  </si>
  <si>
    <t xml:space="preserve">Tartalékok </t>
  </si>
  <si>
    <t>Felhalmozási célú kiadások összesen:</t>
  </si>
  <si>
    <t>Önkormányzat bevételei összesen:</t>
  </si>
  <si>
    <t>Önkormányzat kiadásai összesen:</t>
  </si>
  <si>
    <t xml:space="preserve">           9. sz. melléklet</t>
  </si>
  <si>
    <t>Adatszolgáltatás az önkormányzat felügyelete alá tartozó</t>
  </si>
  <si>
    <t xml:space="preserve">  költségvetési szerv által elismert tartozásállományról </t>
  </si>
  <si>
    <t>2009. ......................... hó</t>
  </si>
  <si>
    <t>Költségvetési szerv neve: ........................................</t>
  </si>
  <si>
    <t>Eredeti éves költségvetés kiadási előirányzata:                 ......................... eFt</t>
  </si>
  <si>
    <t>Eredeti éves költségvetés kiadási előirányzat ....... %-a:    ......................... eFt</t>
  </si>
  <si>
    <t xml:space="preserve">(%= az önkormányzat költségvetési rendeletében meghatározott mérték)  </t>
  </si>
  <si>
    <t>........ napon túli</t>
  </si>
  <si>
    <t>sorsz.</t>
  </si>
  <si>
    <t>Tartozásállomány megnevezése</t>
  </si>
  <si>
    <t xml:space="preserve">tartozásállomány </t>
  </si>
  <si>
    <t>(x)</t>
  </si>
  <si>
    <t xml:space="preserve">Állammal szembeni tartozások </t>
  </si>
  <si>
    <t>Központi költségvetési szervekkel</t>
  </si>
  <si>
    <t>szemben fennálló tartozás</t>
  </si>
  <si>
    <t xml:space="preserve">Elkülönített állami pénzalapokkal </t>
  </si>
  <si>
    <t xml:space="preserve">szembeni tartozás </t>
  </si>
  <si>
    <t>TB alapokkal szembeni tartozás</t>
  </si>
  <si>
    <t xml:space="preserve">Tartozásállomány önkormányzatok </t>
  </si>
  <si>
    <t>és intézményeik felé</t>
  </si>
  <si>
    <t>Szállítókkal szembeni tartozás-állomány</t>
  </si>
  <si>
    <t>Egyéb tartozás-állomány</t>
  </si>
  <si>
    <t xml:space="preserve">(x) Az önkormányzat költségvetési rendletének 23 §-ában </t>
  </si>
  <si>
    <t>meghatározott határnapon túli tartozásállomány.</t>
  </si>
  <si>
    <t xml:space="preserve">........................ 2009. ............ hó .... nap </t>
  </si>
  <si>
    <t>..........................................</t>
  </si>
  <si>
    <t xml:space="preserve">költségvetési szerv vezetője </t>
  </si>
  <si>
    <t>10/A. sz. melléklet</t>
  </si>
  <si>
    <t>A Cigány Kisebbségi Önkormányzat</t>
  </si>
  <si>
    <t>2009. évi költségvetése</t>
  </si>
  <si>
    <t>Bevételek alakulása</t>
  </si>
  <si>
    <t xml:space="preserve">  - Központi támogatás</t>
  </si>
  <si>
    <t xml:space="preserve">  - Önkormányzati támogatás</t>
  </si>
  <si>
    <t xml:space="preserve">  - Átvett pénz (pály.tám.)</t>
  </si>
  <si>
    <t>Ö s s z e s   b e v é t e l</t>
  </si>
  <si>
    <t>Kiadások alakulása</t>
  </si>
  <si>
    <r>
      <t xml:space="preserve">Kôzponti </t>
    </r>
    <r>
      <rPr>
        <b/>
        <sz val="10"/>
        <rFont val="Arial CE"/>
        <family val="2"/>
      </rPr>
      <t xml:space="preserve"> tám. </t>
    </r>
  </si>
  <si>
    <t xml:space="preserve">Önkorm. tám. </t>
  </si>
  <si>
    <t>Kisebbségi alkalm. foglalk.</t>
  </si>
  <si>
    <t>Karbantartás</t>
  </si>
  <si>
    <t>Postaktg</t>
  </si>
  <si>
    <t>Festékpatron</t>
  </si>
  <si>
    <t>Eszközbeszerzés - irodaszer</t>
  </si>
  <si>
    <t>2009. évi kiküldetés, saját szgk*haszn.</t>
  </si>
  <si>
    <t>Roma Ki Mit Tud, Roma Nap</t>
  </si>
  <si>
    <t>Rászoruló iskolás tanulók tanulm.kiránd-</t>
  </si>
  <si>
    <t>2009-ben hátrányos helyzetű iskolások füzetcsomag vásárlása, pótlása</t>
  </si>
  <si>
    <t>Koszorúzás</t>
  </si>
  <si>
    <t>Telefonktg.</t>
  </si>
  <si>
    <t>pályázati díjak</t>
  </si>
  <si>
    <t>Ö s s z e s   k i a d á s</t>
  </si>
  <si>
    <t>Személyi jellegű kiadás</t>
  </si>
  <si>
    <t xml:space="preserve">Munkaadókat terhelő járulák </t>
  </si>
  <si>
    <t>Dologi jellegű kiadás</t>
  </si>
  <si>
    <t>Működési kiadás össz.</t>
  </si>
  <si>
    <t>10/B. sz. melléklet</t>
  </si>
  <si>
    <t>Az Örmény Kisebbségi Önkormányzat</t>
  </si>
  <si>
    <t xml:space="preserve">  - Átvett pénz</t>
  </si>
  <si>
    <t>Társadalmi szervek tám.</t>
  </si>
  <si>
    <t>Dologi kiadás</t>
  </si>
  <si>
    <t xml:space="preserve">11. sz. melléklet </t>
  </si>
  <si>
    <t xml:space="preserve">   ELŐIRÁNYZAT-FELHASZNÁLÁSI ÜTEMTERV</t>
  </si>
  <si>
    <t xml:space="preserve">       2009. év </t>
  </si>
  <si>
    <t xml:space="preserve">Hónap </t>
  </si>
  <si>
    <t xml:space="preserve">Bevétel </t>
  </si>
  <si>
    <t>Kiadás</t>
  </si>
  <si>
    <t xml:space="preserve">Hitel felvétel </t>
  </si>
  <si>
    <t>Hitel törlesztés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</si>
  <si>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</si>
  <si>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</si>
  <si>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</si>
  <si>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</si>
  <si>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</si>
  <si>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</si>
  <si>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</si>
  <si>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</si>
  <si>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</si>
  <si>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</si>
  <si>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</si>
  <si>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 xml:space="preserve">December </t>
  </si>
  <si>
    <t>12. sz. melléklet</t>
  </si>
  <si>
    <t xml:space="preserve">Mezőkövesd város képviselő-testületének hitel- és kötvényállománya </t>
  </si>
  <si>
    <t>és visszafizetési kötelezettsége</t>
  </si>
  <si>
    <t>adatok: eFt</t>
  </si>
  <si>
    <t>Felvétel    éve</t>
  </si>
  <si>
    <t>Működési hitel</t>
  </si>
  <si>
    <t>Fejlesztési hitel</t>
  </si>
  <si>
    <t>Hitelek összesen</t>
  </si>
  <si>
    <t>Egyéb működési hitel</t>
  </si>
  <si>
    <t>Folyó számla hitel</t>
  </si>
  <si>
    <t>Mező F. fűtéskorsz.</t>
  </si>
  <si>
    <t xml:space="preserve"> Piac építés fejl.h., . </t>
  </si>
  <si>
    <t>16 lakásos bérlakás-építés</t>
  </si>
  <si>
    <t>Gépjármű hitel - Polg. Hiv</t>
  </si>
  <si>
    <t xml:space="preserve"> Kötvény visszafiz. **</t>
  </si>
  <si>
    <t>2009. évben induló beruh.</t>
  </si>
  <si>
    <t>Zsóry fürdő      2005.</t>
  </si>
  <si>
    <t>Fennálló hitel, kötvénytart.  2009. I. 1-jén</t>
  </si>
  <si>
    <t>2009. évi hitelfelvét.</t>
  </si>
  <si>
    <t>Hitel vissza-fizetési köt.</t>
  </si>
  <si>
    <t>Mindössz.</t>
  </si>
  <si>
    <t>13.sz. melléklet</t>
  </si>
  <si>
    <t>K I M U T A T Á S</t>
  </si>
  <si>
    <t>Mezőkövesd város önkormányzata által 2009. évben nyújtandó</t>
  </si>
  <si>
    <t>hitelekről, kölcsönökről</t>
  </si>
  <si>
    <t>Hitel, kölcsön nyújtás tervezett összege</t>
  </si>
  <si>
    <t>Lejárat (év)</t>
  </si>
  <si>
    <t>Lakáshitel</t>
  </si>
  <si>
    <t>folyamatos</t>
  </si>
  <si>
    <t>Kamatmentes kölcsön</t>
  </si>
  <si>
    <t>Dolgozók lakásép., felújítási kölcsöne</t>
  </si>
  <si>
    <t xml:space="preserve">  14. sz. melléklet</t>
  </si>
  <si>
    <t>a 2009. évre tervezett közvetett támogatásokról</t>
  </si>
  <si>
    <t>Közvetett támogatás megnevezése</t>
  </si>
  <si>
    <t>Közvetett támogatás tervezett összege</t>
  </si>
  <si>
    <t>Adóelengedések</t>
  </si>
  <si>
    <t xml:space="preserve">Adókedvezmények iparűzési adónál: </t>
  </si>
  <si>
    <t xml:space="preserve">54/2004. (XII.16.) ÖK. sz. rend. 7. § (2) bek. 25 %-os kedv. </t>
  </si>
  <si>
    <t xml:space="preserve">Adókedvezmény, mentesség gépjárműadónál: </t>
  </si>
  <si>
    <t>1991. évi LXXXII. tv. Mozgáskorl. mentesség +költségvetési szervek egyházak, stb.</t>
  </si>
  <si>
    <t xml:space="preserve">Összesen </t>
  </si>
  <si>
    <t>A közvetett támogatások tervezése az előző évi tapasztalati adatok alapján illetve a jogszabályi válto-</t>
  </si>
  <si>
    <t>zások alapulvételével történt. A helyi iparűzési adórendelet 7.§.(2) bekezdése alapján azt a vállalkozót</t>
  </si>
  <si>
    <t xml:space="preserve">akinek a vállalozási szintű adóalapja nem haladja meg az 1 millió Ft-ot 25%-os mértékű adókedvezmény </t>
  </si>
  <si>
    <t>illeti meg.</t>
  </si>
  <si>
    <t>A környezetvédelmi osztályba sorolás szerinti kedvezmény illetve a mozgáskorlátozottság miatti men-</t>
  </si>
  <si>
    <t>tességek tapasztalati adatok illetve a tövény változása alapján kerültek számszerűsítésre.</t>
  </si>
  <si>
    <t xml:space="preserve">  15. sz. melléklet</t>
  </si>
  <si>
    <t>a pénzeszközök  2009. évre tervezett változásáról</t>
  </si>
  <si>
    <t xml:space="preserve">M e g n e v e z é s </t>
  </si>
  <si>
    <t>Kv-i elsz.</t>
  </si>
  <si>
    <t>Nyitó pénzkészlet 2009. január 1-jén</t>
  </si>
  <si>
    <t xml:space="preserve">Összes bevétel tervezett összege </t>
  </si>
  <si>
    <t xml:space="preserve">Összes kiadás tervezett összege </t>
  </si>
  <si>
    <t>Záró pénzkészlet tervezett összege 2009. dec. 31-én</t>
  </si>
  <si>
    <t>16. sz. melléklet</t>
  </si>
  <si>
    <t xml:space="preserve">        KIMUTATÁS</t>
  </si>
  <si>
    <t xml:space="preserve">                 az önkormányzat által felvett hitelek állományáról </t>
  </si>
  <si>
    <t xml:space="preserve">             2009. év </t>
  </si>
  <si>
    <t xml:space="preserve">Hitelintézet megnevezése </t>
  </si>
  <si>
    <t>Hitel megnevezése</t>
  </si>
  <si>
    <t>Hitelállomány</t>
  </si>
  <si>
    <t>Visszafizetett</t>
  </si>
  <si>
    <t xml:space="preserve">Hitelállomány </t>
  </si>
  <si>
    <t>összege tárgy év</t>
  </si>
  <si>
    <t>tárgyévi</t>
  </si>
  <si>
    <t>hitel tárgyévi</t>
  </si>
  <si>
    <t>összege tárgyév</t>
  </si>
  <si>
    <t xml:space="preserve">jan. 1-jén </t>
  </si>
  <si>
    <t xml:space="preserve">összege </t>
  </si>
  <si>
    <t xml:space="preserve">dec. 31-én </t>
  </si>
  <si>
    <t>OTP Bank Rt.</t>
  </si>
  <si>
    <t>Működési, folyószámla hitel</t>
  </si>
  <si>
    <t>Zsóry fejl. hitel 2005.</t>
  </si>
  <si>
    <t>16 lak.bérlakásép. fejl. hitel.</t>
  </si>
  <si>
    <t>Piac-Fejlesztési célhitel</t>
  </si>
  <si>
    <t>xxxxxxxx</t>
  </si>
  <si>
    <t>17. sz. melléklet</t>
  </si>
  <si>
    <t xml:space="preserve">         KIMUTATÁS</t>
  </si>
  <si>
    <t xml:space="preserve">          az önkormányzat által nyújtott hitelek (kölcsönök) állományáról </t>
  </si>
  <si>
    <t xml:space="preserve">              2009. év </t>
  </si>
  <si>
    <t xml:space="preserve">Hitelt (kölcsönt) igénybe vevő  megnevezése </t>
  </si>
  <si>
    <t>Hitel (kölcsön) állomány</t>
  </si>
  <si>
    <t xml:space="preserve">Hitel (kölcsön) </t>
  </si>
  <si>
    <t xml:space="preserve">Visszafizetett hitel </t>
  </si>
  <si>
    <t>Hitel (kölcsön)</t>
  </si>
  <si>
    <t>folyósítás tárgyévi</t>
  </si>
  <si>
    <t>(kölcsön) tárgyévi</t>
  </si>
  <si>
    <t>állomány összege</t>
  </si>
  <si>
    <t xml:space="preserve">jan. 1-jén  </t>
  </si>
  <si>
    <t>összege</t>
  </si>
  <si>
    <t>tárgyév dec. 31-én</t>
  </si>
  <si>
    <t>18. sz.melléklet</t>
  </si>
  <si>
    <t xml:space="preserve">a közvetett támogatásokról </t>
  </si>
  <si>
    <t xml:space="preserve">Közvetett támogatás megnevezése </t>
  </si>
  <si>
    <t xml:space="preserve">                            Összeg </t>
  </si>
  <si>
    <t>Tervezett</t>
  </si>
  <si>
    <t>Tényleges</t>
  </si>
  <si>
    <t xml:space="preserve">Adókedvezmények </t>
  </si>
  <si>
    <t>19. sz.melléklet</t>
  </si>
  <si>
    <t>a pénzeszközök változásáról</t>
  </si>
  <si>
    <t xml:space="preserve">                       Ezer Ft-ban</t>
  </si>
  <si>
    <t xml:space="preserve">Tényleges </t>
  </si>
  <si>
    <t xml:space="preserve">Nyitó pénzkészlet 2009.január 1-jén </t>
  </si>
  <si>
    <t>Összes bevétel összege</t>
  </si>
  <si>
    <t>Összes kiadás összege</t>
  </si>
  <si>
    <t xml:space="preserve">Záró pénzkészlet 2009. dec. 31-én </t>
  </si>
  <si>
    <t>20.sz. melléklet</t>
  </si>
  <si>
    <t>Több éves kihatással járó döntések számszerűsítése</t>
  </si>
  <si>
    <t>Mköv. Szennyv. A. támogatására Ny-i vár.r.</t>
  </si>
  <si>
    <t>Ö S S Z E S E N :</t>
  </si>
  <si>
    <t>A képviselő-testület egyetértett a Mezőkövesd  Szennyvízelvezetéséért Alapítvány célkitűzéseivel, és kötelezettséget vállalt, hogy az Alapítvány részére támogatást nyújt a vállalt célok megvalósítására.</t>
  </si>
  <si>
    <t>1. Sz. tájékoztató</t>
  </si>
  <si>
    <t>Az önkormányzatot 2007-2008-2009. években felhasználási kötöttség nélkül</t>
  </si>
  <si>
    <t>megillető normatív támogatás</t>
  </si>
  <si>
    <t>eFt</t>
  </si>
  <si>
    <t>Jogcím megnevezése</t>
  </si>
  <si>
    <t>2007.tény</t>
  </si>
  <si>
    <t>2008.tény</t>
  </si>
  <si>
    <t>2009.terv</t>
  </si>
  <si>
    <t>Települési, igazgatási, kommunális feladatok</t>
  </si>
  <si>
    <r>
      <t xml:space="preserve">  (17603*1380) </t>
    </r>
    <r>
      <rPr>
        <sz val="10"/>
        <rFont val="Arial"/>
        <family val="2"/>
      </rPr>
      <t>(17520*1430)</t>
    </r>
    <r>
      <rPr>
        <b/>
        <sz val="10"/>
        <rFont val="Arial CE"/>
        <family val="2"/>
      </rPr>
      <t>17389*1057</t>
    </r>
  </si>
  <si>
    <t>Települési sportfeladatok támog. 17389*500</t>
  </si>
  <si>
    <r>
      <t xml:space="preserve">Körjegyz. műk alaphzj. </t>
    </r>
    <r>
      <rPr>
        <i/>
        <sz val="9"/>
        <rFont val="Arial CE"/>
        <family val="2"/>
      </rPr>
      <t>(12*370000) (12*370000)</t>
    </r>
    <r>
      <rPr>
        <b/>
        <sz val="9"/>
        <rFont val="Arial CE"/>
        <family val="2"/>
      </rPr>
      <t>12*300000</t>
    </r>
  </si>
  <si>
    <t>Üdülőhelyi feladatok</t>
  </si>
  <si>
    <r>
      <t xml:space="preserve">   </t>
    </r>
    <r>
      <rPr>
        <sz val="10"/>
        <rFont val="Arial CE"/>
        <family val="2"/>
      </rPr>
      <t>(12.000.000*2) (14.000.000*</t>
    </r>
    <r>
      <rPr>
        <i/>
        <sz val="10"/>
        <rFont val="Arial CE"/>
        <family val="2"/>
      </rPr>
      <t>2)</t>
    </r>
    <r>
      <rPr>
        <b/>
        <i/>
        <sz val="10"/>
        <rFont val="Arial CE"/>
        <family val="2"/>
      </rPr>
      <t>16.000.000*2</t>
    </r>
  </si>
  <si>
    <t>Bentlakásos és átmeneti elh. nyújtó intézményi ellátás</t>
  </si>
  <si>
    <r>
      <t xml:space="preserve">    </t>
    </r>
    <r>
      <rPr>
        <sz val="10"/>
        <rFont val="Arial CE"/>
        <family val="2"/>
      </rPr>
      <t>(55*700000)</t>
    </r>
  </si>
  <si>
    <t>Nappali szociális intézeti ellátás (30*150.000)</t>
  </si>
  <si>
    <r>
      <t xml:space="preserve">Bölcsődei ellátás   </t>
    </r>
    <r>
      <rPr>
        <sz val="10"/>
        <rFont val="Arial CE"/>
        <family val="2"/>
      </rPr>
      <t xml:space="preserve">(48*547.000) (56*547000) </t>
    </r>
    <r>
      <rPr>
        <b/>
        <sz val="10"/>
        <rFont val="Arial CE"/>
        <family val="2"/>
      </rPr>
      <t>56*540150</t>
    </r>
  </si>
  <si>
    <r>
      <t xml:space="preserve">Ingyenes bölcsődei étk. </t>
    </r>
    <r>
      <rPr>
        <sz val="10"/>
        <rFont val="Arial CE"/>
        <family val="2"/>
      </rPr>
      <t>(6*50000)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>(10*50000)</t>
    </r>
    <r>
      <rPr>
        <b/>
        <sz val="10"/>
        <rFont val="Arial CE"/>
        <family val="2"/>
      </rPr>
      <t xml:space="preserve"> 19*65000</t>
    </r>
  </si>
  <si>
    <r>
      <t xml:space="preserve">Óvodai nev.alaphzj </t>
    </r>
    <r>
      <rPr>
        <sz val="8"/>
        <rFont val="Arial CE"/>
        <family val="2"/>
      </rPr>
      <t>(453*199.000)(</t>
    </r>
    <r>
      <rPr>
        <i/>
        <sz val="8"/>
        <rFont val="Arial CE"/>
        <family val="2"/>
      </rPr>
      <t>497*199.000*8/12)</t>
    </r>
  </si>
  <si>
    <t>Óvodai hzj. Kieg. Hzj (140*10.000 Ft)</t>
  </si>
  <si>
    <r>
      <t>Óvodai nev. alaphzj.(2007.szept.1-től  8,3*2550000*4/12 1.nev.év.) 1</t>
    </r>
    <r>
      <rPr>
        <b/>
        <sz val="10"/>
        <rFont val="Arial CE"/>
        <family val="2"/>
      </rPr>
      <t>-</t>
    </r>
    <r>
      <rPr>
        <sz val="10"/>
        <rFont val="Arial CE"/>
        <family val="2"/>
      </rPr>
      <t>nevelési év 111*2550000*8/12</t>
    </r>
  </si>
  <si>
    <t>Óvodai nev. alaphzj.(2007.szept.1-től  8,3*2550000*4/12 1.nev.év.) 2-3-nevelési év 358*2550000*8/13</t>
  </si>
  <si>
    <r>
      <t xml:space="preserve">Óvodai nev. alaphzj.(2007.szept.1-től  8,3*2550000*4/12 1.nev.év.) 1-2 nevelési év </t>
    </r>
    <r>
      <rPr>
        <sz val="8"/>
        <rFont val="Arial CE"/>
        <family val="2"/>
      </rPr>
      <t>(105*2550000*4/12)</t>
    </r>
  </si>
  <si>
    <t>Óvodai nev. alaphzj.(2007.szept.1-től  8,3*2550000*4/12 1.nev.év.)3-nevelési év 350*2550000*4/12</t>
  </si>
  <si>
    <t xml:space="preserve">Óvodai nev. alaphzj.1-3-nevelési év </t>
  </si>
  <si>
    <t>Alaphzj.2007.szept.1-től 32,4*2550000*4/12 2-3.nev.év.</t>
  </si>
  <si>
    <t>Óvodai gyógyped.ellát.</t>
  </si>
  <si>
    <t>beszéd, enyhe ért.fogy.pszichés fejl.zavar integrált nev. 3*417600*8/12</t>
  </si>
  <si>
    <t>beszéd, enyhe ért.fogy.integrált nev. 1*192000*4/12</t>
  </si>
  <si>
    <r>
      <t>Isk.okt.alaph.1-4évf.</t>
    </r>
    <r>
      <rPr>
        <b/>
        <i/>
        <sz val="8"/>
        <rFont val="Arial CE"/>
        <family val="2"/>
      </rPr>
      <t>(</t>
    </r>
    <r>
      <rPr>
        <sz val="8"/>
        <rFont val="Arial CE"/>
        <family val="2"/>
      </rPr>
      <t>491*204.000(</t>
    </r>
    <r>
      <rPr>
        <b/>
        <i/>
        <sz val="8"/>
        <rFont val="Arial CE"/>
        <family val="2"/>
      </rPr>
      <t>)</t>
    </r>
    <r>
      <rPr>
        <sz val="8"/>
        <rFont val="Arial CE"/>
        <family val="2"/>
      </rPr>
      <t>453*204.000*8/12)</t>
    </r>
  </si>
  <si>
    <t>Isk.okt.alaph.1évf.132*2550000*8/12</t>
  </si>
  <si>
    <t>Isk.okt.alaph.2-3évf.260*2550000*8/12</t>
  </si>
  <si>
    <t>Isk.okt.alaph.4évf.173*2550000*8/12</t>
  </si>
  <si>
    <t>Isk.okt.alaph.1-2.évf.269*2550000*4/12</t>
  </si>
  <si>
    <t>Isk.okt.alaph.3évf.118*2550000*4/12</t>
  </si>
  <si>
    <t>Isk.okt.alaph.4évf.139*2550000*4/12</t>
  </si>
  <si>
    <t>Isk.okt.alaph.1-2.évf. (2009)</t>
  </si>
  <si>
    <t>Isk.okt.alaph.3évf. (2009)</t>
  </si>
  <si>
    <t>Isk.okt.alaph.4évf. (2009)</t>
  </si>
  <si>
    <t>Alaphzj.2007.szept.1-től 6,1*2550000*4/12  1.évf.</t>
  </si>
  <si>
    <t>Alaphzj.2007.szept.1-től 14,4*2550000*4/12  2-3.évf.</t>
  </si>
  <si>
    <t>Alaphzj.2007.szept.1-től 10,1*2550000*4/12  4.évf.</t>
  </si>
  <si>
    <t>sajátos nev.ig. 1-4.név (testi, érzékszervi, autista, értelmi fogy.) 2*603,200*8/12</t>
  </si>
  <si>
    <t>beszéd, enyhe ért.fogy.pszichés fejl.zavar integrált nev.      1-4. Évf.8*417600*8/12</t>
  </si>
  <si>
    <t>beszéd, enyhe ért.fogy.pszichés fejl.zavar integrált nev.      1-4. Évf. külön szerv. Csopr. 13*371200*8/12</t>
  </si>
  <si>
    <t>sajátos nev.ig. 1-4.név (testi, érzékszervi, autista, értelmi fogy.) 1*384000*4/12</t>
  </si>
  <si>
    <t>beszéd, enyhe ért.fogy. integrált nev.      1-4. Évf. külön szerv. Csopr. 8*192000*4/12</t>
  </si>
  <si>
    <t>beszéd, enyhe ért.fogy. integrált nev. többivel     1-4. Évf. 5*192000*4/13</t>
  </si>
  <si>
    <t>2009. terv</t>
  </si>
  <si>
    <r>
      <t>Isk.okt.alaph.5-8.évf. (</t>
    </r>
    <r>
      <rPr>
        <sz val="10"/>
        <rFont val="Arial CE"/>
        <family val="2"/>
      </rPr>
      <t>578*212000*8/12)</t>
    </r>
  </si>
  <si>
    <t>Iskolai okt.5. Évfolyam (167*2550000*8/12)</t>
  </si>
  <si>
    <t>Iskolai okt.6. Évfolyam (172*2550000*8/12)</t>
  </si>
  <si>
    <t>Iskolai okt.7-8. Évfolyam (328*2550000*8/12)</t>
  </si>
  <si>
    <t>Iskolai okt.5-6. Évfolyam (316*2550000*4/12)</t>
  </si>
  <si>
    <t>Iskolai okt.7-8. Évfolyam (330*2550000*4/12)</t>
  </si>
  <si>
    <t>Iskolai okt.5-6. Évfolyam (2009)</t>
  </si>
  <si>
    <t>Iskolai okt.7. Évfolyam (2009)</t>
  </si>
  <si>
    <t>Iskolai okt.8. Évfolyam (2009)</t>
  </si>
  <si>
    <t>Alaphzj.2007.szept.1-től 9,4*2550000*4/12 5.évf.</t>
  </si>
  <si>
    <t>Alaphzj.2007.szept.1-től  13,7*2550000*4/12 6.évf.</t>
  </si>
  <si>
    <t>Alaphzj.2007.szept.1-től 25,9*2550000*4/12 7-8évf.</t>
  </si>
  <si>
    <t>sajátos nev.ig. 5-8.név (testi, érzékszervi, autista, értelmi fogy.) 4*603,200*8/12</t>
  </si>
  <si>
    <t>beszéd, enyhe ért.fogy.pszichés fejl.zavar integrált nev.      5-8. Évf.11*417600*8/12</t>
  </si>
  <si>
    <t>beszéd, enyhe ért.fogy.pszichés fejl.zavar integrált nev.      5-8. Évf. külön szerv. Csopr. 21*371200*8/12</t>
  </si>
  <si>
    <t>sajátos nev.ig. 5-8.név (testi, érzékszervi, autista, értelmi fogy.) 4*384000*4/12</t>
  </si>
  <si>
    <t>beszéd, enyhe ért.fogy. integrált nev. többivel     5-8. Évf. 5*192000*4/13</t>
  </si>
  <si>
    <t>beszéd, enyhe ért.fogy.integrált nev.      5-8. Évf. külön szerv. Csopr. 22*192000*4/12</t>
  </si>
  <si>
    <t>sajátos.nev.igényű tan.nev.okt.2*240000*4/12</t>
  </si>
  <si>
    <t>sajátos.nev.igényű tan.nev.okt.(2009)</t>
  </si>
  <si>
    <t>testi, érzékszervi középsúlyos értelmi fogyatékos, autista  halmozottan fogyatékos 5*384000*8/12</t>
  </si>
  <si>
    <t>testi, érzékszervi középsúlyos értelmi fogyatékos, autista  halmozottan fogyatékos 4*384000*4/12</t>
  </si>
  <si>
    <t>beszédfogy. Enyhe ért.fogy. Viselkedés fejlődésének organikus okokra visszavez. És nem visszavez. Tartós és súlyos rendell. Miatt sajátos nev.ig. tan. 40*192000*8/12</t>
  </si>
  <si>
    <t>beszédfogy. Enyhe ért.fogy. Viselkedés fejlődésének organikus okokra visszavez. tartós és súlyos rendell. Miatt sajátos nev.ig. tan. 35*192000*4/12</t>
  </si>
  <si>
    <t>Viselkedés fejlődésének organikus okokra vissza nem vez.tartós és súlyos rendell. Miatt sajátos nev.ig. tan.(2009)</t>
  </si>
  <si>
    <t>Viselkedés fejlődésének organikus okokra vissza nem vez.tartós és súlyos rendell. Miatt sajátos nev.ig. tan. 30*144000*4/12</t>
  </si>
  <si>
    <r>
      <t>Isk.okt.9-13 évf(</t>
    </r>
    <r>
      <rPr>
        <i/>
        <sz val="8"/>
        <rFont val="Arial CE"/>
        <family val="2"/>
      </rPr>
      <t>1255*262000*8/12)</t>
    </r>
  </si>
  <si>
    <t>Alaphzj.2007.szept.1-től 31,6*2550000*4/12 9.évf.</t>
  </si>
  <si>
    <t>Alaphzj.2007.szept.1-től 33,2*2550000*4/12 10.évf.</t>
  </si>
  <si>
    <t>Alaphzj.2007.szept.1-től 54,5*2550000*4/12 11-13.évf.</t>
  </si>
  <si>
    <t>Isk. okt. 9. Évf.341*2550000*8/12</t>
  </si>
  <si>
    <t>Isk. okt. 10. Évf.362*2550000*8/12</t>
  </si>
  <si>
    <t>Isk. okt.11-139. Évf.508*2550000*8/12</t>
  </si>
  <si>
    <t>Isk.okt.9-10. Évf. 730*2550000*4/12</t>
  </si>
  <si>
    <t>Isk.okt.9-10. Évf. (2009)</t>
  </si>
  <si>
    <t>Isk.okt.11-13. Évf. 549*2550000*4/12</t>
  </si>
  <si>
    <t>Isk.okt.11. Évf.(2009)</t>
  </si>
  <si>
    <t>Isk.okt.12-13. Évf. (2009)</t>
  </si>
  <si>
    <r>
      <t>Isk.szak</t>
    </r>
    <r>
      <rPr>
        <sz val="8"/>
        <rFont val="Arial CE"/>
        <family val="2"/>
      </rPr>
      <t>.(szakm.elm)(</t>
    </r>
    <r>
      <rPr>
        <i/>
        <sz val="8"/>
        <rFont val="Arial CE"/>
        <family val="2"/>
      </rPr>
      <t>305*210000*8/12)</t>
    </r>
  </si>
  <si>
    <t>Alaphzj.2007.szept.1-től 13,7*2550000*4/12 (felzárkózt. 9. Évf., szakisk. 1/11évf., szakközisk. 1/13évf.)</t>
  </si>
  <si>
    <t>Alaphzj.2007.szept.1-től 10,4*2550000*4/12 ( szakisk. 1/12évf., szakközisk. 1/14évf.)</t>
  </si>
  <si>
    <t>Isk. szak. Szakmai elm. Okt.9. Éfv.185*2550000*8/12</t>
  </si>
  <si>
    <t>Isk. szak. Szakmai elm. Okt.10-11-12. Éfv.136*2550000*8/12</t>
  </si>
  <si>
    <t>Isk.szak.szakm.elm.okt. 9.évf-10.évf. 315*2550000*4/12</t>
  </si>
  <si>
    <t>Isk.szak.szakm.elm.okt. 11.évf-12.évf. 35*2550000*4/12</t>
  </si>
  <si>
    <r>
      <t>Isk. gyak. Okt.9-10.évf (121*40000) (</t>
    </r>
    <r>
      <rPr>
        <i/>
        <sz val="10"/>
        <rFont val="Arial CE"/>
        <family val="2"/>
      </rPr>
      <t>215*40000*8/12)</t>
    </r>
  </si>
  <si>
    <r>
      <t>Isk. gyak. Okt.9-10.évf (121*40000) (</t>
    </r>
    <r>
      <rPr>
        <i/>
        <sz val="10"/>
        <rFont val="Arial CE"/>
        <family val="2"/>
      </rPr>
      <t>205*40000*4/12)</t>
    </r>
  </si>
  <si>
    <t>Isk.szak(szakm.gyak)(12*112000) (6*112000*4/12)</t>
  </si>
  <si>
    <t>Isk.szak(szakm.gyak)(2009)</t>
  </si>
  <si>
    <r>
      <t>Isk.szak. (szak.gyak.) (</t>
    </r>
    <r>
      <rPr>
        <sz val="10"/>
        <rFont val="Arial CE"/>
        <family val="2"/>
      </rPr>
      <t>71*156800) (77*156800*8/12)</t>
    </r>
  </si>
  <si>
    <r>
      <t>Isk.szak. (szak.gyak.)</t>
    </r>
    <r>
      <rPr>
        <i/>
        <sz val="10"/>
        <rFont val="Arial CE"/>
        <family val="2"/>
      </rPr>
      <t xml:space="preserve"> (</t>
    </r>
    <r>
      <rPr>
        <sz val="10"/>
        <rFont val="Arial CE"/>
        <family val="2"/>
      </rPr>
      <t>75*156800*4/12)</t>
    </r>
  </si>
  <si>
    <r>
      <t>Isk.szak(szakm gyak)(</t>
    </r>
    <r>
      <rPr>
        <sz val="10"/>
        <rFont val="Arial CE"/>
        <family val="2"/>
      </rPr>
      <t>156*22,400) (121*22400*8/12)</t>
    </r>
  </si>
  <si>
    <r>
      <t>Isk.szak(szakm gyak)(</t>
    </r>
    <r>
      <rPr>
        <sz val="10"/>
        <rFont val="Arial CE"/>
        <family val="2"/>
      </rPr>
      <t>120*22400*4/12)</t>
    </r>
  </si>
  <si>
    <r>
      <t>Iskol.szak. záró évf. képz. (</t>
    </r>
    <r>
      <rPr>
        <sz val="10"/>
        <rFont val="Arial CE"/>
        <family val="2"/>
      </rPr>
      <t>46*67200) (63*67200*8/12)</t>
    </r>
  </si>
  <si>
    <r>
      <t xml:space="preserve">Iskol.szak. záró évf. képz. </t>
    </r>
    <r>
      <rPr>
        <sz val="10"/>
        <rFont val="Arial CE"/>
        <family val="2"/>
      </rPr>
      <t xml:space="preserve"> (60*67200*4/12)</t>
    </r>
  </si>
  <si>
    <r>
      <t xml:space="preserve">Gyógypedagógiai nev. visszahely. </t>
    </r>
    <r>
      <rPr>
        <b/>
        <sz val="10"/>
        <rFont val="Arial CE"/>
        <family val="2"/>
      </rPr>
      <t>1*144000*8/12</t>
    </r>
    <r>
      <rPr>
        <sz val="10"/>
        <rFont val="Arial"/>
        <family val="2"/>
      </rPr>
      <t xml:space="preserve"> </t>
    </r>
  </si>
  <si>
    <t xml:space="preserve">Gyógyped.ell.1-4.oszt.alap </t>
  </si>
  <si>
    <t xml:space="preserve">gyógyped. Ell. 1-4.oszt. kieg </t>
  </si>
  <si>
    <t xml:space="preserve">Gyógyped. Ell. 5-8.oszt. Alap </t>
  </si>
  <si>
    <t xml:space="preserve">gyógyped. Ell. 5-8.oszt. kieg </t>
  </si>
  <si>
    <r>
      <t>Korai fejl gond.</t>
    </r>
    <r>
      <rPr>
        <i/>
        <sz val="10"/>
        <rFont val="Arial CE"/>
        <family val="2"/>
      </rPr>
      <t>( 5*240.000) (10*240000)</t>
    </r>
  </si>
  <si>
    <r>
      <t xml:space="preserve">Fejlesztő felkészítés </t>
    </r>
    <r>
      <rPr>
        <sz val="10"/>
        <rFont val="Arial CE"/>
        <family val="2"/>
      </rPr>
      <t>(</t>
    </r>
    <r>
      <rPr>
        <b/>
        <i/>
        <sz val="10"/>
        <rFont val="Arial CE"/>
        <family val="2"/>
      </rPr>
      <t xml:space="preserve"> </t>
    </r>
    <r>
      <rPr>
        <sz val="10"/>
        <rFont val="Arial CE"/>
        <family val="2"/>
      </rPr>
      <t>3*325000)(2*325000)</t>
    </r>
  </si>
  <si>
    <r>
      <t>Alapf.műv.zenem.ág.(295*105000)</t>
    </r>
    <r>
      <rPr>
        <b/>
        <sz val="9"/>
        <rFont val="Arial CE"/>
        <family val="2"/>
      </rPr>
      <t xml:space="preserve"> (</t>
    </r>
    <r>
      <rPr>
        <sz val="9"/>
        <rFont val="Arial CE"/>
        <family val="2"/>
      </rPr>
      <t>252*105000*8/12)</t>
    </r>
  </si>
  <si>
    <r>
      <t>Képzőm, táncm (144*50000*8/12/8*6)</t>
    </r>
    <r>
      <rPr>
        <i/>
        <sz val="8"/>
        <rFont val="Arial CE"/>
        <family val="2"/>
      </rPr>
      <t xml:space="preserve"> (152*40000*8/12)</t>
    </r>
  </si>
  <si>
    <t>Alapf.zeneműv. 275*2550000*4/12</t>
  </si>
  <si>
    <t>Képző, taáncműv.okt. 152*2500000*4/12</t>
  </si>
  <si>
    <t>Képző .min.int.zene 275*51000*4/12</t>
  </si>
  <si>
    <t>Képző .min.int.zene (2009)</t>
  </si>
  <si>
    <t>Képző.min.int.képző 152*20000*4/12</t>
  </si>
  <si>
    <t>Képző.min.int.képző (2009)</t>
  </si>
  <si>
    <r>
      <t>Bentl kollég ell(</t>
    </r>
    <r>
      <rPr>
        <sz val="10"/>
        <rFont val="Arial CE"/>
        <family val="2"/>
      </rPr>
      <t>103*318.000)99*318000) 78*318000*8/12</t>
    </r>
  </si>
  <si>
    <r>
      <t>Bentl kollég ell</t>
    </r>
    <r>
      <rPr>
        <sz val="10"/>
        <rFont val="Arial CE"/>
        <family val="2"/>
      </rPr>
      <t xml:space="preserve"> 78*2550000*4/12</t>
    </r>
  </si>
  <si>
    <r>
      <t>Kollég.lakhatási feltételek megt</t>
    </r>
    <r>
      <rPr>
        <sz val="8"/>
        <rFont val="Arial CE"/>
        <family val="2"/>
      </rPr>
      <t>.(78*186000*4/12)</t>
    </r>
    <r>
      <rPr>
        <b/>
        <sz val="9"/>
        <rFont val="Arial CE"/>
        <family val="2"/>
      </rPr>
      <t>72*186000*8/12</t>
    </r>
  </si>
  <si>
    <r>
      <t>Kollég.lakhatási feltételek megt</t>
    </r>
    <r>
      <rPr>
        <sz val="8"/>
        <rFont val="Arial CE"/>
        <family val="2"/>
      </rPr>
      <t xml:space="preserve">. </t>
    </r>
    <r>
      <rPr>
        <b/>
        <sz val="8"/>
        <rFont val="Arial CE"/>
        <family val="2"/>
      </rPr>
      <t>72*177000*4/12</t>
    </r>
  </si>
  <si>
    <r>
      <t>Ált.Isk. napk. Fogl.(</t>
    </r>
    <r>
      <rPr>
        <sz val="10"/>
        <rFont val="Arial CE"/>
        <family val="2"/>
      </rPr>
      <t>375*23000) 534*23000*8/12)</t>
    </r>
  </si>
  <si>
    <t>Ált.isk.napk. 1-4.évf. 391*2550000*4/12</t>
  </si>
  <si>
    <t>Ált.isk.napk. 5-8.évf. 140*2550000*4/12</t>
  </si>
  <si>
    <t>Ált.isk.napk. 1-4.évf. (2009)</t>
  </si>
  <si>
    <t>Ált.isk.napk. 5-8.évf. (2009)</t>
  </si>
  <si>
    <r>
      <t>Különl.helyz.lévő tan.(</t>
    </r>
    <r>
      <rPr>
        <i/>
        <sz val="10"/>
        <rFont val="Arial CE"/>
        <family val="2"/>
      </rPr>
      <t>50*20500*8/12)</t>
    </r>
  </si>
  <si>
    <r>
      <t>roma kisebbségi okt. magyar nyelven (</t>
    </r>
    <r>
      <rPr>
        <i/>
        <sz val="10"/>
        <rFont val="Arial CE"/>
        <family val="2"/>
      </rPr>
      <t>14*45000)</t>
    </r>
  </si>
  <si>
    <r>
      <t>Nyelvi felkészítő tanf.</t>
    </r>
    <r>
      <rPr>
        <sz val="10"/>
        <rFont val="Arial CE"/>
        <family val="2"/>
      </rPr>
      <t>61*71500 49*71500*8/12</t>
    </r>
  </si>
  <si>
    <r>
      <t>Nyelvi felkészítő tanf.(</t>
    </r>
    <r>
      <rPr>
        <sz val="10"/>
        <rFont val="Arial CE"/>
        <family val="2"/>
      </rPr>
      <t>35*71500*4/12)</t>
    </r>
  </si>
  <si>
    <t xml:space="preserve"> Kedvezményes étkeztetés  óvoda (173*550009</t>
  </si>
  <si>
    <t xml:space="preserve">                                         ált. iskola (235*55000)</t>
  </si>
  <si>
    <t xml:space="preserve">                                         középisk, szakközép (75*55000)</t>
  </si>
  <si>
    <t xml:space="preserve">                                         gimnázium</t>
  </si>
  <si>
    <t xml:space="preserve">                                         szakközépiskola</t>
  </si>
  <si>
    <t xml:space="preserve">                                         kollégium (44*55000)</t>
  </si>
  <si>
    <t xml:space="preserve"> kieg.hzj. Rsz-es gyvt. Kedv. Részesülő 5.éf. Áltisk.ingy.étk. (27*16000)</t>
  </si>
  <si>
    <t>50%-os tér.d. (óvóda, isk,.koll. Tartós beteg, )50*55000</t>
  </si>
  <si>
    <t>50%-os tér.d.(óvóda, isk,.koll. 3 és több gyerm.)255*55000</t>
  </si>
  <si>
    <t>50%-os tér.d.( 5.évf-tól isk. okt. szakk.rensz. Gyvt.)300*55000</t>
  </si>
  <si>
    <t xml:space="preserve"> 100%-os tér díj.kedv.óvod (103*55000)</t>
  </si>
  <si>
    <r>
      <t xml:space="preserve"> 100%-os tér díj.kedv.1-4 évf. rendsz. Gyvt. (150</t>
    </r>
    <r>
      <rPr>
        <i/>
        <sz val="10"/>
        <rFont val="Arial CE"/>
        <family val="2"/>
      </rPr>
      <t>*55000)</t>
    </r>
  </si>
  <si>
    <r>
      <t xml:space="preserve">Bejáró tan.1-4. Évf. ( </t>
    </r>
    <r>
      <rPr>
        <sz val="10"/>
        <rFont val="Arial CE"/>
        <family val="2"/>
      </rPr>
      <t>38*15.000</t>
    </r>
    <r>
      <rPr>
        <b/>
        <i/>
        <sz val="10"/>
        <rFont val="Arial CE"/>
        <family val="2"/>
      </rPr>
      <t xml:space="preserve">) </t>
    </r>
    <r>
      <rPr>
        <sz val="10"/>
        <rFont val="Arial CE"/>
        <family val="2"/>
      </rPr>
      <t>38*15000*8/12</t>
    </r>
  </si>
  <si>
    <r>
      <t xml:space="preserve">                5-8. Évf.( </t>
    </r>
    <r>
      <rPr>
        <sz val="10"/>
        <rFont val="Arial CE"/>
        <family val="2"/>
      </rPr>
      <t>86*15.000</t>
    </r>
    <r>
      <rPr>
        <b/>
        <i/>
        <sz val="10"/>
        <rFont val="Arial CE"/>
        <family val="2"/>
      </rPr>
      <t xml:space="preserve">) </t>
    </r>
    <r>
      <rPr>
        <sz val="10"/>
        <rFont val="Arial CE"/>
        <family val="2"/>
      </rPr>
      <t>55*15000*8/12</t>
    </r>
  </si>
  <si>
    <r>
      <t xml:space="preserve">                óvodás (</t>
    </r>
    <r>
      <rPr>
        <sz val="10"/>
        <rFont val="Arial CE"/>
        <family val="2"/>
      </rPr>
      <t>4*15.000)</t>
    </r>
    <r>
      <rPr>
        <b/>
        <i/>
        <sz val="10"/>
        <rFont val="Arial CE"/>
        <family val="2"/>
      </rPr>
      <t xml:space="preserve"> </t>
    </r>
    <r>
      <rPr>
        <sz val="10"/>
        <rFont val="Arial CE"/>
        <family val="2"/>
      </rPr>
      <t>7*15000*8/12</t>
    </r>
  </si>
  <si>
    <r>
      <t xml:space="preserve">                9-13. Évf.</t>
    </r>
    <r>
      <rPr>
        <sz val="10"/>
        <rFont val="Arial CE"/>
        <family val="2"/>
      </rPr>
      <t>609*15000</t>
    </r>
  </si>
  <si>
    <r>
      <t xml:space="preserve">                iskolai szak.(178*9800) (</t>
    </r>
    <r>
      <rPr>
        <sz val="10"/>
        <rFont val="Arial CE"/>
        <family val="2"/>
      </rPr>
      <t>149*15.000) 178*15000</t>
    </r>
  </si>
  <si>
    <r>
      <t xml:space="preserve">Bejáró tanuló (805*15000*8/12) </t>
    </r>
    <r>
      <rPr>
        <b/>
        <sz val="10"/>
        <rFont val="Arial CE"/>
        <family val="2"/>
      </rPr>
      <t>901*18000*8/12</t>
    </r>
  </si>
  <si>
    <r>
      <t xml:space="preserve">Bejáró tanuló (820*18000*4/12) </t>
    </r>
    <r>
      <rPr>
        <b/>
        <sz val="10"/>
        <rFont val="Arial CE"/>
        <family val="2"/>
      </rPr>
      <t>926*18000*4/12</t>
    </r>
  </si>
  <si>
    <r>
      <t xml:space="preserve">Intfent. társ. ált. isk.(50*45000) </t>
    </r>
    <r>
      <rPr>
        <sz val="10"/>
        <rFont val="Arial CE"/>
        <family val="2"/>
      </rPr>
      <t>63*45.000) 162*45000*8/12</t>
    </r>
  </si>
  <si>
    <r>
      <t>Intfent. társ. ált. isk. bejáró1-4 évf. 29*45000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>68*45000*4/12</t>
    </r>
  </si>
  <si>
    <r>
      <t>Intfent. társ. ált. isk. bejáró5. Évf.</t>
    </r>
    <r>
      <rPr>
        <i/>
        <sz val="8"/>
        <rFont val="Arial CE"/>
        <family val="2"/>
      </rPr>
      <t xml:space="preserve"> </t>
    </r>
    <r>
      <rPr>
        <sz val="8"/>
        <rFont val="Arial CE"/>
        <family val="2"/>
      </rPr>
      <t>(23*45000*4/12)</t>
    </r>
    <r>
      <rPr>
        <b/>
        <sz val="8"/>
        <rFont val="Arial CE"/>
        <family val="2"/>
      </rPr>
      <t>21*45000*8/12</t>
    </r>
  </si>
  <si>
    <r>
      <t>Intfent. társ. ált. isk. bejáró6-8. Évf</t>
    </r>
    <r>
      <rPr>
        <b/>
        <i/>
        <sz val="10"/>
        <rFont val="Arial CE"/>
        <family val="2"/>
      </rPr>
      <t>.</t>
    </r>
    <r>
      <rPr>
        <sz val="8"/>
        <rFont val="Arial CE"/>
        <family val="2"/>
      </rPr>
      <t>(68*45000*4/12)69*45000*8/12</t>
    </r>
  </si>
  <si>
    <t>Intfent. társ. ált. isk. bejáró1-4 évf.(2009)</t>
  </si>
  <si>
    <t>Intfent. társ. ált. isk. bejáró5-6. Évf. (2009)</t>
  </si>
  <si>
    <t>Intfent. társ. ált. isk. bejáró7-8. Évf.(2009)</t>
  </si>
  <si>
    <r>
      <t>Helyi közm.közgy felad.(17603*1135)(17520*1135)</t>
    </r>
    <r>
      <rPr>
        <b/>
        <sz val="9"/>
        <rFont val="Arial CE"/>
        <family val="2"/>
      </rPr>
      <t>17389*1061</t>
    </r>
  </si>
  <si>
    <r>
      <t>Lakott területtel kapcs feladatok</t>
    </r>
    <r>
      <rPr>
        <sz val="10"/>
        <rFont val="Arial CE"/>
        <family val="2"/>
      </rPr>
      <t xml:space="preserve">( 44*3800) (44*3800) </t>
    </r>
    <r>
      <rPr>
        <b/>
        <sz val="10"/>
        <rFont val="Arial CE"/>
        <family val="2"/>
      </rPr>
      <t>44*3088</t>
    </r>
  </si>
  <si>
    <t>Körzeti igazgatási feladatok</t>
  </si>
  <si>
    <t xml:space="preserve"> -körzetközpont</t>
  </si>
  <si>
    <r>
      <t xml:space="preserve"> -okmányir.munkaáll.(36252x 504)(39886*513)</t>
    </r>
    <r>
      <rPr>
        <b/>
        <sz val="10"/>
        <rFont val="Arial CE"/>
        <family val="2"/>
      </rPr>
      <t xml:space="preserve"> 39886*324</t>
    </r>
  </si>
  <si>
    <r>
      <t xml:space="preserve"> - körzetközpontnak gyám. ügy.felad (45326*280) </t>
    </r>
    <r>
      <rPr>
        <b/>
        <sz val="10"/>
        <rFont val="Arial CE"/>
        <family val="2"/>
      </rPr>
      <t>45326*270</t>
    </r>
  </si>
  <si>
    <r>
      <t xml:space="preserve"> - körzetközpontnak ép. ügy.felad alap hzj.(45301*50)</t>
    </r>
    <r>
      <rPr>
        <b/>
        <sz val="10"/>
        <rFont val="Arial CE"/>
        <family val="2"/>
      </rPr>
      <t>45301*70</t>
    </r>
  </si>
  <si>
    <r>
      <t xml:space="preserve"> - körzetközpontnak ép. ügy.felad kieg.hzj(479 *7700)</t>
    </r>
    <r>
      <rPr>
        <b/>
        <sz val="10"/>
        <rFont val="Arial CE"/>
        <family val="2"/>
      </rPr>
      <t>479*7737</t>
    </r>
  </si>
  <si>
    <t>Pénzbeni és termész. szoc. és gyerm.jóléti ellátások*********</t>
  </si>
  <si>
    <t>A lakáshoz jutás és a lakásfent. Felad. Ellátásához***********</t>
  </si>
  <si>
    <t>Szoc.és gyermekj.alaphzj.</t>
  </si>
  <si>
    <t>Szoc. Étkeztetés(169*70800)180*81200)</t>
  </si>
  <si>
    <t>Szoc.étkezés 2007.dec.h-ban ellátott 140*82000</t>
  </si>
  <si>
    <r>
      <t>Szoc.étkezés 2008-ban új ellátott nyugdíjmin.150%-át El nem érő</t>
    </r>
    <r>
      <rPr>
        <b/>
        <sz val="9"/>
        <rFont val="Arial CE"/>
        <family val="2"/>
      </rPr>
      <t xml:space="preserve"> </t>
    </r>
    <r>
      <rPr>
        <sz val="9"/>
        <rFont val="Arial CE"/>
        <family val="2"/>
      </rPr>
      <t>(11*92500)</t>
    </r>
    <r>
      <rPr>
        <b/>
        <sz val="9"/>
        <rFont val="Arial CE"/>
        <family val="2"/>
      </rPr>
      <t xml:space="preserve"> 70*90050</t>
    </r>
  </si>
  <si>
    <r>
      <t>Szoc.étkezés 2008-ban új ellátott nyugdíjmin.150%-300% közötti jöv (11*82000)</t>
    </r>
    <r>
      <rPr>
        <b/>
        <sz val="9"/>
        <rFont val="Arial CE"/>
        <family val="2"/>
      </rPr>
      <t xml:space="preserve"> 89*79850</t>
    </r>
  </si>
  <si>
    <r>
      <t xml:space="preserve">Szoc.étkezés 2008-ban új ellátott nyugdíjmin.300%-át meghaladó (1*65000) </t>
    </r>
    <r>
      <rPr>
        <b/>
        <sz val="9"/>
        <rFont val="Arial CE"/>
        <family val="2"/>
      </rPr>
      <t>10*63250</t>
    </r>
  </si>
  <si>
    <t xml:space="preserve">Házi segítségnyújtás (18*104800)20*111500) </t>
  </si>
  <si>
    <t>Házi segítségnyújtás 2007.dec.h-ban ellátott (12*190000)</t>
  </si>
  <si>
    <t>Házi segítségnyújtás 2008-ban új ellátott nyugdíjmin.150%-át El nem érő (3*275000)</t>
  </si>
  <si>
    <t>Házi segítségnyújtás 2008-ban új ellátott nyugdíjmin.150%-át meghaladó jöv. (3*173700)</t>
  </si>
  <si>
    <t xml:space="preserve">Tanulók tank vás támog. </t>
  </si>
  <si>
    <r>
      <t>Kiegészítő tám. ingyenes tankönyvell</t>
    </r>
    <r>
      <rPr>
        <sz val="8"/>
        <rFont val="Arial CE"/>
        <family val="2"/>
      </rPr>
      <t xml:space="preserve"> (1289*10000)(1227*10000)</t>
    </r>
  </si>
  <si>
    <t xml:space="preserve">     1-4. évfolyam </t>
  </si>
  <si>
    <t xml:space="preserve">     5-8. Évfolyam </t>
  </si>
  <si>
    <t xml:space="preserve">    9-13 évfolyamon </t>
  </si>
  <si>
    <t xml:space="preserve">    nappali szakképz.tan. </t>
  </si>
  <si>
    <t>Tanulói tankönyv ingy.ell.- tartósan beteg tanuló (99*10000)</t>
  </si>
  <si>
    <t>Tanulói tankönyv ingy.ell.- sajátos nev.tanuló (36*10000)</t>
  </si>
  <si>
    <t>Tanulói tankönyv ingy.ell.- nagyk. Sajátj. Csp. Jog. (15*10000)</t>
  </si>
  <si>
    <t>Tanulói tankönyv ingy.ell.- rsz. Gyvt. Kedv.rész. (630*10000)</t>
  </si>
  <si>
    <t>Tanulói tankönyv ingy.ell.- egyedülálló szülő ált.n. (237*10000)</t>
  </si>
  <si>
    <t>Tanulói tankönyv ingy.ell.- 3 v többgy. Család tan. 8430*10000)</t>
  </si>
  <si>
    <r>
      <t xml:space="preserve">Tanulói tankönyv. </t>
    </r>
    <r>
      <rPr>
        <sz val="10"/>
        <rFont val="Arial CE"/>
        <family val="2"/>
      </rPr>
      <t>(2800*1000)</t>
    </r>
    <r>
      <rPr>
        <b/>
        <i/>
        <sz val="10"/>
        <rFont val="Arial CE"/>
        <family val="2"/>
      </rPr>
      <t>1704*1000</t>
    </r>
  </si>
  <si>
    <t xml:space="preserve">Minőségfejlesztési feladatok           </t>
  </si>
  <si>
    <r>
      <t>Ped. szakm.szolg.(3281x720)( 3210*720).2099</t>
    </r>
    <r>
      <rPr>
        <b/>
        <i/>
        <sz val="10"/>
        <rFont val="Arial CE"/>
        <family val="2"/>
      </rPr>
      <t>*720*8/12</t>
    </r>
  </si>
  <si>
    <r>
      <t>Hozzájár.tömegkfelad(</t>
    </r>
    <r>
      <rPr>
        <sz val="10"/>
        <rFont val="Arial CE"/>
        <family val="2"/>
      </rPr>
      <t>17603*515)(17520*515)</t>
    </r>
    <r>
      <rPr>
        <b/>
        <sz val="10"/>
        <rFont val="Arial CE"/>
        <family val="2"/>
      </rPr>
      <t>17389*515</t>
    </r>
  </si>
  <si>
    <t>Felhasználási kötöttség nélküli normatív hozzájárulás</t>
  </si>
  <si>
    <t>2007-2008-2009. évi normatív  KÖTÖTT  felhasználású támogatások</t>
  </si>
  <si>
    <t>Önk. által szervezett közcélú foglalk. Támogatása********</t>
  </si>
  <si>
    <r>
      <t>Ped.szaksz.</t>
    </r>
    <r>
      <rPr>
        <sz val="8"/>
        <rFont val="Arial CE"/>
        <family val="2"/>
      </rPr>
      <t>( 8*1.020.000</t>
    </r>
    <r>
      <rPr>
        <i/>
        <sz val="8"/>
        <rFont val="Arial CE"/>
        <family val="2"/>
      </rPr>
      <t>)</t>
    </r>
    <r>
      <rPr>
        <sz val="8"/>
        <rFont val="Arial CE"/>
        <family val="2"/>
      </rPr>
      <t>(7*1020000)</t>
    </r>
    <r>
      <rPr>
        <b/>
        <sz val="8"/>
        <rFont val="Arial CE"/>
        <family val="2"/>
      </rPr>
      <t>8*1100000*8/12+8*970000*4/12</t>
    </r>
  </si>
  <si>
    <r>
      <t>Ped.szakv.tovább</t>
    </r>
    <r>
      <rPr>
        <sz val="8"/>
        <rFont val="Arial CE"/>
        <family val="2"/>
      </rPr>
      <t xml:space="preserve">(308*11700) </t>
    </r>
    <r>
      <rPr>
        <sz val="7"/>
        <rFont val="Arial CE"/>
        <family val="2"/>
      </rPr>
      <t>(303*11700)</t>
    </r>
    <r>
      <rPr>
        <b/>
        <sz val="7"/>
        <rFont val="Arial CE"/>
        <family val="2"/>
      </rPr>
      <t xml:space="preserve"> 301*11700*8/12+296*11700*4/12</t>
    </r>
  </si>
  <si>
    <r>
      <t>Szoc.továbbk szakv.(</t>
    </r>
    <r>
      <rPr>
        <sz val="10"/>
        <rFont val="Arial CE"/>
        <family val="2"/>
      </rPr>
      <t>38*9400) (18*9400)</t>
    </r>
    <r>
      <rPr>
        <b/>
        <sz val="10"/>
        <rFont val="Arial CE"/>
        <family val="2"/>
      </rPr>
      <t>18*9400</t>
    </r>
  </si>
  <si>
    <t>Diáksport támogatása</t>
  </si>
  <si>
    <t>Helyi önkormányzati hivatásos tűzoltóságok támogatása</t>
  </si>
  <si>
    <t xml:space="preserve">Személyi juttatáshoz </t>
  </si>
  <si>
    <r>
      <t>a./ készenl.szolg.( 59*3917582</t>
    </r>
    <r>
      <rPr>
        <i/>
        <sz val="10"/>
        <rFont val="Arial CE"/>
        <family val="2"/>
      </rPr>
      <t xml:space="preserve">) </t>
    </r>
    <r>
      <rPr>
        <sz val="10"/>
        <rFont val="Arial CE"/>
        <family val="2"/>
      </rPr>
      <t xml:space="preserve">(62*3920172) </t>
    </r>
    <r>
      <rPr>
        <b/>
        <sz val="10"/>
        <rFont val="Arial CE"/>
        <family val="2"/>
      </rPr>
      <t>66*3813425</t>
    </r>
  </si>
  <si>
    <r>
      <t>a./ tűzoltólakt.üzem.(1083*4717)(1083*4717)</t>
    </r>
    <r>
      <rPr>
        <b/>
        <sz val="10"/>
        <rFont val="Arial CE"/>
        <family val="2"/>
      </rPr>
      <t>1083*4897</t>
    </r>
  </si>
  <si>
    <r>
      <t>b./ járm. üzem, karb(84855*115) (84548*115)</t>
    </r>
    <r>
      <rPr>
        <b/>
        <sz val="10"/>
        <rFont val="Arial CE"/>
        <family val="2"/>
      </rPr>
      <t xml:space="preserve"> 87133*138</t>
    </r>
  </si>
  <si>
    <t>c./ különleges szerek kötelező műszaki felülvizsgálata, javítása</t>
  </si>
  <si>
    <r>
      <t xml:space="preserve">     (3*500.000)(3*500000) </t>
    </r>
    <r>
      <rPr>
        <b/>
        <sz val="10"/>
        <rFont val="Arial CE"/>
        <family val="2"/>
      </rPr>
      <t>3*500000</t>
    </r>
  </si>
  <si>
    <t xml:space="preserve">e./ irodaszer, inform.eszk  </t>
  </si>
  <si>
    <t>Kötött normatív támog. Össz.</t>
  </si>
  <si>
    <t>Központi támogatás mindösszesen:</t>
  </si>
  <si>
    <t>SZJA lakhelyen maradó rész</t>
  </si>
  <si>
    <t>SZJA kiegészítés *************</t>
  </si>
  <si>
    <t>2. sz. tájékoztató</t>
  </si>
  <si>
    <t>Kimutatás az Európai Uniós forrással megvalósuló beruházásokról</t>
  </si>
  <si>
    <t>Öszeg (eFt)</t>
  </si>
  <si>
    <t>Bevételek</t>
  </si>
  <si>
    <t>Támogatások</t>
  </si>
  <si>
    <t xml:space="preserve">              -Mező Ferenc Tagidkola energ.korsz</t>
  </si>
  <si>
    <t xml:space="preserve">              -Szennyvíz-csat.hálózat felj.</t>
  </si>
  <si>
    <t xml:space="preserve">              -Bárdos Lajos Tagiskola akadálym.</t>
  </si>
  <si>
    <t xml:space="preserve">              -Gyula úti orvosi rend. akadálym.</t>
  </si>
  <si>
    <t xml:space="preserve">              -Bayer Koll. akadálymentesítés</t>
  </si>
  <si>
    <t xml:space="preserve">              -Városi Rendelő akadályment</t>
  </si>
  <si>
    <t xml:space="preserve">              -I.sz. Tagóvoda akadályment</t>
  </si>
  <si>
    <t>Fejlesztési hitel (önkorm. saját forrás)</t>
  </si>
  <si>
    <t>Önkormányzati sajátforrás</t>
  </si>
  <si>
    <t>Bevételek összesen:</t>
  </si>
  <si>
    <t>Kiadások:</t>
  </si>
  <si>
    <t xml:space="preserve">              -Mező Ferenc Tagiskola energ.korsz</t>
  </si>
  <si>
    <t>Kiadás összesen:</t>
  </si>
  <si>
    <t>3. sz. tájékoztató</t>
  </si>
  <si>
    <t>Út - híd keret</t>
  </si>
  <si>
    <t>eFt-ban</t>
  </si>
  <si>
    <t>Dologi jellegű kiadások</t>
  </si>
  <si>
    <t xml:space="preserve">  2008. évi áthúzódó út-járda karb.</t>
  </si>
  <si>
    <t xml:space="preserve">  2009. évi kátyúzás</t>
  </si>
  <si>
    <t xml:space="preserve">  Külterületi földutak karbantartása</t>
  </si>
  <si>
    <t xml:space="preserve">   Útfestés</t>
  </si>
  <si>
    <t xml:space="preserve">   Kresz-táblák cseréje, pótlása</t>
  </si>
  <si>
    <t xml:space="preserve">   Síkosságmentesítés, hóeltakarítás</t>
  </si>
  <si>
    <t xml:space="preserve">   Egyéb lakossági igények kezelése (Br.10 mó)</t>
  </si>
  <si>
    <t xml:space="preserve">   Vásárolt termékek és szolg. ÁFA-ja</t>
  </si>
  <si>
    <t xml:space="preserve">   Egyéb különféle dologi kiad.</t>
  </si>
  <si>
    <t>Dologi jellegű kiadások összesen:</t>
  </si>
  <si>
    <t>Felhalmozási kiadás összesen</t>
  </si>
  <si>
    <t>Kiadások mindösszesen:</t>
  </si>
  <si>
    <t>2/e/1. sz. melléklet</t>
  </si>
  <si>
    <t>II/1.1. Normatív állami hozzájárulás részletezése</t>
  </si>
  <si>
    <t>Települési, igazgatási, kommunális feladatok 17389*1057</t>
  </si>
  <si>
    <t>Üdülőhelyi feladatok 16.000.000*2</t>
  </si>
  <si>
    <r>
      <t>Bölcsődei ellátás  (47x462.900 Ft) (</t>
    </r>
    <r>
      <rPr>
        <sz val="10"/>
        <rFont val="Arial CE"/>
        <family val="2"/>
      </rPr>
      <t>48*460.000)56*540150</t>
    </r>
  </si>
  <si>
    <r>
      <t>Ingyenes bölcsődei étk. (15fő*31500 )</t>
    </r>
    <r>
      <rPr>
        <sz val="10"/>
        <rFont val="Arial CE"/>
        <family val="2"/>
      </rPr>
      <t>(15*50.000)19*65000</t>
    </r>
  </si>
  <si>
    <t>II/1.1. Normatív állami hozzájárulás</t>
  </si>
  <si>
    <t>2/e/2. sz. melléklet</t>
  </si>
  <si>
    <t>II/1.4. Normatív kötött állami hozzájárulás részletezése</t>
  </si>
  <si>
    <t>1.4. Normatív kötött felh.támog.</t>
  </si>
  <si>
    <t>Önk. által szervezett közcélú foglalkoztatás támogatása</t>
  </si>
  <si>
    <t>Pedagógiai szakmai szolgáltatás 8*970000</t>
  </si>
  <si>
    <t>Pedagógus szakvizsga és továbbképzés (303*11700</t>
  </si>
  <si>
    <t>Szociális továbbképzés szakvizsga   18 x 9.400 Ft</t>
  </si>
  <si>
    <t>Személyi juttatáshoz (59*3774700) 59*</t>
  </si>
  <si>
    <r>
      <t xml:space="preserve">a./ készenl.szolg.(59*3603785)( </t>
    </r>
    <r>
      <rPr>
        <sz val="10"/>
        <rFont val="Arial CE"/>
        <family val="2"/>
      </rPr>
      <t>59*3917582</t>
    </r>
    <r>
      <rPr>
        <b/>
        <i/>
        <sz val="10"/>
        <rFont val="Arial CE"/>
        <family val="2"/>
      </rPr>
      <t>) 66*3813425</t>
    </r>
  </si>
  <si>
    <r>
      <t>a./ tűzoltólakt.üzem.(</t>
    </r>
    <r>
      <rPr>
        <b/>
        <i/>
        <sz val="10"/>
        <rFont val="Arial CE"/>
        <family val="2"/>
      </rPr>
      <t>1083*4717)</t>
    </r>
    <r>
      <rPr>
        <sz val="10"/>
        <rFont val="Arial CE"/>
        <family val="2"/>
      </rPr>
      <t>1083*4717)</t>
    </r>
    <r>
      <rPr>
        <b/>
        <sz val="10"/>
        <rFont val="Arial CE"/>
        <family val="2"/>
      </rPr>
      <t>1083*4717</t>
    </r>
  </si>
  <si>
    <r>
      <t>b./ járm. üzem, karb(</t>
    </r>
    <r>
      <rPr>
        <sz val="10"/>
        <rFont val="Arial CE"/>
        <family val="2"/>
      </rPr>
      <t xml:space="preserve"> 86678*115</t>
    </r>
    <r>
      <rPr>
        <b/>
        <i/>
        <sz val="10"/>
        <rFont val="Arial CE"/>
        <family val="2"/>
      </rPr>
      <t>)8</t>
    </r>
    <r>
      <rPr>
        <sz val="10"/>
        <rFont val="Arial CE"/>
        <family val="2"/>
      </rPr>
      <t xml:space="preserve">4855*115) </t>
    </r>
    <r>
      <rPr>
        <b/>
        <sz val="10"/>
        <rFont val="Arial CE"/>
        <family val="2"/>
      </rPr>
      <t>87133*138</t>
    </r>
  </si>
  <si>
    <r>
      <t xml:space="preserve">     (2x500.000) (</t>
    </r>
    <r>
      <rPr>
        <sz val="10"/>
        <rFont val="Arial CE"/>
        <family val="2"/>
      </rPr>
      <t>2*500.000</t>
    </r>
    <r>
      <rPr>
        <b/>
        <i/>
        <sz val="10"/>
        <rFont val="Arial CE"/>
        <family val="2"/>
      </rPr>
      <t>)3*500000</t>
    </r>
  </si>
  <si>
    <t xml:space="preserve">e./ irodaszer, inform.eszk  (58*32380) (59x34893) </t>
  </si>
  <si>
    <t>1. 4. Kötött normatív támog. Össz.</t>
  </si>
  <si>
    <t xml:space="preserve">         Városgazd. Szolg. Összesen</t>
  </si>
  <si>
    <t xml:space="preserve">          Épületfenntartás összesen</t>
  </si>
  <si>
    <t xml:space="preserve">              Fürdő és Strandszolg. Összesen</t>
  </si>
  <si>
    <t xml:space="preserve">             Épületfenntartás összesen</t>
  </si>
  <si>
    <t xml:space="preserve">   - ügyv.számt.eszk.: projektor 63.tanterembe</t>
  </si>
  <si>
    <t xml:space="preserve">   - jármű: pótkocsi beszerzés </t>
  </si>
  <si>
    <t>ÖNÁLLÓAN GAZDÁLKODÓ INTÉZMÉNYEK ÖSSZESEN:</t>
  </si>
  <si>
    <t>RÉSZBEN ÖNÁLLÓAN GAZDÁLKODÓ INTÉZMÉNYEK:</t>
  </si>
  <si>
    <t>Gimnázium Ö s s z e s e n :</t>
  </si>
  <si>
    <t>Széchenyi I. Szki. Ö s s z e s e n:</t>
  </si>
  <si>
    <t xml:space="preserve">          - Gimnázium: Útravaló ösztöndíjtámog.OKM-től</t>
  </si>
  <si>
    <t xml:space="preserve">          - Széchenyi: Útravaló ösztöndíjtámog.OKM-től</t>
  </si>
  <si>
    <t>Részben önálló intézmények</t>
  </si>
  <si>
    <t>Részben önálló intézmények összesen:</t>
  </si>
  <si>
    <t>MÁAMIPSZ:</t>
  </si>
  <si>
    <t>Nevelési Tanácsadó : fénymásoló beszerzés</t>
  </si>
  <si>
    <t xml:space="preserve">                                tesztkészlet</t>
  </si>
  <si>
    <t xml:space="preserve">Bárdos Lajos tagiskola: számítógép beszerzés </t>
  </si>
  <si>
    <t>MÁAMIPSZ Ö s s z e s e n :</t>
  </si>
  <si>
    <t>MÁAMIPSZ: Baz. M-i Közokt Közal. szakm. szolg.</t>
  </si>
  <si>
    <t xml:space="preserve">                   Hungarofest pály. elsz.</t>
  </si>
  <si>
    <t xml:space="preserve">                   Olimpiai isk.tám./ MOB/</t>
  </si>
  <si>
    <t xml:space="preserve">          - Városgond:bértámogatás Munkaügyi Központ</t>
  </si>
  <si>
    <t xml:space="preserve">          - MÁAMIPSZ:Bértámogatás Munkaügyi K.</t>
  </si>
  <si>
    <t xml:space="preserve">          -                   Útravaló ösztöndíj</t>
  </si>
  <si>
    <t xml:space="preserve">          -                   Gyak. vez. képzés</t>
  </si>
  <si>
    <t xml:space="preserve">          -                   Bogácsi tagozat támogatása</t>
  </si>
  <si>
    <t xml:space="preserve">          - Könyvtár: Mozgó könyvtár támogatása</t>
  </si>
  <si>
    <t xml:space="preserve">A Városgondnokság létszáma 4 fővel emelkedik, ebből 2 fő takarító 2009. április 1-től a Mezőkövesdi KÖZKINCS-TÁR Nonprofit Kft-től, 2 fő takarító 2009. június 1-től a Mezőkövesdi VGZrt-től került az intézményhez átadással.  </t>
  </si>
  <si>
    <t>Tűzoltóság összesen:</t>
  </si>
  <si>
    <t>Önállóan gazdálkodó intézmények</t>
  </si>
  <si>
    <t>Önállóan gazdálkodó intézmények összesen:</t>
  </si>
  <si>
    <t>Városi Rendelőintézet összesen:</t>
  </si>
  <si>
    <t xml:space="preserve">  - szárítógép beszerzés</t>
  </si>
  <si>
    <t xml:space="preserve">  - mosógép beszerzés</t>
  </si>
  <si>
    <t xml:space="preserve">  - 2 db szivattyú beszerzés</t>
  </si>
  <si>
    <t xml:space="preserve">  - zuhanásgátló beszerzés</t>
  </si>
  <si>
    <t xml:space="preserve">  - sebészet műtőlámpa</t>
  </si>
  <si>
    <t xml:space="preserve">  - fizioterápiás készülékek</t>
  </si>
  <si>
    <t>Épület homlokzat felújítása</t>
  </si>
  <si>
    <t>Belgyógyászati Osztály krónikus részleg felújítása</t>
  </si>
  <si>
    <t>Széchenyi I.Szki: - ISK. pártólói tagdíj</t>
  </si>
  <si>
    <t xml:space="preserve">                          - Okt.Közalapítv.diákprogram.tám.</t>
  </si>
  <si>
    <t>Bérpolitikai intézkedések- eseti keresetkiegészítés</t>
  </si>
  <si>
    <t xml:space="preserve">    - Rendelőintézet-eseti kereset kieg.</t>
  </si>
  <si>
    <t>Országgy. képviselő választás</t>
  </si>
  <si>
    <t xml:space="preserve">          - Európai Parlamenti választás-közonti kv-i szervtől</t>
  </si>
  <si>
    <t>EU-s , hazai fejlesztési pályázati saját forrás kiegészítés támogatása</t>
  </si>
  <si>
    <t>II/1.6 ÖNHIKI előleg</t>
  </si>
  <si>
    <t>1.6. ÖNHIKI előleg</t>
  </si>
  <si>
    <t>Prémium évek program támogatása</t>
  </si>
  <si>
    <t xml:space="preserve">          - Mg-i Gépmúzeum könyvkiadás</t>
  </si>
  <si>
    <t xml:space="preserve">                 felhalmozási célú</t>
  </si>
  <si>
    <t xml:space="preserve">              - Önkormányzattól keresetkieg, prémium évre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</si>
</sst>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  <numFmt numFmtId="165" formatCode="_-* #,##0.00\ _F_t_-;\-* #,##0.00\ _F_t_-;_-* \-??\ _F_t_-;_-@_-"/>
    <numFmt numFmtId="166" formatCode="_-* #,##0\ _F_t_-;\-* #,##0\ _F_t_-;_-* \-??\ _F_t_-;_-@_-"/>
    <numFmt numFmtId="167" formatCode="#,##0.0"/>
    <numFmt numFmtId="168" formatCode="#,##0_ ;\-#,##0\ "/>
    <numFmt numFmtId="169" formatCode="[$-40E]yyyy\.\ mmmm\ d\."/>
    <numFmt numFmtId="170" formatCode="0.000"/>
    <numFmt numFmtId="171" formatCode="0.0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€-2]\ #\ ##,000_);[Red]\([$€-2]\ #\ ##,000\)"/>
  </numFmts>
  <fonts count="6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sz val="11"/>
      <name val="Times New Roman CE"/>
      <family val="1"/>
    </font>
    <font>
      <b/>
      <sz val="12"/>
      <name val="Times New Roman"/>
      <family val="1"/>
    </font>
    <font>
      <sz val="9"/>
      <name val="Arial CE"/>
      <family val="2"/>
    </font>
    <font>
      <sz val="12"/>
      <name val="Times New Roman"/>
      <family val="1"/>
    </font>
    <font>
      <b/>
      <sz val="11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0"/>
      <name val="Times New Roman CE"/>
      <family val="1"/>
    </font>
    <font>
      <sz val="12"/>
      <name val="Times New Roman CE"/>
      <family val="1"/>
    </font>
    <font>
      <b/>
      <sz val="14"/>
      <name val="Arial CE"/>
      <family val="2"/>
    </font>
    <font>
      <i/>
      <sz val="10"/>
      <name val="Arial CE"/>
      <family val="2"/>
    </font>
    <font>
      <b/>
      <u val="single"/>
      <sz val="10"/>
      <name val="Arial CE"/>
      <family val="2"/>
    </font>
    <font>
      <b/>
      <u val="single"/>
      <sz val="12"/>
      <name val="Arial CE"/>
      <family val="2"/>
    </font>
    <font>
      <u val="single"/>
      <sz val="12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4"/>
      <name val="Arial CE"/>
      <family val="2"/>
    </font>
    <font>
      <b/>
      <u val="single"/>
      <sz val="14"/>
      <name val="Arial"/>
      <family val="2"/>
    </font>
    <font>
      <sz val="11"/>
      <name val="Times New Roman"/>
      <family val="1"/>
    </font>
    <font>
      <b/>
      <u val="single"/>
      <sz val="11"/>
      <name val="Arial CE"/>
      <family val="2"/>
    </font>
    <font>
      <b/>
      <sz val="11"/>
      <name val="Times New Roman CE"/>
      <family val="1"/>
    </font>
    <font>
      <b/>
      <u val="single"/>
      <sz val="12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i/>
      <sz val="12"/>
      <name val="Times New Roman CE"/>
      <family val="1"/>
    </font>
    <font>
      <i/>
      <sz val="9"/>
      <name val="Arial CE"/>
      <family val="2"/>
    </font>
    <font>
      <b/>
      <i/>
      <sz val="10"/>
      <name val="Arial CE"/>
      <family val="2"/>
    </font>
    <font>
      <i/>
      <sz val="8"/>
      <name val="Arial CE"/>
      <family val="2"/>
    </font>
    <font>
      <b/>
      <i/>
      <sz val="8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sz val="6"/>
      <name val="Arial CE"/>
      <family val="2"/>
    </font>
    <font>
      <sz val="4"/>
      <name val="Arial CE"/>
      <family val="2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/>
    </border>
    <border>
      <left style="medium">
        <color indexed="8"/>
      </left>
      <right style="medium"/>
      <top style="medium">
        <color indexed="8"/>
      </top>
      <bottom style="thin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Protection="0">
      <alignment/>
    </xf>
    <xf numFmtId="0" fontId="1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ill="0" applyBorder="0" applyAlignment="0" applyProtection="0"/>
  </cellStyleXfs>
  <cellXfs count="1087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2" fillId="0" borderId="0" xfId="0" applyFont="1" applyAlignment="1">
      <alignment/>
    </xf>
    <xf numFmtId="0" fontId="23" fillId="0" borderId="11" xfId="0" applyFont="1" applyBorder="1" applyAlignment="1">
      <alignment/>
    </xf>
    <xf numFmtId="3" fontId="23" fillId="0" borderId="11" xfId="0" applyNumberFormat="1" applyFont="1" applyBorder="1" applyAlignment="1">
      <alignment/>
    </xf>
    <xf numFmtId="3" fontId="23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0" fontId="23" fillId="0" borderId="11" xfId="0" applyFont="1" applyBorder="1" applyAlignment="1">
      <alignment wrapText="1"/>
    </xf>
    <xf numFmtId="0" fontId="24" fillId="0" borderId="0" xfId="0" applyFont="1" applyAlignment="1">
      <alignment/>
    </xf>
    <xf numFmtId="0" fontId="0" fillId="0" borderId="12" xfId="0" applyFont="1" applyBorder="1" applyAlignment="1">
      <alignment/>
    </xf>
    <xf numFmtId="3" fontId="23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 horizontal="right"/>
    </xf>
    <xf numFmtId="0" fontId="23" fillId="0" borderId="13" xfId="0" applyFont="1" applyBorder="1" applyAlignment="1">
      <alignment/>
    </xf>
    <xf numFmtId="3" fontId="23" fillId="0" borderId="13" xfId="0" applyNumberFormat="1" applyFont="1" applyBorder="1" applyAlignment="1">
      <alignment/>
    </xf>
    <xf numFmtId="3" fontId="23" fillId="0" borderId="13" xfId="0" applyNumberFormat="1" applyFont="1" applyBorder="1" applyAlignment="1">
      <alignment horizontal="right"/>
    </xf>
    <xf numFmtId="0" fontId="21" fillId="0" borderId="0" xfId="0" applyFont="1" applyAlignment="1">
      <alignment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 horizontal="right"/>
    </xf>
    <xf numFmtId="0" fontId="25" fillId="0" borderId="0" xfId="0" applyFont="1" applyAlignment="1">
      <alignment/>
    </xf>
    <xf numFmtId="0" fontId="23" fillId="0" borderId="12" xfId="0" applyFont="1" applyBorder="1" applyAlignment="1">
      <alignment/>
    </xf>
    <xf numFmtId="3" fontId="23" fillId="0" borderId="12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/>
    </xf>
    <xf numFmtId="0" fontId="26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 horizontal="right"/>
    </xf>
    <xf numFmtId="0" fontId="27" fillId="0" borderId="15" xfId="0" applyFont="1" applyBorder="1" applyAlignment="1">
      <alignment/>
    </xf>
    <xf numFmtId="0" fontId="29" fillId="0" borderId="15" xfId="0" applyFont="1" applyBorder="1" applyAlignment="1">
      <alignment/>
    </xf>
    <xf numFmtId="0" fontId="27" fillId="0" borderId="16" xfId="0" applyFont="1" applyBorder="1" applyAlignment="1">
      <alignment/>
    </xf>
    <xf numFmtId="0" fontId="29" fillId="0" borderId="16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4" fillId="0" borderId="11" xfId="0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29" fillId="0" borderId="11" xfId="0" applyFont="1" applyBorder="1" applyAlignment="1">
      <alignment/>
    </xf>
    <xf numFmtId="3" fontId="0" fillId="0" borderId="18" xfId="0" applyNumberFormat="1" applyBorder="1" applyAlignment="1">
      <alignment/>
    </xf>
    <xf numFmtId="0" fontId="29" fillId="0" borderId="13" xfId="0" applyFont="1" applyBorder="1" applyAlignment="1">
      <alignment/>
    </xf>
    <xf numFmtId="0" fontId="29" fillId="0" borderId="10" xfId="0" applyFont="1" applyBorder="1" applyAlignment="1">
      <alignment/>
    </xf>
    <xf numFmtId="3" fontId="23" fillId="0" borderId="10" xfId="0" applyNumberFormat="1" applyFont="1" applyBorder="1" applyAlignment="1">
      <alignment/>
    </xf>
    <xf numFmtId="3" fontId="23" fillId="0" borderId="19" xfId="0" applyNumberFormat="1" applyFont="1" applyBorder="1" applyAlignment="1">
      <alignment/>
    </xf>
    <xf numFmtId="0" fontId="29" fillId="0" borderId="14" xfId="0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29" fillId="0" borderId="21" xfId="0" applyFont="1" applyBorder="1" applyAlignment="1">
      <alignment/>
    </xf>
    <xf numFmtId="3" fontId="0" fillId="0" borderId="22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14" fillId="0" borderId="11" xfId="0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14" fillId="0" borderId="21" xfId="0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23" fillId="0" borderId="27" xfId="0" applyNumberFormat="1" applyFont="1" applyBorder="1" applyAlignment="1">
      <alignment/>
    </xf>
    <xf numFmtId="3" fontId="23" fillId="0" borderId="28" xfId="0" applyNumberFormat="1" applyFont="1" applyBorder="1" applyAlignment="1">
      <alignment/>
    </xf>
    <xf numFmtId="0" fontId="29" fillId="0" borderId="21" xfId="0" applyFont="1" applyBorder="1" applyAlignment="1">
      <alignment/>
    </xf>
    <xf numFmtId="3" fontId="0" fillId="0" borderId="29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0" fillId="0" borderId="21" xfId="0" applyFont="1" applyBorder="1" applyAlignment="1">
      <alignment/>
    </xf>
    <xf numFmtId="0" fontId="29" fillId="0" borderId="30" xfId="0" applyFont="1" applyBorder="1" applyAlignment="1">
      <alignment/>
    </xf>
    <xf numFmtId="3" fontId="0" fillId="0" borderId="13" xfId="0" applyNumberFormat="1" applyBorder="1" applyAlignment="1">
      <alignment/>
    </xf>
    <xf numFmtId="0" fontId="29" fillId="0" borderId="31" xfId="0" applyFont="1" applyBorder="1" applyAlignment="1">
      <alignment/>
    </xf>
    <xf numFmtId="3" fontId="0" fillId="0" borderId="10" xfId="0" applyNumberFormat="1" applyBorder="1" applyAlignment="1">
      <alignment/>
    </xf>
    <xf numFmtId="0" fontId="14" fillId="0" borderId="32" xfId="0" applyFont="1" applyBorder="1" applyAlignment="1">
      <alignment/>
    </xf>
    <xf numFmtId="0" fontId="14" fillId="0" borderId="24" xfId="0" applyFont="1" applyBorder="1" applyAlignment="1">
      <alignment/>
    </xf>
    <xf numFmtId="3" fontId="0" fillId="0" borderId="0" xfId="0" applyNumberFormat="1" applyBorder="1" applyAlignment="1">
      <alignment/>
    </xf>
    <xf numFmtId="0" fontId="29" fillId="24" borderId="13" xfId="0" applyFont="1" applyFill="1" applyBorder="1" applyAlignment="1">
      <alignment/>
    </xf>
    <xf numFmtId="3" fontId="23" fillId="24" borderId="13" xfId="0" applyNumberFormat="1" applyFont="1" applyFill="1" applyBorder="1" applyAlignment="1">
      <alignment/>
    </xf>
    <xf numFmtId="0" fontId="29" fillId="24" borderId="33" xfId="0" applyFont="1" applyFill="1" applyBorder="1" applyAlignment="1">
      <alignment/>
    </xf>
    <xf numFmtId="3" fontId="0" fillId="24" borderId="14" xfId="0" applyNumberFormat="1" applyFill="1" applyBorder="1" applyAlignment="1">
      <alignment/>
    </xf>
    <xf numFmtId="3" fontId="0" fillId="24" borderId="34" xfId="0" applyNumberFormat="1" applyFill="1" applyBorder="1" applyAlignment="1">
      <alignment/>
    </xf>
    <xf numFmtId="3" fontId="0" fillId="0" borderId="16" xfId="0" applyNumberFormat="1" applyBorder="1" applyAlignment="1">
      <alignment/>
    </xf>
    <xf numFmtId="0" fontId="14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21" xfId="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7" fillId="0" borderId="27" xfId="0" applyFont="1" applyBorder="1" applyAlignment="1">
      <alignment/>
    </xf>
    <xf numFmtId="0" fontId="30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wrapText="1"/>
    </xf>
    <xf numFmtId="0" fontId="0" fillId="0" borderId="32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29" fillId="0" borderId="27" xfId="0" applyFont="1" applyBorder="1" applyAlignment="1">
      <alignment/>
    </xf>
    <xf numFmtId="0" fontId="23" fillId="0" borderId="0" xfId="0" applyFont="1" applyAlignment="1">
      <alignment/>
    </xf>
    <xf numFmtId="3" fontId="0" fillId="0" borderId="35" xfId="0" applyNumberFormat="1" applyBorder="1" applyAlignment="1">
      <alignment/>
    </xf>
    <xf numFmtId="0" fontId="29" fillId="0" borderId="32" xfId="0" applyFont="1" applyBorder="1" applyAlignment="1">
      <alignment/>
    </xf>
    <xf numFmtId="3" fontId="0" fillId="0" borderId="36" xfId="0" applyNumberFormat="1" applyBorder="1" applyAlignment="1">
      <alignment/>
    </xf>
    <xf numFmtId="0" fontId="31" fillId="0" borderId="24" xfId="0" applyFont="1" applyBorder="1" applyAlignment="1">
      <alignment/>
    </xf>
    <xf numFmtId="0" fontId="29" fillId="0" borderId="22" xfId="0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37" xfId="0" applyFont="1" applyFill="1" applyBorder="1" applyAlignment="1">
      <alignment/>
    </xf>
    <xf numFmtId="0" fontId="29" fillId="0" borderId="22" xfId="0" applyFont="1" applyBorder="1" applyAlignment="1">
      <alignment/>
    </xf>
    <xf numFmtId="0" fontId="14" fillId="0" borderId="24" xfId="0" applyFont="1" applyFill="1" applyBorder="1" applyAlignment="1">
      <alignment/>
    </xf>
    <xf numFmtId="0" fontId="29" fillId="0" borderId="38" xfId="0" applyFont="1" applyBorder="1" applyAlignment="1">
      <alignment/>
    </xf>
    <xf numFmtId="0" fontId="14" fillId="0" borderId="38" xfId="0" applyFont="1" applyBorder="1" applyAlignment="1">
      <alignment/>
    </xf>
    <xf numFmtId="0" fontId="29" fillId="0" borderId="24" xfId="0" applyFont="1" applyBorder="1" applyAlignment="1">
      <alignment/>
    </xf>
    <xf numFmtId="3" fontId="0" fillId="0" borderId="27" xfId="0" applyNumberFormat="1" applyBorder="1" applyAlignment="1">
      <alignment/>
    </xf>
    <xf numFmtId="0" fontId="29" fillId="24" borderId="30" xfId="0" applyFont="1" applyFill="1" applyBorder="1" applyAlignment="1">
      <alignment/>
    </xf>
    <xf numFmtId="3" fontId="23" fillId="24" borderId="27" xfId="0" applyNumberFormat="1" applyFont="1" applyFill="1" applyBorder="1" applyAlignment="1">
      <alignment/>
    </xf>
    <xf numFmtId="0" fontId="29" fillId="24" borderId="27" xfId="0" applyFont="1" applyFill="1" applyBorder="1" applyAlignment="1">
      <alignment/>
    </xf>
    <xf numFmtId="3" fontId="0" fillId="24" borderId="27" xfId="0" applyNumberFormat="1" applyFill="1" applyBorder="1" applyAlignment="1">
      <alignment/>
    </xf>
    <xf numFmtId="3" fontId="0" fillId="0" borderId="31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14" fillId="0" borderId="22" xfId="0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0" fontId="23" fillId="0" borderId="27" xfId="0" applyFont="1" applyBorder="1" applyAlignment="1">
      <alignment/>
    </xf>
    <xf numFmtId="0" fontId="27" fillId="0" borderId="15" xfId="0" applyFont="1" applyBorder="1" applyAlignment="1">
      <alignment horizontal="center"/>
    </xf>
    <xf numFmtId="0" fontId="29" fillId="0" borderId="13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/>
    </xf>
    <xf numFmtId="0" fontId="14" fillId="0" borderId="14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0" fontId="14" fillId="0" borderId="12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4" fillId="0" borderId="16" xfId="0" applyFont="1" applyBorder="1" applyAlignment="1">
      <alignment/>
    </xf>
    <xf numFmtId="3" fontId="23" fillId="0" borderId="35" xfId="0" applyNumberFormat="1" applyFont="1" applyBorder="1" applyAlignment="1">
      <alignment/>
    </xf>
    <xf numFmtId="3" fontId="0" fillId="24" borderId="24" xfId="0" applyNumberFormat="1" applyFill="1" applyBorder="1" applyAlignment="1">
      <alignment/>
    </xf>
    <xf numFmtId="3" fontId="0" fillId="24" borderId="11" xfId="0" applyNumberFormat="1" applyFill="1" applyBorder="1" applyAlignment="1">
      <alignment/>
    </xf>
    <xf numFmtId="3" fontId="0" fillId="0" borderId="32" xfId="0" applyNumberFormat="1" applyBorder="1" applyAlignment="1">
      <alignment/>
    </xf>
    <xf numFmtId="0" fontId="29" fillId="24" borderId="27" xfId="0" applyFont="1" applyFill="1" applyBorder="1" applyAlignment="1">
      <alignment/>
    </xf>
    <xf numFmtId="3" fontId="23" fillId="0" borderId="13" xfId="0" applyNumberFormat="1" applyFont="1" applyBorder="1" applyAlignment="1">
      <alignment/>
    </xf>
    <xf numFmtId="3" fontId="0" fillId="0" borderId="43" xfId="0" applyNumberFormat="1" applyBorder="1" applyAlignment="1">
      <alignment/>
    </xf>
    <xf numFmtId="0" fontId="0" fillId="0" borderId="27" xfId="0" applyBorder="1" applyAlignment="1">
      <alignment/>
    </xf>
    <xf numFmtId="3" fontId="23" fillId="0" borderId="27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27" fillId="0" borderId="15" xfId="0" applyFont="1" applyBorder="1" applyAlignment="1">
      <alignment horizontal="center" wrapText="1"/>
    </xf>
    <xf numFmtId="0" fontId="29" fillId="0" borderId="15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wrapText="1"/>
    </xf>
    <xf numFmtId="3" fontId="0" fillId="0" borderId="10" xfId="0" applyNumberFormat="1" applyBorder="1" applyAlignment="1">
      <alignment/>
    </xf>
    <xf numFmtId="3" fontId="0" fillId="0" borderId="31" xfId="0" applyNumberFormat="1" applyBorder="1" applyAlignment="1">
      <alignment/>
    </xf>
    <xf numFmtId="0" fontId="0" fillId="0" borderId="33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45" xfId="0" applyNumberFormat="1" applyBorder="1" applyAlignment="1">
      <alignment/>
    </xf>
    <xf numFmtId="0" fontId="0" fillId="0" borderId="46" xfId="0" applyBorder="1" applyAlignment="1">
      <alignment/>
    </xf>
    <xf numFmtId="3" fontId="23" fillId="0" borderId="38" xfId="0" applyNumberFormat="1" applyFont="1" applyBorder="1" applyAlignment="1">
      <alignment/>
    </xf>
    <xf numFmtId="0" fontId="0" fillId="0" borderId="47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0" fillId="0" borderId="32" xfId="0" applyNumberFormat="1" applyBorder="1" applyAlignment="1">
      <alignment/>
    </xf>
    <xf numFmtId="0" fontId="0" fillId="0" borderId="44" xfId="0" applyBorder="1" applyAlignment="1">
      <alignment/>
    </xf>
    <xf numFmtId="3" fontId="0" fillId="0" borderId="20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45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49" xfId="0" applyBorder="1" applyAlignment="1">
      <alignment/>
    </xf>
    <xf numFmtId="0" fontId="0" fillId="0" borderId="13" xfId="0" applyBorder="1" applyAlignment="1">
      <alignment/>
    </xf>
    <xf numFmtId="3" fontId="0" fillId="0" borderId="33" xfId="0" applyNumberFormat="1" applyBorder="1" applyAlignment="1">
      <alignment/>
    </xf>
    <xf numFmtId="3" fontId="23" fillId="0" borderId="31" xfId="0" applyNumberFormat="1" applyFont="1" applyBorder="1" applyAlignment="1">
      <alignment/>
    </xf>
    <xf numFmtId="3" fontId="23" fillId="0" borderId="10" xfId="0" applyNumberFormat="1" applyFont="1" applyBorder="1" applyAlignment="1">
      <alignment/>
    </xf>
    <xf numFmtId="3" fontId="0" fillId="0" borderId="30" xfId="0" applyNumberFormat="1" applyBorder="1" applyAlignment="1">
      <alignment/>
    </xf>
    <xf numFmtId="0" fontId="29" fillId="0" borderId="15" xfId="0" applyFont="1" applyBorder="1" applyAlignment="1">
      <alignment horizontal="center" wrapText="1"/>
    </xf>
    <xf numFmtId="0" fontId="29" fillId="0" borderId="35" xfId="0" applyFont="1" applyBorder="1" applyAlignment="1">
      <alignment horizontal="center" wrapText="1"/>
    </xf>
    <xf numFmtId="0" fontId="23" fillId="0" borderId="15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45" xfId="0" applyFont="1" applyBorder="1" applyAlignment="1">
      <alignment/>
    </xf>
    <xf numFmtId="0" fontId="14" fillId="0" borderId="50" xfId="0" applyFont="1" applyBorder="1" applyAlignment="1">
      <alignment/>
    </xf>
    <xf numFmtId="0" fontId="29" fillId="24" borderId="30" xfId="0" applyFont="1" applyFill="1" applyBorder="1" applyAlignment="1">
      <alignment/>
    </xf>
    <xf numFmtId="3" fontId="0" fillId="24" borderId="15" xfId="0" applyNumberFormat="1" applyFill="1" applyBorder="1" applyAlignment="1">
      <alignment/>
    </xf>
    <xf numFmtId="3" fontId="0" fillId="0" borderId="15" xfId="0" applyNumberFormat="1" applyBorder="1" applyAlignment="1">
      <alignment/>
    </xf>
    <xf numFmtId="0" fontId="29" fillId="24" borderId="38" xfId="0" applyFont="1" applyFill="1" applyBorder="1" applyAlignment="1">
      <alignment/>
    </xf>
    <xf numFmtId="3" fontId="23" fillId="24" borderId="16" xfId="0" applyNumberFormat="1" applyFont="1" applyFill="1" applyBorder="1" applyAlignment="1">
      <alignment/>
    </xf>
    <xf numFmtId="0" fontId="29" fillId="24" borderId="31" xfId="0" applyFont="1" applyFill="1" applyBorder="1" applyAlignment="1">
      <alignment/>
    </xf>
    <xf numFmtId="3" fontId="0" fillId="24" borderId="31" xfId="0" applyNumberFormat="1" applyFill="1" applyBorder="1" applyAlignment="1">
      <alignment/>
    </xf>
    <xf numFmtId="0" fontId="29" fillId="0" borderId="50" xfId="0" applyFont="1" applyBorder="1" applyAlignment="1">
      <alignment/>
    </xf>
    <xf numFmtId="3" fontId="0" fillId="24" borderId="37" xfId="0" applyNumberFormat="1" applyFill="1" applyBorder="1" applyAlignment="1">
      <alignment/>
    </xf>
    <xf numFmtId="3" fontId="23" fillId="0" borderId="16" xfId="0" applyNumberFormat="1" applyFont="1" applyBorder="1" applyAlignment="1">
      <alignment/>
    </xf>
    <xf numFmtId="0" fontId="29" fillId="0" borderId="15" xfId="0" applyFont="1" applyBorder="1" applyAlignment="1">
      <alignment wrapText="1"/>
    </xf>
    <xf numFmtId="0" fontId="23" fillId="0" borderId="15" xfId="0" applyFont="1" applyBorder="1" applyAlignment="1">
      <alignment wrapText="1"/>
    </xf>
    <xf numFmtId="3" fontId="31" fillId="0" borderId="11" xfId="0" applyNumberFormat="1" applyFont="1" applyBorder="1" applyAlignment="1">
      <alignment/>
    </xf>
    <xf numFmtId="0" fontId="0" fillId="0" borderId="22" xfId="0" applyBorder="1" applyAlignment="1">
      <alignment/>
    </xf>
    <xf numFmtId="0" fontId="29" fillId="24" borderId="51" xfId="0" applyFont="1" applyFill="1" applyBorder="1" applyAlignment="1">
      <alignment/>
    </xf>
    <xf numFmtId="3" fontId="0" fillId="24" borderId="10" xfId="0" applyNumberFormat="1" applyFill="1" applyBorder="1" applyAlignment="1">
      <alignment/>
    </xf>
    <xf numFmtId="3" fontId="0" fillId="24" borderId="12" xfId="0" applyNumberFormat="1" applyFill="1" applyBorder="1" applyAlignment="1">
      <alignment/>
    </xf>
    <xf numFmtId="0" fontId="29" fillId="24" borderId="0" xfId="0" applyFont="1" applyFill="1" applyBorder="1" applyAlignment="1">
      <alignment/>
    </xf>
    <xf numFmtId="3" fontId="23" fillId="24" borderId="0" xfId="0" applyNumberFormat="1" applyFont="1" applyFill="1" applyBorder="1" applyAlignment="1">
      <alignment/>
    </xf>
    <xf numFmtId="0" fontId="30" fillId="0" borderId="35" xfId="0" applyFont="1" applyBorder="1" applyAlignment="1">
      <alignment horizontal="center" wrapText="1"/>
    </xf>
    <xf numFmtId="3" fontId="23" fillId="0" borderId="15" xfId="0" applyNumberFormat="1" applyFont="1" applyBorder="1" applyAlignment="1">
      <alignment/>
    </xf>
    <xf numFmtId="3" fontId="0" fillId="0" borderId="52" xfId="0" applyNumberFormat="1" applyBorder="1" applyAlignment="1">
      <alignment/>
    </xf>
    <xf numFmtId="3" fontId="23" fillId="24" borderId="16" xfId="0" applyNumberFormat="1" applyFont="1" applyFill="1" applyBorder="1" applyAlignment="1">
      <alignment/>
    </xf>
    <xf numFmtId="0" fontId="29" fillId="0" borderId="51" xfId="0" applyFont="1" applyBorder="1" applyAlignment="1">
      <alignment/>
    </xf>
    <xf numFmtId="3" fontId="0" fillId="24" borderId="20" xfId="0" applyNumberFormat="1" applyFill="1" applyBorder="1" applyAlignment="1">
      <alignment/>
    </xf>
    <xf numFmtId="3" fontId="0" fillId="24" borderId="10" xfId="0" applyNumberFormat="1" applyFill="1" applyBorder="1" applyAlignment="1">
      <alignment/>
    </xf>
    <xf numFmtId="3" fontId="0" fillId="24" borderId="17" xfId="0" applyNumberFormat="1" applyFill="1" applyBorder="1" applyAlignment="1">
      <alignment/>
    </xf>
    <xf numFmtId="3" fontId="0" fillId="24" borderId="11" xfId="0" applyNumberFormat="1" applyFill="1" applyBorder="1" applyAlignment="1">
      <alignment/>
    </xf>
    <xf numFmtId="3" fontId="0" fillId="24" borderId="29" xfId="0" applyNumberFormat="1" applyFill="1" applyBorder="1" applyAlignment="1">
      <alignment/>
    </xf>
    <xf numFmtId="3" fontId="0" fillId="24" borderId="18" xfId="0" applyNumberFormat="1" applyFill="1" applyBorder="1" applyAlignment="1">
      <alignment/>
    </xf>
    <xf numFmtId="3" fontId="0" fillId="24" borderId="29" xfId="0" applyNumberFormat="1" applyFill="1" applyBorder="1" applyAlignment="1">
      <alignment/>
    </xf>
    <xf numFmtId="3" fontId="0" fillId="24" borderId="16" xfId="0" applyNumberFormat="1" applyFill="1" applyBorder="1" applyAlignment="1">
      <alignment/>
    </xf>
    <xf numFmtId="3" fontId="23" fillId="24" borderId="0" xfId="0" applyNumberFormat="1" applyFont="1" applyFill="1" applyBorder="1" applyAlignment="1">
      <alignment/>
    </xf>
    <xf numFmtId="0" fontId="32" fillId="0" borderId="15" xfId="0" applyFont="1" applyBorder="1" applyAlignment="1">
      <alignment horizontal="center" wrapText="1"/>
    </xf>
    <xf numFmtId="0" fontId="32" fillId="0" borderId="15" xfId="0" applyFont="1" applyBorder="1" applyAlignment="1">
      <alignment wrapText="1"/>
    </xf>
    <xf numFmtId="0" fontId="30" fillId="0" borderId="15" xfId="0" applyFont="1" applyBorder="1" applyAlignment="1">
      <alignment horizontal="center" wrapText="1"/>
    </xf>
    <xf numFmtId="0" fontId="29" fillId="24" borderId="31" xfId="0" applyFont="1" applyFill="1" applyBorder="1" applyAlignment="1">
      <alignment/>
    </xf>
    <xf numFmtId="3" fontId="0" fillId="24" borderId="21" xfId="0" applyNumberFormat="1" applyFill="1" applyBorder="1" applyAlignment="1">
      <alignment/>
    </xf>
    <xf numFmtId="3" fontId="0" fillId="24" borderId="22" xfId="0" applyNumberFormat="1" applyFill="1" applyBorder="1" applyAlignment="1">
      <alignment/>
    </xf>
    <xf numFmtId="0" fontId="29" fillId="0" borderId="34" xfId="0" applyFont="1" applyBorder="1" applyAlignment="1">
      <alignment/>
    </xf>
    <xf numFmtId="3" fontId="0" fillId="24" borderId="32" xfId="0" applyNumberFormat="1" applyFill="1" applyBorder="1" applyAlignment="1">
      <alignment/>
    </xf>
    <xf numFmtId="0" fontId="33" fillId="0" borderId="15" xfId="0" applyFont="1" applyBorder="1" applyAlignment="1">
      <alignment horizontal="center" wrapText="1"/>
    </xf>
    <xf numFmtId="0" fontId="23" fillId="0" borderId="27" xfId="0" applyFont="1" applyBorder="1" applyAlignment="1">
      <alignment horizontal="center" wrapText="1"/>
    </xf>
    <xf numFmtId="0" fontId="23" fillId="0" borderId="13" xfId="0" applyFont="1" applyBorder="1" applyAlignment="1">
      <alignment wrapText="1"/>
    </xf>
    <xf numFmtId="0" fontId="29" fillId="24" borderId="27" xfId="0" applyFont="1" applyFill="1" applyBorder="1" applyAlignment="1">
      <alignment wrapText="1"/>
    </xf>
    <xf numFmtId="0" fontId="0" fillId="0" borderId="0" xfId="0" applyFont="1" applyBorder="1" applyAlignment="1">
      <alignment horizontal="right"/>
    </xf>
    <xf numFmtId="0" fontId="29" fillId="0" borderId="41" xfId="0" applyFont="1" applyBorder="1" applyAlignment="1">
      <alignment wrapText="1"/>
    </xf>
    <xf numFmtId="0" fontId="23" fillId="0" borderId="0" xfId="0" applyFont="1" applyBorder="1" applyAlignment="1">
      <alignment/>
    </xf>
    <xf numFmtId="0" fontId="23" fillId="0" borderId="43" xfId="0" applyFont="1" applyBorder="1" applyAlignment="1">
      <alignment/>
    </xf>
    <xf numFmtId="3" fontId="0" fillId="0" borderId="14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0" fillId="0" borderId="29" xfId="0" applyNumberFormat="1" applyFont="1" applyBorder="1" applyAlignment="1">
      <alignment horizontal="right"/>
    </xf>
    <xf numFmtId="3" fontId="23" fillId="0" borderId="43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29" fillId="0" borderId="43" xfId="0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3" fontId="23" fillId="0" borderId="43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3" fontId="0" fillId="0" borderId="11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34" fillId="0" borderId="0" xfId="0" applyFont="1" applyAlignment="1">
      <alignment horizontal="right"/>
    </xf>
    <xf numFmtId="0" fontId="29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29" fillId="0" borderId="16" xfId="0" applyFont="1" applyBorder="1" applyAlignment="1">
      <alignment horizontal="center"/>
    </xf>
    <xf numFmtId="0" fontId="23" fillId="0" borderId="24" xfId="0" applyFont="1" applyBorder="1" applyAlignment="1">
      <alignment/>
    </xf>
    <xf numFmtId="0" fontId="0" fillId="0" borderId="38" xfId="0" applyBorder="1" applyAlignment="1">
      <alignment/>
    </xf>
    <xf numFmtId="0" fontId="23" fillId="0" borderId="48" xfId="0" applyFont="1" applyBorder="1" applyAlignment="1">
      <alignment horizontal="center"/>
    </xf>
    <xf numFmtId="0" fontId="23" fillId="0" borderId="47" xfId="0" applyFont="1" applyBorder="1" applyAlignment="1">
      <alignment horizontal="center" wrapText="1"/>
    </xf>
    <xf numFmtId="0" fontId="0" fillId="0" borderId="50" xfId="0" applyBorder="1" applyAlignment="1">
      <alignment/>
    </xf>
    <xf numFmtId="0" fontId="0" fillId="0" borderId="53" xfId="0" applyBorder="1" applyAlignment="1">
      <alignment/>
    </xf>
    <xf numFmtId="0" fontId="23" fillId="0" borderId="54" xfId="0" applyFont="1" applyBorder="1" applyAlignment="1">
      <alignment/>
    </xf>
    <xf numFmtId="0" fontId="23" fillId="0" borderId="55" xfId="0" applyFont="1" applyBorder="1" applyAlignment="1">
      <alignment/>
    </xf>
    <xf numFmtId="0" fontId="0" fillId="0" borderId="34" xfId="0" applyBorder="1" applyAlignment="1">
      <alignment/>
    </xf>
    <xf numFmtId="3" fontId="0" fillId="0" borderId="46" xfId="0" applyNumberFormat="1" applyBorder="1" applyAlignment="1">
      <alignment/>
    </xf>
    <xf numFmtId="3" fontId="23" fillId="0" borderId="55" xfId="0" applyNumberFormat="1" applyFont="1" applyBorder="1" applyAlignment="1">
      <alignment/>
    </xf>
    <xf numFmtId="0" fontId="27" fillId="0" borderId="30" xfId="0" applyFont="1" applyBorder="1" applyAlignment="1">
      <alignment/>
    </xf>
    <xf numFmtId="0" fontId="29" fillId="0" borderId="35" xfId="0" applyFont="1" applyBorder="1" applyAlignment="1">
      <alignment/>
    </xf>
    <xf numFmtId="0" fontId="0" fillId="0" borderId="38" xfId="0" applyBorder="1" applyAlignment="1">
      <alignment/>
    </xf>
    <xf numFmtId="0" fontId="29" fillId="0" borderId="40" xfId="0" applyFont="1" applyBorder="1" applyAlignment="1">
      <alignment/>
    </xf>
    <xf numFmtId="3" fontId="35" fillId="24" borderId="13" xfId="0" applyNumberFormat="1" applyFont="1" applyFill="1" applyBorder="1" applyAlignment="1">
      <alignment/>
    </xf>
    <xf numFmtId="3" fontId="35" fillId="24" borderId="28" xfId="0" applyNumberFormat="1" applyFont="1" applyFill="1" applyBorder="1" applyAlignment="1">
      <alignment/>
    </xf>
    <xf numFmtId="0" fontId="36" fillId="0" borderId="27" xfId="0" applyFont="1" applyBorder="1" applyAlignment="1">
      <alignment/>
    </xf>
    <xf numFmtId="3" fontId="37" fillId="0" borderId="13" xfId="0" applyNumberFormat="1" applyFont="1" applyBorder="1" applyAlignment="1">
      <alignment/>
    </xf>
    <xf numFmtId="3" fontId="37" fillId="0" borderId="28" xfId="0" applyNumberFormat="1" applyFont="1" applyBorder="1" applyAlignment="1">
      <alignment/>
    </xf>
    <xf numFmtId="164" fontId="36" fillId="0" borderId="30" xfId="0" applyNumberFormat="1" applyFont="1" applyBorder="1" applyAlignment="1">
      <alignment/>
    </xf>
    <xf numFmtId="3" fontId="37" fillId="24" borderId="13" xfId="0" applyNumberFormat="1" applyFont="1" applyFill="1" applyBorder="1" applyAlignment="1">
      <alignment/>
    </xf>
    <xf numFmtId="3" fontId="37" fillId="24" borderId="28" xfId="0" applyNumberFormat="1" applyFont="1" applyFill="1" applyBorder="1" applyAlignment="1">
      <alignment/>
    </xf>
    <xf numFmtId="164" fontId="36" fillId="0" borderId="31" xfId="0" applyNumberFormat="1" applyFont="1" applyBorder="1" applyAlignment="1">
      <alignment/>
    </xf>
    <xf numFmtId="3" fontId="37" fillId="0" borderId="14" xfId="0" applyNumberFormat="1" applyFont="1" applyBorder="1" applyAlignment="1">
      <alignment/>
    </xf>
    <xf numFmtId="3" fontId="37" fillId="0" borderId="22" xfId="0" applyNumberFormat="1" applyFont="1" applyBorder="1" applyAlignment="1">
      <alignment/>
    </xf>
    <xf numFmtId="3" fontId="37" fillId="0" borderId="14" xfId="0" applyNumberFormat="1" applyFont="1" applyBorder="1" applyAlignment="1">
      <alignment/>
    </xf>
    <xf numFmtId="164" fontId="36" fillId="0" borderId="24" xfId="0" applyNumberFormat="1" applyFont="1" applyBorder="1" applyAlignment="1">
      <alignment/>
    </xf>
    <xf numFmtId="3" fontId="37" fillId="0" borderId="24" xfId="0" applyNumberFormat="1" applyFont="1" applyBorder="1" applyAlignment="1">
      <alignment/>
    </xf>
    <xf numFmtId="3" fontId="37" fillId="0" borderId="11" xfId="0" applyNumberFormat="1" applyFont="1" applyBorder="1" applyAlignment="1">
      <alignment/>
    </xf>
    <xf numFmtId="164" fontId="36" fillId="0" borderId="37" xfId="0" applyNumberFormat="1" applyFont="1" applyBorder="1" applyAlignment="1">
      <alignment/>
    </xf>
    <xf numFmtId="3" fontId="37" fillId="0" borderId="12" xfId="0" applyNumberFormat="1" applyFont="1" applyBorder="1" applyAlignment="1">
      <alignment/>
    </xf>
    <xf numFmtId="3" fontId="37" fillId="0" borderId="37" xfId="0" applyNumberFormat="1" applyFont="1" applyBorder="1" applyAlignment="1">
      <alignment/>
    </xf>
    <xf numFmtId="3" fontId="37" fillId="0" borderId="12" xfId="0" applyNumberFormat="1" applyFont="1" applyBorder="1" applyAlignment="1">
      <alignment/>
    </xf>
    <xf numFmtId="3" fontId="35" fillId="0" borderId="13" xfId="0" applyNumberFormat="1" applyFont="1" applyBorder="1" applyAlignment="1">
      <alignment/>
    </xf>
    <xf numFmtId="3" fontId="35" fillId="24" borderId="27" xfId="0" applyNumberFormat="1" applyFont="1" applyFill="1" applyBorder="1" applyAlignment="1">
      <alignment/>
    </xf>
    <xf numFmtId="3" fontId="35" fillId="24" borderId="13" xfId="0" applyNumberFormat="1" applyFont="1" applyFill="1" applyBorder="1" applyAlignment="1">
      <alignment/>
    </xf>
    <xf numFmtId="0" fontId="31" fillId="0" borderId="31" xfId="0" applyFont="1" applyBorder="1" applyAlignment="1">
      <alignment/>
    </xf>
    <xf numFmtId="0" fontId="31" fillId="0" borderId="37" xfId="0" applyFont="1" applyBorder="1" applyAlignment="1">
      <alignment/>
    </xf>
    <xf numFmtId="164" fontId="31" fillId="0" borderId="24" xfId="0" applyNumberFormat="1" applyFont="1" applyBorder="1" applyAlignment="1">
      <alignment/>
    </xf>
    <xf numFmtId="3" fontId="37" fillId="0" borderId="11" xfId="0" applyNumberFormat="1" applyFont="1" applyBorder="1" applyAlignment="1">
      <alignment/>
    </xf>
    <xf numFmtId="0" fontId="31" fillId="0" borderId="24" xfId="0" applyFont="1" applyBorder="1" applyAlignment="1">
      <alignment/>
    </xf>
    <xf numFmtId="3" fontId="37" fillId="0" borderId="21" xfId="0" applyNumberFormat="1" applyFont="1" applyBorder="1" applyAlignment="1">
      <alignment/>
    </xf>
    <xf numFmtId="0" fontId="31" fillId="0" borderId="31" xfId="0" applyFont="1" applyFill="1" applyBorder="1" applyAlignment="1">
      <alignment/>
    </xf>
    <xf numFmtId="0" fontId="31" fillId="0" borderId="45" xfId="0" applyFont="1" applyBorder="1" applyAlignment="1">
      <alignment/>
    </xf>
    <xf numFmtId="3" fontId="37" fillId="0" borderId="16" xfId="0" applyNumberFormat="1" applyFont="1" applyBorder="1" applyAlignment="1">
      <alignment/>
    </xf>
    <xf numFmtId="0" fontId="14" fillId="0" borderId="27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22" xfId="0" applyFont="1" applyBorder="1" applyAlignment="1">
      <alignment/>
    </xf>
    <xf numFmtId="3" fontId="37" fillId="0" borderId="21" xfId="0" applyNumberFormat="1" applyFont="1" applyBorder="1" applyAlignment="1">
      <alignment/>
    </xf>
    <xf numFmtId="0" fontId="14" fillId="0" borderId="31" xfId="0" applyFont="1" applyBorder="1" applyAlignment="1">
      <alignment/>
    </xf>
    <xf numFmtId="3" fontId="37" fillId="0" borderId="10" xfId="0" applyNumberFormat="1" applyFont="1" applyBorder="1" applyAlignment="1">
      <alignment/>
    </xf>
    <xf numFmtId="3" fontId="37" fillId="0" borderId="31" xfId="0" applyNumberFormat="1" applyFont="1" applyBorder="1" applyAlignment="1">
      <alignment/>
    </xf>
    <xf numFmtId="3" fontId="37" fillId="0" borderId="32" xfId="0" applyNumberFormat="1" applyFont="1" applyBorder="1" applyAlignment="1">
      <alignment/>
    </xf>
    <xf numFmtId="0" fontId="14" fillId="0" borderId="31" xfId="0" applyFont="1" applyBorder="1" applyAlignment="1">
      <alignment/>
    </xf>
    <xf numFmtId="3" fontId="37" fillId="0" borderId="39" xfId="0" applyNumberFormat="1" applyFont="1" applyBorder="1" applyAlignment="1">
      <alignment/>
    </xf>
    <xf numFmtId="3" fontId="37" fillId="0" borderId="40" xfId="0" applyNumberFormat="1" applyFont="1" applyBorder="1" applyAlignment="1">
      <alignment/>
    </xf>
    <xf numFmtId="0" fontId="29" fillId="0" borderId="27" xfId="0" applyFont="1" applyBorder="1" applyAlignment="1">
      <alignment wrapText="1"/>
    </xf>
    <xf numFmtId="3" fontId="35" fillId="0" borderId="13" xfId="0" applyNumberFormat="1" applyFont="1" applyBorder="1" applyAlignment="1">
      <alignment/>
    </xf>
    <xf numFmtId="3" fontId="35" fillId="0" borderId="16" xfId="0" applyNumberFormat="1" applyFont="1" applyBorder="1" applyAlignment="1">
      <alignment/>
    </xf>
    <xf numFmtId="3" fontId="35" fillId="0" borderId="40" xfId="0" applyNumberFormat="1" applyFont="1" applyBorder="1" applyAlignment="1">
      <alignment/>
    </xf>
    <xf numFmtId="0" fontId="0" fillId="0" borderId="30" xfId="0" applyFont="1" applyBorder="1" applyAlignment="1">
      <alignment/>
    </xf>
    <xf numFmtId="3" fontId="37" fillId="0" borderId="15" xfId="0" applyNumberFormat="1" applyFont="1" applyBorder="1" applyAlignment="1">
      <alignment/>
    </xf>
    <xf numFmtId="3" fontId="37" fillId="0" borderId="35" xfId="0" applyNumberFormat="1" applyFont="1" applyBorder="1" applyAlignment="1">
      <alignment/>
    </xf>
    <xf numFmtId="3" fontId="37" fillId="0" borderId="25" xfId="0" applyNumberFormat="1" applyFont="1" applyBorder="1" applyAlignment="1">
      <alignment/>
    </xf>
    <xf numFmtId="3" fontId="35" fillId="0" borderId="28" xfId="0" applyNumberFormat="1" applyFont="1" applyBorder="1" applyAlignment="1">
      <alignment/>
    </xf>
    <xf numFmtId="0" fontId="39" fillId="0" borderId="0" xfId="0" applyFont="1" applyAlignment="1">
      <alignment/>
    </xf>
    <xf numFmtId="0" fontId="29" fillId="0" borderId="13" xfId="0" applyFont="1" applyBorder="1" applyAlignment="1">
      <alignment wrapText="1"/>
    </xf>
    <xf numFmtId="0" fontId="29" fillId="0" borderId="35" xfId="0" applyFont="1" applyBorder="1" applyAlignment="1">
      <alignment wrapText="1"/>
    </xf>
    <xf numFmtId="0" fontId="14" fillId="24" borderId="3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3" fontId="0" fillId="24" borderId="0" xfId="0" applyNumberFormat="1" applyFill="1" applyBorder="1" applyAlignment="1">
      <alignment/>
    </xf>
    <xf numFmtId="3" fontId="14" fillId="0" borderId="12" xfId="0" applyNumberFormat="1" applyFont="1" applyBorder="1" applyAlignment="1">
      <alignment/>
    </xf>
    <xf numFmtId="0" fontId="29" fillId="0" borderId="0" xfId="0" applyFont="1" applyBorder="1" applyAlignment="1">
      <alignment/>
    </xf>
    <xf numFmtId="0" fontId="27" fillId="0" borderId="13" xfId="0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0" fontId="38" fillId="0" borderId="0" xfId="0" applyFont="1" applyAlignment="1">
      <alignment horizontal="right"/>
    </xf>
    <xf numFmtId="0" fontId="26" fillId="0" borderId="0" xfId="0" applyFont="1" applyAlignment="1">
      <alignment/>
    </xf>
    <xf numFmtId="0" fontId="27" fillId="0" borderId="30" xfId="0" applyFont="1" applyBorder="1" applyAlignment="1">
      <alignment/>
    </xf>
    <xf numFmtId="0" fontId="14" fillId="24" borderId="37" xfId="0" applyFont="1" applyFill="1" applyBorder="1" applyAlignment="1">
      <alignment wrapText="1"/>
    </xf>
    <xf numFmtId="3" fontId="14" fillId="0" borderId="11" xfId="0" applyNumberFormat="1" applyFont="1" applyBorder="1" applyAlignment="1">
      <alignment/>
    </xf>
    <xf numFmtId="0" fontId="0" fillId="24" borderId="0" xfId="0" applyFill="1" applyBorder="1" applyAlignment="1">
      <alignment/>
    </xf>
    <xf numFmtId="3" fontId="14" fillId="0" borderId="21" xfId="0" applyNumberFormat="1" applyFont="1" applyBorder="1" applyAlignment="1">
      <alignment/>
    </xf>
    <xf numFmtId="0" fontId="29" fillId="0" borderId="54" xfId="0" applyFont="1" applyBorder="1" applyAlignment="1">
      <alignment/>
    </xf>
    <xf numFmtId="0" fontId="29" fillId="0" borderId="56" xfId="0" applyFont="1" applyBorder="1" applyAlignment="1">
      <alignment/>
    </xf>
    <xf numFmtId="3" fontId="23" fillId="0" borderId="21" xfId="0" applyNumberFormat="1" applyFont="1" applyBorder="1" applyAlignment="1">
      <alignment/>
    </xf>
    <xf numFmtId="0" fontId="0" fillId="0" borderId="55" xfId="0" applyBorder="1" applyAlignment="1">
      <alignment/>
    </xf>
    <xf numFmtId="0" fontId="38" fillId="0" borderId="0" xfId="0" applyFont="1" applyAlignment="1">
      <alignment/>
    </xf>
    <xf numFmtId="0" fontId="14" fillId="24" borderId="45" xfId="0" applyFont="1" applyFill="1" applyBorder="1" applyAlignment="1">
      <alignment/>
    </xf>
    <xf numFmtId="0" fontId="29" fillId="0" borderId="41" xfId="0" applyFont="1" applyBorder="1" applyAlignment="1">
      <alignment/>
    </xf>
    <xf numFmtId="0" fontId="29" fillId="0" borderId="42" xfId="0" applyFont="1" applyBorder="1" applyAlignment="1">
      <alignment/>
    </xf>
    <xf numFmtId="3" fontId="0" fillId="0" borderId="31" xfId="0" applyNumberFormat="1" applyBorder="1" applyAlignment="1">
      <alignment horizontal="right"/>
    </xf>
    <xf numFmtId="0" fontId="0" fillId="0" borderId="17" xfId="0" applyBorder="1" applyAlignment="1">
      <alignment/>
    </xf>
    <xf numFmtId="3" fontId="0" fillId="0" borderId="24" xfId="0" applyNumberFormat="1" applyBorder="1" applyAlignment="1">
      <alignment horizontal="right"/>
    </xf>
    <xf numFmtId="3" fontId="0" fillId="0" borderId="45" xfId="0" applyNumberFormat="1" applyBorder="1" applyAlignment="1">
      <alignment horizontal="right"/>
    </xf>
    <xf numFmtId="0" fontId="0" fillId="0" borderId="43" xfId="0" applyBorder="1" applyAlignment="1">
      <alignment/>
    </xf>
    <xf numFmtId="3" fontId="0" fillId="0" borderId="27" xfId="0" applyNumberFormat="1" applyBorder="1" applyAlignment="1">
      <alignment horizontal="right"/>
    </xf>
    <xf numFmtId="0" fontId="0" fillId="0" borderId="0" xfId="0" applyBorder="1" applyAlignment="1">
      <alignment/>
    </xf>
    <xf numFmtId="3" fontId="0" fillId="0" borderId="39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0" fillId="0" borderId="25" xfId="0" applyBorder="1" applyAlignment="1">
      <alignment/>
    </xf>
    <xf numFmtId="3" fontId="0" fillId="0" borderId="27" xfId="0" applyNumberFormat="1" applyBorder="1" applyAlignment="1">
      <alignment/>
    </xf>
    <xf numFmtId="3" fontId="23" fillId="0" borderId="28" xfId="0" applyNumberFormat="1" applyFont="1" applyBorder="1" applyAlignment="1">
      <alignment/>
    </xf>
    <xf numFmtId="0" fontId="0" fillId="0" borderId="42" xfId="0" applyBorder="1" applyAlignment="1">
      <alignment horizontal="right"/>
    </xf>
    <xf numFmtId="164" fontId="23" fillId="0" borderId="27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0" fontId="23" fillId="0" borderId="30" xfId="0" applyFont="1" applyBorder="1" applyAlignment="1">
      <alignment/>
    </xf>
    <xf numFmtId="3" fontId="23" fillId="0" borderId="40" xfId="0" applyNumberFormat="1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3" fontId="0" fillId="0" borderId="26" xfId="0" applyNumberFormat="1" applyFont="1" applyBorder="1" applyAlignment="1">
      <alignment/>
    </xf>
    <xf numFmtId="0" fontId="0" fillId="0" borderId="29" xfId="0" applyBorder="1" applyAlignment="1">
      <alignment horizontal="left"/>
    </xf>
    <xf numFmtId="3" fontId="0" fillId="0" borderId="57" xfId="0" applyNumberFormat="1" applyBorder="1" applyAlignment="1">
      <alignment/>
    </xf>
    <xf numFmtId="3" fontId="0" fillId="0" borderId="52" xfId="0" applyNumberFormat="1" applyFont="1" applyBorder="1" applyAlignment="1">
      <alignment/>
    </xf>
    <xf numFmtId="0" fontId="0" fillId="0" borderId="21" xfId="0" applyFont="1" applyBorder="1" applyAlignment="1">
      <alignment horizontal="left"/>
    </xf>
    <xf numFmtId="3" fontId="0" fillId="0" borderId="23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7" xfId="0" applyFont="1" applyFill="1" applyBorder="1" applyAlignment="1">
      <alignment/>
    </xf>
    <xf numFmtId="3" fontId="0" fillId="0" borderId="37" xfId="0" applyNumberFormat="1" applyFill="1" applyBorder="1" applyAlignment="1">
      <alignment/>
    </xf>
    <xf numFmtId="0" fontId="0" fillId="0" borderId="45" xfId="0" applyBorder="1" applyAlignment="1">
      <alignment/>
    </xf>
    <xf numFmtId="3" fontId="0" fillId="0" borderId="45" xfId="0" applyNumberForma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29" fillId="0" borderId="13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3" fontId="14" fillId="0" borderId="15" xfId="0" applyNumberFormat="1" applyFont="1" applyBorder="1" applyAlignment="1">
      <alignment horizontal="right" vertical="center"/>
    </xf>
    <xf numFmtId="3" fontId="29" fillId="0" borderId="41" xfId="0" applyNumberFormat="1" applyFont="1" applyBorder="1" applyAlignment="1">
      <alignment horizontal="center" vertical="center"/>
    </xf>
    <xf numFmtId="3" fontId="29" fillId="0" borderId="13" xfId="0" applyNumberFormat="1" applyFont="1" applyBorder="1" applyAlignment="1">
      <alignment horizontal="right" vertical="center"/>
    </xf>
    <xf numFmtId="3" fontId="29" fillId="0" borderId="43" xfId="0" applyNumberFormat="1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3" fontId="29" fillId="0" borderId="21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0" fontId="28" fillId="0" borderId="11" xfId="0" applyFont="1" applyBorder="1" applyAlignment="1">
      <alignment horizontal="center"/>
    </xf>
    <xf numFmtId="3" fontId="14" fillId="0" borderId="11" xfId="0" applyNumberFormat="1" applyFont="1" applyBorder="1" applyAlignment="1">
      <alignment horizontal="right"/>
    </xf>
    <xf numFmtId="3" fontId="14" fillId="0" borderId="17" xfId="0" applyNumberFormat="1" applyFont="1" applyBorder="1" applyAlignment="1">
      <alignment/>
    </xf>
    <xf numFmtId="3" fontId="28" fillId="0" borderId="11" xfId="0" applyNumberFormat="1" applyFont="1" applyBorder="1" applyAlignment="1">
      <alignment horizontal="right"/>
    </xf>
    <xf numFmtId="3" fontId="28" fillId="0" borderId="17" xfId="0" applyNumberFormat="1" applyFont="1" applyBorder="1" applyAlignment="1">
      <alignment/>
    </xf>
    <xf numFmtId="0" fontId="28" fillId="0" borderId="12" xfId="0" applyFont="1" applyBorder="1" applyAlignment="1">
      <alignment horizontal="center"/>
    </xf>
    <xf numFmtId="3" fontId="28" fillId="0" borderId="12" xfId="0" applyNumberFormat="1" applyFont="1" applyBorder="1" applyAlignment="1">
      <alignment horizontal="right"/>
    </xf>
    <xf numFmtId="3" fontId="28" fillId="0" borderId="18" xfId="0" applyNumberFormat="1" applyFont="1" applyBorder="1" applyAlignment="1">
      <alignment/>
    </xf>
    <xf numFmtId="0" fontId="27" fillId="0" borderId="13" xfId="0" applyFont="1" applyBorder="1" applyAlignment="1">
      <alignment horizontal="center"/>
    </xf>
    <xf numFmtId="3" fontId="29" fillId="0" borderId="27" xfId="0" applyNumberFormat="1" applyFont="1" applyBorder="1" applyAlignment="1">
      <alignment/>
    </xf>
    <xf numFmtId="3" fontId="29" fillId="0" borderId="13" xfId="0" applyNumberFormat="1" applyFont="1" applyBorder="1" applyAlignment="1">
      <alignment/>
    </xf>
    <xf numFmtId="0" fontId="29" fillId="0" borderId="0" xfId="0" applyFont="1" applyAlignment="1">
      <alignment horizontal="center"/>
    </xf>
    <xf numFmtId="0" fontId="27" fillId="0" borderId="27" xfId="0" applyFont="1" applyBorder="1" applyAlignment="1">
      <alignment vertical="center"/>
    </xf>
    <xf numFmtId="0" fontId="27" fillId="0" borderId="43" xfId="0" applyFont="1" applyBorder="1" applyAlignment="1">
      <alignment vertical="center"/>
    </xf>
    <xf numFmtId="0" fontId="27" fillId="0" borderId="28" xfId="0" applyFont="1" applyBorder="1" applyAlignment="1">
      <alignment vertical="center"/>
    </xf>
    <xf numFmtId="0" fontId="41" fillId="0" borderId="31" xfId="0" applyFont="1" applyBorder="1" applyAlignment="1">
      <alignment/>
    </xf>
    <xf numFmtId="0" fontId="41" fillId="0" borderId="19" xfId="0" applyFont="1" applyBorder="1" applyAlignment="1">
      <alignment/>
    </xf>
    <xf numFmtId="0" fontId="41" fillId="0" borderId="39" xfId="0" applyFont="1" applyBorder="1" applyAlignment="1">
      <alignment/>
    </xf>
    <xf numFmtId="3" fontId="42" fillId="0" borderId="31" xfId="0" applyNumberFormat="1" applyFont="1" applyBorder="1" applyAlignment="1">
      <alignment horizontal="right"/>
    </xf>
    <xf numFmtId="3" fontId="42" fillId="0" borderId="39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3" fontId="28" fillId="0" borderId="45" xfId="0" applyNumberFormat="1" applyFont="1" applyBorder="1" applyAlignment="1">
      <alignment horizontal="right"/>
    </xf>
    <xf numFmtId="3" fontId="28" fillId="0" borderId="52" xfId="0" applyNumberFormat="1" applyFont="1" applyBorder="1" applyAlignment="1">
      <alignment horizontal="right"/>
    </xf>
    <xf numFmtId="3" fontId="27" fillId="0" borderId="27" xfId="0" applyNumberFormat="1" applyFont="1" applyBorder="1" applyAlignment="1">
      <alignment horizontal="right" vertical="center"/>
    </xf>
    <xf numFmtId="3" fontId="27" fillId="0" borderId="28" xfId="0" applyNumberFormat="1" applyFont="1" applyBorder="1" applyAlignment="1">
      <alignment horizontal="right" vertical="center"/>
    </xf>
    <xf numFmtId="0" fontId="29" fillId="0" borderId="27" xfId="0" applyFont="1" applyBorder="1" applyAlignment="1">
      <alignment vertical="center"/>
    </xf>
    <xf numFmtId="0" fontId="29" fillId="0" borderId="43" xfId="0" applyFont="1" applyBorder="1" applyAlignment="1">
      <alignment vertical="center"/>
    </xf>
    <xf numFmtId="0" fontId="29" fillId="0" borderId="28" xfId="0" applyFont="1" applyBorder="1" applyAlignment="1">
      <alignment vertical="center"/>
    </xf>
    <xf numFmtId="0" fontId="28" fillId="0" borderId="31" xfId="0" applyFont="1" applyBorder="1" applyAlignment="1">
      <alignment vertical="center"/>
    </xf>
    <xf numFmtId="0" fontId="28" fillId="0" borderId="19" xfId="0" applyFont="1" applyBorder="1" applyAlignment="1">
      <alignment vertical="center"/>
    </xf>
    <xf numFmtId="0" fontId="28" fillId="0" borderId="39" xfId="0" applyFont="1" applyBorder="1" applyAlignment="1">
      <alignment vertical="center"/>
    </xf>
    <xf numFmtId="3" fontId="28" fillId="0" borderId="31" xfId="0" applyNumberFormat="1" applyFont="1" applyBorder="1" applyAlignment="1">
      <alignment horizontal="center" vertical="center"/>
    </xf>
    <xf numFmtId="3" fontId="28" fillId="0" borderId="39" xfId="0" applyNumberFormat="1" applyFont="1" applyBorder="1" applyAlignment="1">
      <alignment horizontal="center" vertical="center"/>
    </xf>
    <xf numFmtId="0" fontId="28" fillId="0" borderId="24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3" xfId="0" applyFont="1" applyBorder="1" applyAlignment="1">
      <alignment vertical="center"/>
    </xf>
    <xf numFmtId="3" fontId="28" fillId="0" borderId="45" xfId="0" applyNumberFormat="1" applyFont="1" applyBorder="1" applyAlignment="1">
      <alignment horizontal="center" vertical="center"/>
    </xf>
    <xf numFmtId="3" fontId="28" fillId="0" borderId="52" xfId="0" applyNumberFormat="1" applyFont="1" applyBorder="1" applyAlignment="1">
      <alignment horizontal="center" vertical="center"/>
    </xf>
    <xf numFmtId="3" fontId="27" fillId="0" borderId="27" xfId="0" applyNumberFormat="1" applyFont="1" applyBorder="1" applyAlignment="1">
      <alignment horizontal="center" vertical="center"/>
    </xf>
    <xf numFmtId="3" fontId="27" fillId="0" borderId="28" xfId="0" applyNumberFormat="1" applyFont="1" applyBorder="1" applyAlignment="1">
      <alignment horizontal="center" vertical="center"/>
    </xf>
    <xf numFmtId="0" fontId="32" fillId="0" borderId="28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23" fillId="0" borderId="0" xfId="0" applyFont="1" applyBorder="1" applyAlignment="1">
      <alignment wrapText="1"/>
    </xf>
    <xf numFmtId="3" fontId="28" fillId="0" borderId="39" xfId="0" applyNumberFormat="1" applyFont="1" applyBorder="1" applyAlignment="1">
      <alignment horizontal="right" vertical="center"/>
    </xf>
    <xf numFmtId="3" fontId="28" fillId="0" borderId="52" xfId="0" applyNumberFormat="1" applyFont="1" applyBorder="1" applyAlignment="1">
      <alignment horizontal="right" vertical="center"/>
    </xf>
    <xf numFmtId="3" fontId="0" fillId="24" borderId="35" xfId="0" applyNumberFormat="1" applyFill="1" applyBorder="1" applyAlignment="1">
      <alignment/>
    </xf>
    <xf numFmtId="3" fontId="14" fillId="0" borderId="25" xfId="0" applyNumberFormat="1" applyFont="1" applyBorder="1" applyAlignment="1">
      <alignment/>
    </xf>
    <xf numFmtId="0" fontId="0" fillId="0" borderId="24" xfId="0" applyFont="1" applyFill="1" applyBorder="1" applyAlignment="1">
      <alignment/>
    </xf>
    <xf numFmtId="3" fontId="29" fillId="0" borderId="28" xfId="0" applyNumberFormat="1" applyFont="1" applyBorder="1" applyAlignment="1">
      <alignment/>
    </xf>
    <xf numFmtId="0" fontId="44" fillId="0" borderId="32" xfId="0" applyFont="1" applyBorder="1" applyAlignment="1">
      <alignment/>
    </xf>
    <xf numFmtId="3" fontId="14" fillId="0" borderId="10" xfId="0" applyNumberFormat="1" applyFont="1" applyBorder="1" applyAlignment="1">
      <alignment/>
    </xf>
    <xf numFmtId="3" fontId="14" fillId="0" borderId="13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14" fillId="0" borderId="14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14" fillId="0" borderId="36" xfId="0" applyNumberFormat="1" applyFont="1" applyBorder="1" applyAlignment="1">
      <alignment/>
    </xf>
    <xf numFmtId="3" fontId="44" fillId="0" borderId="14" xfId="0" applyNumberFormat="1" applyFont="1" applyBorder="1" applyAlignment="1">
      <alignment/>
    </xf>
    <xf numFmtId="3" fontId="29" fillId="0" borderId="15" xfId="0" applyNumberFormat="1" applyFont="1" applyBorder="1" applyAlignment="1">
      <alignment/>
    </xf>
    <xf numFmtId="3" fontId="29" fillId="0" borderId="30" xfId="0" applyNumberFormat="1" applyFont="1" applyBorder="1" applyAlignment="1">
      <alignment/>
    </xf>
    <xf numFmtId="0" fontId="44" fillId="0" borderId="22" xfId="0" applyFont="1" applyBorder="1" applyAlignment="1">
      <alignment/>
    </xf>
    <xf numFmtId="3" fontId="44" fillId="0" borderId="21" xfId="0" applyNumberFormat="1" applyFont="1" applyBorder="1" applyAlignment="1">
      <alignment/>
    </xf>
    <xf numFmtId="3" fontId="29" fillId="0" borderId="23" xfId="0" applyNumberFormat="1" applyFont="1" applyBorder="1" applyAlignment="1">
      <alignment/>
    </xf>
    <xf numFmtId="3" fontId="44" fillId="0" borderId="16" xfId="0" applyNumberFormat="1" applyFont="1" applyBorder="1" applyAlignment="1">
      <alignment/>
    </xf>
    <xf numFmtId="3" fontId="44" fillId="0" borderId="0" xfId="0" applyNumberFormat="1" applyFont="1" applyBorder="1" applyAlignment="1">
      <alignment/>
    </xf>
    <xf numFmtId="3" fontId="44" fillId="0" borderId="29" xfId="0" applyNumberFormat="1" applyFont="1" applyBorder="1" applyAlignment="1">
      <alignment/>
    </xf>
    <xf numFmtId="3" fontId="29" fillId="0" borderId="40" xfId="0" applyNumberFormat="1" applyFont="1" applyBorder="1" applyAlignment="1">
      <alignment/>
    </xf>
    <xf numFmtId="0" fontId="44" fillId="0" borderId="0" xfId="0" applyFont="1" applyBorder="1" applyAlignment="1">
      <alignment/>
    </xf>
    <xf numFmtId="0" fontId="30" fillId="0" borderId="13" xfId="0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14" fillId="24" borderId="15" xfId="0" applyFont="1" applyFill="1" applyBorder="1" applyAlignment="1">
      <alignment/>
    </xf>
    <xf numFmtId="3" fontId="0" fillId="24" borderId="41" xfId="0" applyNumberFormat="1" applyFill="1" applyBorder="1" applyAlignment="1">
      <alignment/>
    </xf>
    <xf numFmtId="0" fontId="0" fillId="0" borderId="11" xfId="0" applyFont="1" applyFill="1" applyBorder="1" applyAlignment="1">
      <alignment/>
    </xf>
    <xf numFmtId="3" fontId="31" fillId="0" borderId="10" xfId="0" applyNumberFormat="1" applyFont="1" applyFill="1" applyBorder="1" applyAlignment="1">
      <alignment/>
    </xf>
    <xf numFmtId="3" fontId="31" fillId="0" borderId="11" xfId="0" applyNumberFormat="1" applyFont="1" applyBorder="1" applyAlignment="1">
      <alignment/>
    </xf>
    <xf numFmtId="3" fontId="31" fillId="0" borderId="29" xfId="0" applyNumberFormat="1" applyFont="1" applyBorder="1" applyAlignment="1">
      <alignment/>
    </xf>
    <xf numFmtId="3" fontId="14" fillId="0" borderId="23" xfId="0" applyNumberFormat="1" applyFont="1" applyBorder="1" applyAlignment="1">
      <alignment/>
    </xf>
    <xf numFmtId="3" fontId="29" fillId="0" borderId="21" xfId="0" applyNumberFormat="1" applyFont="1" applyBorder="1" applyAlignment="1">
      <alignment/>
    </xf>
    <xf numFmtId="3" fontId="44" fillId="0" borderId="36" xfId="0" applyNumberFormat="1" applyFont="1" applyBorder="1" applyAlignment="1">
      <alignment/>
    </xf>
    <xf numFmtId="3" fontId="29" fillId="0" borderId="41" xfId="0" applyNumberFormat="1" applyFont="1" applyBorder="1" applyAlignment="1">
      <alignment/>
    </xf>
    <xf numFmtId="0" fontId="44" fillId="0" borderId="21" xfId="0" applyFont="1" applyBorder="1" applyAlignment="1">
      <alignment/>
    </xf>
    <xf numFmtId="3" fontId="44" fillId="0" borderId="40" xfId="0" applyNumberFormat="1" applyFont="1" applyBorder="1" applyAlignment="1">
      <alignment/>
    </xf>
    <xf numFmtId="0" fontId="30" fillId="0" borderId="27" xfId="0" applyFont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3" fontId="0" fillId="0" borderId="37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14" fillId="0" borderId="15" xfId="0" applyNumberFormat="1" applyFont="1" applyBorder="1" applyAlignment="1">
      <alignment/>
    </xf>
    <xf numFmtId="0" fontId="0" fillId="0" borderId="27" xfId="0" applyBorder="1" applyAlignment="1">
      <alignment/>
    </xf>
    <xf numFmtId="3" fontId="14" fillId="0" borderId="13" xfId="0" applyNumberFormat="1" applyFont="1" applyBorder="1" applyAlignment="1">
      <alignment/>
    </xf>
    <xf numFmtId="3" fontId="31" fillId="0" borderId="11" xfId="0" applyNumberFormat="1" applyFont="1" applyFill="1" applyBorder="1" applyAlignment="1">
      <alignment/>
    </xf>
    <xf numFmtId="3" fontId="31" fillId="0" borderId="21" xfId="0" applyNumberFormat="1" applyFont="1" applyFill="1" applyBorder="1" applyAlignment="1">
      <alignment/>
    </xf>
    <xf numFmtId="3" fontId="14" fillId="0" borderId="52" xfId="0" applyNumberFormat="1" applyFont="1" applyBorder="1" applyAlignment="1">
      <alignment/>
    </xf>
    <xf numFmtId="0" fontId="0" fillId="0" borderId="31" xfId="0" applyBorder="1" applyAlignment="1">
      <alignment/>
    </xf>
    <xf numFmtId="3" fontId="14" fillId="0" borderId="14" xfId="0" applyNumberFormat="1" applyFont="1" applyBorder="1" applyAlignment="1">
      <alignment/>
    </xf>
    <xf numFmtId="3" fontId="29" fillId="0" borderId="27" xfId="0" applyNumberFormat="1" applyFont="1" applyBorder="1" applyAlignment="1">
      <alignment/>
    </xf>
    <xf numFmtId="3" fontId="29" fillId="0" borderId="13" xfId="0" applyNumberFormat="1" applyFont="1" applyBorder="1" applyAlignment="1">
      <alignment/>
    </xf>
    <xf numFmtId="3" fontId="29" fillId="0" borderId="35" xfId="0" applyNumberFormat="1" applyFont="1" applyBorder="1" applyAlignment="1">
      <alignment/>
    </xf>
    <xf numFmtId="3" fontId="29" fillId="0" borderId="14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0" fontId="0" fillId="0" borderId="21" xfId="0" applyBorder="1" applyAlignment="1">
      <alignment/>
    </xf>
    <xf numFmtId="3" fontId="29" fillId="0" borderId="21" xfId="0" applyNumberFormat="1" applyFont="1" applyBorder="1" applyAlignment="1">
      <alignment/>
    </xf>
    <xf numFmtId="3" fontId="23" fillId="24" borderId="27" xfId="0" applyNumberFormat="1" applyFont="1" applyFill="1" applyBorder="1" applyAlignment="1">
      <alignment/>
    </xf>
    <xf numFmtId="3" fontId="23" fillId="24" borderId="13" xfId="0" applyNumberFormat="1" applyFont="1" applyFill="1" applyBorder="1" applyAlignment="1">
      <alignment/>
    </xf>
    <xf numFmtId="0" fontId="0" fillId="0" borderId="30" xfId="0" applyBorder="1" applyAlignment="1">
      <alignment/>
    </xf>
    <xf numFmtId="0" fontId="0" fillId="0" borderId="14" xfId="0" applyBorder="1" applyAlignment="1">
      <alignment/>
    </xf>
    <xf numFmtId="3" fontId="44" fillId="0" borderId="23" xfId="0" applyNumberFormat="1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14" xfId="0" applyFont="1" applyBorder="1" applyAlignment="1">
      <alignment/>
    </xf>
    <xf numFmtId="0" fontId="29" fillId="0" borderId="0" xfId="0" applyFont="1" applyAlignment="1">
      <alignment/>
    </xf>
    <xf numFmtId="0" fontId="46" fillId="0" borderId="0" xfId="0" applyFont="1" applyAlignment="1">
      <alignment horizontal="center"/>
    </xf>
    <xf numFmtId="0" fontId="27" fillId="0" borderId="27" xfId="0" applyFont="1" applyBorder="1" applyAlignment="1">
      <alignment horizontal="center" vertical="center"/>
    </xf>
    <xf numFmtId="0" fontId="27" fillId="0" borderId="22" xfId="0" applyFont="1" applyBorder="1" applyAlignment="1">
      <alignment vertical="center"/>
    </xf>
    <xf numFmtId="3" fontId="28" fillId="0" borderId="14" xfId="40" applyNumberFormat="1" applyFont="1" applyFill="1" applyBorder="1" applyAlignment="1" applyProtection="1">
      <alignment horizontal="right" vertical="center"/>
      <protection/>
    </xf>
    <xf numFmtId="3" fontId="28" fillId="0" borderId="11" xfId="40" applyNumberFormat="1" applyFont="1" applyFill="1" applyBorder="1" applyAlignment="1" applyProtection="1">
      <alignment horizontal="right" vertical="center"/>
      <protection/>
    </xf>
    <xf numFmtId="3" fontId="27" fillId="0" borderId="13" xfId="40" applyNumberFormat="1" applyFont="1" applyFill="1" applyBorder="1" applyAlignment="1" applyProtection="1">
      <alignment horizontal="right" vertical="center"/>
      <protection/>
    </xf>
    <xf numFmtId="0" fontId="27" fillId="0" borderId="3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3" fontId="27" fillId="0" borderId="0" xfId="40" applyNumberFormat="1" applyFont="1" applyFill="1" applyBorder="1" applyAlignment="1" applyProtection="1">
      <alignment horizontal="right" vertical="center"/>
      <protection/>
    </xf>
    <xf numFmtId="0" fontId="45" fillId="0" borderId="0" xfId="0" applyFont="1" applyAlignment="1">
      <alignment horizontal="center"/>
    </xf>
    <xf numFmtId="0" fontId="27" fillId="0" borderId="13" xfId="0" applyFont="1" applyBorder="1" applyAlignment="1">
      <alignment horizontal="center" vertical="center"/>
    </xf>
    <xf numFmtId="0" fontId="14" fillId="0" borderId="37" xfId="0" applyFont="1" applyBorder="1" applyAlignment="1">
      <alignment/>
    </xf>
    <xf numFmtId="3" fontId="29" fillId="0" borderId="14" xfId="40" applyNumberFormat="1" applyFont="1" applyFill="1" applyBorder="1" applyAlignment="1" applyProtection="1">
      <alignment/>
      <protection/>
    </xf>
    <xf numFmtId="3" fontId="14" fillId="0" borderId="11" xfId="40" applyNumberFormat="1" applyFont="1" applyFill="1" applyBorder="1" applyAlignment="1" applyProtection="1">
      <alignment/>
      <protection/>
    </xf>
    <xf numFmtId="3" fontId="14" fillId="0" borderId="14" xfId="40" applyNumberFormat="1" applyFont="1" applyFill="1" applyBorder="1" applyAlignment="1" applyProtection="1">
      <alignment/>
      <protection/>
    </xf>
    <xf numFmtId="3" fontId="29" fillId="0" borderId="11" xfId="40" applyNumberFormat="1" applyFont="1" applyFill="1" applyBorder="1" applyAlignment="1" applyProtection="1">
      <alignment/>
      <protection/>
    </xf>
    <xf numFmtId="0" fontId="14" fillId="0" borderId="24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29" fillId="0" borderId="32" xfId="0" applyFont="1" applyBorder="1" applyAlignment="1">
      <alignment vertical="center"/>
    </xf>
    <xf numFmtId="3" fontId="14" fillId="0" borderId="29" xfId="40" applyNumberFormat="1" applyFont="1" applyFill="1" applyBorder="1" applyAlignment="1" applyProtection="1">
      <alignment/>
      <protection/>
    </xf>
    <xf numFmtId="3" fontId="29" fillId="0" borderId="13" xfId="40" applyNumberFormat="1" applyFont="1" applyFill="1" applyBorder="1" applyAlignment="1" applyProtection="1">
      <alignment vertical="center"/>
      <protection/>
    </xf>
    <xf numFmtId="0" fontId="29" fillId="0" borderId="22" xfId="0" applyFont="1" applyBorder="1" applyAlignment="1">
      <alignment vertical="center"/>
    </xf>
    <xf numFmtId="3" fontId="29" fillId="0" borderId="21" xfId="40" applyNumberFormat="1" applyFont="1" applyFill="1" applyBorder="1" applyAlignment="1" applyProtection="1">
      <alignment vertical="center"/>
      <protection/>
    </xf>
    <xf numFmtId="3" fontId="29" fillId="0" borderId="13" xfId="0" applyNumberFormat="1" applyFont="1" applyBorder="1" applyAlignment="1">
      <alignment vertical="center"/>
    </xf>
    <xf numFmtId="0" fontId="27" fillId="0" borderId="13" xfId="0" applyFont="1" applyBorder="1" applyAlignment="1">
      <alignment horizontal="center" wrapText="1"/>
    </xf>
    <xf numFmtId="0" fontId="46" fillId="0" borderId="32" xfId="0" applyFont="1" applyBorder="1" applyAlignment="1">
      <alignment/>
    </xf>
    <xf numFmtId="0" fontId="27" fillId="0" borderId="14" xfId="0" applyFont="1" applyBorder="1" applyAlignment="1">
      <alignment horizontal="center" wrapText="1"/>
    </xf>
    <xf numFmtId="0" fontId="28" fillId="0" borderId="32" xfId="0" applyFont="1" applyBorder="1" applyAlignment="1">
      <alignment/>
    </xf>
    <xf numFmtId="3" fontId="28" fillId="0" borderId="14" xfId="0" applyNumberFormat="1" applyFont="1" applyBorder="1" applyAlignment="1">
      <alignment horizontal="right" wrapText="1"/>
    </xf>
    <xf numFmtId="0" fontId="28" fillId="0" borderId="24" xfId="0" applyFont="1" applyBorder="1" applyAlignment="1">
      <alignment wrapText="1"/>
    </xf>
    <xf numFmtId="3" fontId="28" fillId="0" borderId="11" xfId="40" applyNumberFormat="1" applyFont="1" applyFill="1" applyBorder="1" applyAlignment="1" applyProtection="1">
      <alignment/>
      <protection/>
    </xf>
    <xf numFmtId="3" fontId="28" fillId="0" borderId="12" xfId="40" applyNumberFormat="1" applyFont="1" applyFill="1" applyBorder="1" applyAlignment="1" applyProtection="1">
      <alignment/>
      <protection/>
    </xf>
    <xf numFmtId="0" fontId="28" fillId="0" borderId="22" xfId="0" applyFont="1" applyBorder="1" applyAlignment="1">
      <alignment wrapText="1"/>
    </xf>
    <xf numFmtId="3" fontId="28" fillId="0" borderId="21" xfId="40" applyNumberFormat="1" applyFont="1" applyFill="1" applyBorder="1" applyAlignment="1" applyProtection="1">
      <alignment/>
      <protection/>
    </xf>
    <xf numFmtId="0" fontId="27" fillId="0" borderId="27" xfId="0" applyFont="1" applyBorder="1" applyAlignment="1">
      <alignment wrapText="1"/>
    </xf>
    <xf numFmtId="3" fontId="27" fillId="0" borderId="13" xfId="40" applyNumberFormat="1" applyFont="1" applyFill="1" applyBorder="1" applyAlignment="1" applyProtection="1">
      <alignment/>
      <protection/>
    </xf>
    <xf numFmtId="0" fontId="28" fillId="0" borderId="32" xfId="0" applyFont="1" applyBorder="1" applyAlignment="1">
      <alignment wrapText="1"/>
    </xf>
    <xf numFmtId="3" fontId="28" fillId="0" borderId="14" xfId="40" applyNumberFormat="1" applyFont="1" applyFill="1" applyBorder="1" applyAlignment="1" applyProtection="1">
      <alignment/>
      <protection/>
    </xf>
    <xf numFmtId="0" fontId="46" fillId="0" borderId="24" xfId="0" applyFont="1" applyBorder="1" applyAlignment="1">
      <alignment wrapText="1"/>
    </xf>
    <xf numFmtId="3" fontId="47" fillId="0" borderId="11" xfId="40" applyNumberFormat="1" applyFont="1" applyFill="1" applyBorder="1" applyAlignment="1" applyProtection="1">
      <alignment/>
      <protection/>
    </xf>
    <xf numFmtId="3" fontId="27" fillId="0" borderId="13" xfId="0" applyNumberFormat="1" applyFont="1" applyBorder="1" applyAlignment="1">
      <alignment/>
    </xf>
    <xf numFmtId="0" fontId="37" fillId="0" borderId="58" xfId="0" applyFont="1" applyBorder="1" applyAlignment="1">
      <alignment horizontal="left" wrapText="1"/>
    </xf>
    <xf numFmtId="0" fontId="27" fillId="0" borderId="28" xfId="0" applyFont="1" applyBorder="1" applyAlignment="1">
      <alignment horizontal="center" vertical="center" wrapText="1"/>
    </xf>
    <xf numFmtId="0" fontId="28" fillId="0" borderId="11" xfId="0" applyFont="1" applyBorder="1" applyAlignment="1">
      <alignment/>
    </xf>
    <xf numFmtId="167" fontId="28" fillId="0" borderId="25" xfId="0" applyNumberFormat="1" applyFont="1" applyBorder="1" applyAlignment="1">
      <alignment horizontal="right"/>
    </xf>
    <xf numFmtId="0" fontId="28" fillId="0" borderId="12" xfId="0" applyFont="1" applyBorder="1" applyAlignment="1">
      <alignment/>
    </xf>
    <xf numFmtId="167" fontId="28" fillId="0" borderId="26" xfId="0" applyNumberFormat="1" applyFont="1" applyBorder="1" applyAlignment="1">
      <alignment horizontal="right"/>
    </xf>
    <xf numFmtId="167" fontId="27" fillId="0" borderId="28" xfId="0" applyNumberFormat="1" applyFont="1" applyBorder="1" applyAlignment="1">
      <alignment horizontal="right"/>
    </xf>
    <xf numFmtId="0" fontId="14" fillId="0" borderId="0" xfId="54" applyProtection="1">
      <alignment/>
      <protection/>
    </xf>
    <xf numFmtId="0" fontId="29" fillId="0" borderId="10" xfId="54" applyFont="1" applyBorder="1" applyAlignment="1" applyProtection="1">
      <alignment vertical="center"/>
      <protection/>
    </xf>
    <xf numFmtId="0" fontId="29" fillId="0" borderId="10" xfId="54" applyFont="1" applyBorder="1" applyAlignment="1" applyProtection="1">
      <alignment horizontal="center" vertical="center" wrapText="1"/>
      <protection/>
    </xf>
    <xf numFmtId="0" fontId="29" fillId="0" borderId="36" xfId="54" applyFont="1" applyBorder="1" applyAlignment="1" applyProtection="1">
      <alignment horizontal="center" vertical="center" wrapText="1"/>
      <protection/>
    </xf>
    <xf numFmtId="0" fontId="14" fillId="0" borderId="14" xfId="54" applyFont="1" applyBorder="1" applyProtection="1">
      <alignment/>
      <protection/>
    </xf>
    <xf numFmtId="3" fontId="14" fillId="0" borderId="11" xfId="54" applyNumberFormat="1" applyBorder="1" applyProtection="1">
      <alignment/>
      <protection/>
    </xf>
    <xf numFmtId="3" fontId="14" fillId="0" borderId="36" xfId="54" applyNumberFormat="1" applyBorder="1" applyProtection="1">
      <alignment/>
      <protection/>
    </xf>
    <xf numFmtId="3" fontId="14" fillId="0" borderId="14" xfId="54" applyNumberFormat="1" applyBorder="1" applyProtection="1">
      <alignment/>
      <protection/>
    </xf>
    <xf numFmtId="0" fontId="39" fillId="0" borderId="14" xfId="54" applyFont="1" applyBorder="1" applyProtection="1">
      <alignment/>
      <protection/>
    </xf>
    <xf numFmtId="0" fontId="14" fillId="0" borderId="11" xfId="54" applyFont="1" applyBorder="1" applyProtection="1">
      <alignment/>
      <protection/>
    </xf>
    <xf numFmtId="0" fontId="14" fillId="0" borderId="21" xfId="54" applyFont="1" applyFill="1" applyBorder="1" applyProtection="1">
      <alignment/>
      <protection/>
    </xf>
    <xf numFmtId="3" fontId="14" fillId="0" borderId="25" xfId="54" applyNumberFormat="1" applyBorder="1" applyProtection="1">
      <alignment/>
      <protection/>
    </xf>
    <xf numFmtId="0" fontId="29" fillId="0" borderId="16" xfId="54" applyFont="1" applyBorder="1" applyProtection="1">
      <alignment/>
      <protection/>
    </xf>
    <xf numFmtId="3" fontId="29" fillId="0" borderId="16" xfId="54" applyNumberFormat="1" applyFont="1" applyBorder="1" applyProtection="1">
      <alignment/>
      <protection/>
    </xf>
    <xf numFmtId="3" fontId="29" fillId="0" borderId="40" xfId="54" applyNumberFormat="1" applyFont="1" applyBorder="1" applyProtection="1">
      <alignment/>
      <protection/>
    </xf>
    <xf numFmtId="0" fontId="29" fillId="0" borderId="54" xfId="54" applyFont="1" applyBorder="1" applyProtection="1">
      <alignment/>
      <protection/>
    </xf>
    <xf numFmtId="3" fontId="29" fillId="0" borderId="59" xfId="54" applyNumberFormat="1" applyFont="1" applyBorder="1" applyProtection="1">
      <alignment/>
      <protection/>
    </xf>
    <xf numFmtId="0" fontId="29" fillId="0" borderId="59" xfId="54" applyFont="1" applyBorder="1" applyProtection="1">
      <alignment/>
      <protection/>
    </xf>
    <xf numFmtId="3" fontId="29" fillId="0" borderId="28" xfId="54" applyNumberFormat="1" applyFont="1" applyBorder="1" applyProtection="1">
      <alignment/>
      <protection/>
    </xf>
    <xf numFmtId="0" fontId="14" fillId="0" borderId="10" xfId="54" applyBorder="1" applyProtection="1">
      <alignment/>
      <protection/>
    </xf>
    <xf numFmtId="3" fontId="14" fillId="0" borderId="10" xfId="54" applyNumberFormat="1" applyBorder="1" applyProtection="1">
      <alignment/>
      <protection/>
    </xf>
    <xf numFmtId="0" fontId="29" fillId="0" borderId="29" xfId="54" applyFont="1" applyBorder="1" applyProtection="1">
      <alignment/>
      <protection/>
    </xf>
    <xf numFmtId="3" fontId="29" fillId="0" borderId="29" xfId="54" applyNumberFormat="1" applyFont="1" applyBorder="1" applyProtection="1">
      <alignment/>
      <protection/>
    </xf>
    <xf numFmtId="0" fontId="29" fillId="0" borderId="13" xfId="54" applyFont="1" applyBorder="1" applyAlignment="1" applyProtection="1">
      <alignment vertical="center"/>
      <protection/>
    </xf>
    <xf numFmtId="0" fontId="29" fillId="0" borderId="28" xfId="54" applyFont="1" applyBorder="1" applyAlignment="1" applyProtection="1">
      <alignment horizontal="center" vertical="center" wrapText="1"/>
      <protection/>
    </xf>
    <xf numFmtId="0" fontId="14" fillId="0" borderId="36" xfId="54" applyFont="1" applyBorder="1" applyProtection="1">
      <alignment/>
      <protection/>
    </xf>
    <xf numFmtId="0" fontId="14" fillId="0" borderId="25" xfId="54" applyFont="1" applyBorder="1" applyProtection="1">
      <alignment/>
      <protection/>
    </xf>
    <xf numFmtId="0" fontId="14" fillId="0" borderId="11" xfId="54" applyFont="1" applyBorder="1" applyAlignment="1" applyProtection="1">
      <alignment wrapText="1"/>
      <protection/>
    </xf>
    <xf numFmtId="0" fontId="14" fillId="0" borderId="12" xfId="54" applyFont="1" applyBorder="1" applyProtection="1">
      <alignment/>
      <protection/>
    </xf>
    <xf numFmtId="0" fontId="29" fillId="0" borderId="27" xfId="54" applyFont="1" applyBorder="1" applyProtection="1">
      <alignment/>
      <protection/>
    </xf>
    <xf numFmtId="3" fontId="29" fillId="0" borderId="13" xfId="54" applyNumberFormat="1" applyFont="1" applyBorder="1" applyProtection="1">
      <alignment/>
      <protection/>
    </xf>
    <xf numFmtId="0" fontId="29" fillId="0" borderId="13" xfId="54" applyFont="1" applyBorder="1" applyProtection="1">
      <alignment/>
      <protection/>
    </xf>
    <xf numFmtId="0" fontId="14" fillId="0" borderId="22" xfId="54" applyFont="1" applyBorder="1" applyProtection="1">
      <alignment/>
      <protection/>
    </xf>
    <xf numFmtId="3" fontId="14" fillId="0" borderId="21" xfId="54" applyNumberFormat="1" applyFont="1" applyBorder="1" applyProtection="1">
      <alignment/>
      <protection/>
    </xf>
    <xf numFmtId="0" fontId="29" fillId="0" borderId="15" xfId="54" applyFont="1" applyBorder="1" applyProtection="1">
      <alignment/>
      <protection/>
    </xf>
    <xf numFmtId="3" fontId="14" fillId="0" borderId="23" xfId="54" applyNumberFormat="1" applyBorder="1" applyProtection="1">
      <alignment/>
      <protection/>
    </xf>
    <xf numFmtId="0" fontId="14" fillId="0" borderId="27" xfId="54" applyFont="1" applyBorder="1" applyProtection="1">
      <alignment/>
      <protection/>
    </xf>
    <xf numFmtId="3" fontId="14" fillId="0" borderId="13" xfId="54" applyNumberFormat="1" applyFont="1" applyBorder="1" applyProtection="1">
      <alignment/>
      <protection/>
    </xf>
    <xf numFmtId="0" fontId="14" fillId="0" borderId="13" xfId="54" applyFont="1" applyBorder="1" applyProtection="1">
      <alignment/>
      <protection/>
    </xf>
    <xf numFmtId="3" fontId="14" fillId="0" borderId="28" xfId="54" applyNumberFormat="1" applyFont="1" applyBorder="1" applyProtection="1">
      <alignment/>
      <protection/>
    </xf>
    <xf numFmtId="0" fontId="29" fillId="0" borderId="32" xfId="54" applyFont="1" applyBorder="1" applyProtection="1">
      <alignment/>
      <protection/>
    </xf>
    <xf numFmtId="3" fontId="29" fillId="0" borderId="14" xfId="54" applyNumberFormat="1" applyFont="1" applyBorder="1" applyProtection="1">
      <alignment/>
      <protection/>
    </xf>
    <xf numFmtId="0" fontId="29" fillId="0" borderId="10" xfId="54" applyFont="1" applyBorder="1" applyProtection="1">
      <alignment/>
      <protection/>
    </xf>
    <xf numFmtId="3" fontId="29" fillId="0" borderId="36" xfId="54" applyNumberFormat="1" applyFont="1" applyBorder="1" applyProtection="1">
      <alignment/>
      <protection/>
    </xf>
    <xf numFmtId="0" fontId="29" fillId="0" borderId="24" xfId="54" applyFont="1" applyBorder="1" applyProtection="1">
      <alignment/>
      <protection/>
    </xf>
    <xf numFmtId="3" fontId="29" fillId="0" borderId="11" xfId="54" applyNumberFormat="1" applyFont="1" applyBorder="1" applyProtection="1">
      <alignment/>
      <protection/>
    </xf>
    <xf numFmtId="0" fontId="29" fillId="0" borderId="11" xfId="54" applyFont="1" applyBorder="1" applyProtection="1">
      <alignment/>
      <protection/>
    </xf>
    <xf numFmtId="3" fontId="29" fillId="0" borderId="25" xfId="54" applyNumberFormat="1" applyFont="1" applyBorder="1" applyProtection="1">
      <alignment/>
      <protection/>
    </xf>
    <xf numFmtId="0" fontId="29" fillId="0" borderId="45" xfId="54" applyFont="1" applyBorder="1" applyProtection="1">
      <alignment/>
      <protection/>
    </xf>
    <xf numFmtId="3" fontId="29" fillId="0" borderId="52" xfId="54" applyNumberFormat="1" applyFont="1" applyBorder="1" applyProtection="1">
      <alignment/>
      <protection/>
    </xf>
    <xf numFmtId="0" fontId="48" fillId="0" borderId="0" xfId="0" applyFont="1" applyAlignment="1">
      <alignment horizontal="right"/>
    </xf>
    <xf numFmtId="0" fontId="49" fillId="0" borderId="30" xfId="0" applyFont="1" applyBorder="1" applyAlignment="1">
      <alignment/>
    </xf>
    <xf numFmtId="0" fontId="48" fillId="0" borderId="15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9" fillId="0" borderId="0" xfId="0" applyFont="1" applyAlignment="1">
      <alignment/>
    </xf>
    <xf numFmtId="0" fontId="48" fillId="0" borderId="27" xfId="0" applyFont="1" applyBorder="1" applyAlignment="1">
      <alignment/>
    </xf>
    <xf numFmtId="3" fontId="49" fillId="0" borderId="13" xfId="0" applyNumberFormat="1" applyFont="1" applyBorder="1" applyAlignment="1">
      <alignment/>
    </xf>
    <xf numFmtId="3" fontId="49" fillId="0" borderId="0" xfId="0" applyNumberFormat="1" applyFont="1" applyAlignment="1">
      <alignment/>
    </xf>
    <xf numFmtId="0" fontId="49" fillId="0" borderId="31" xfId="0" applyFont="1" applyBorder="1" applyAlignment="1">
      <alignment/>
    </xf>
    <xf numFmtId="3" fontId="49" fillId="0" borderId="10" xfId="0" applyNumberFormat="1" applyFont="1" applyBorder="1" applyAlignment="1">
      <alignment/>
    </xf>
    <xf numFmtId="3" fontId="49" fillId="0" borderId="11" xfId="0" applyNumberFormat="1" applyFont="1" applyBorder="1" applyAlignment="1">
      <alignment/>
    </xf>
    <xf numFmtId="0" fontId="49" fillId="0" borderId="24" xfId="0" applyFont="1" applyBorder="1" applyAlignment="1">
      <alignment/>
    </xf>
    <xf numFmtId="0" fontId="49" fillId="0" borderId="32" xfId="0" applyFont="1" applyBorder="1" applyAlignment="1">
      <alignment/>
    </xf>
    <xf numFmtId="0" fontId="49" fillId="0" borderId="38" xfId="0" applyFont="1" applyBorder="1" applyAlignment="1">
      <alignment/>
    </xf>
    <xf numFmtId="3" fontId="49" fillId="0" borderId="16" xfId="0" applyNumberFormat="1" applyFont="1" applyBorder="1" applyAlignment="1">
      <alignment/>
    </xf>
    <xf numFmtId="0" fontId="48" fillId="24" borderId="27" xfId="0" applyFont="1" applyFill="1" applyBorder="1" applyAlignment="1">
      <alignment/>
    </xf>
    <xf numFmtId="3" fontId="48" fillId="24" borderId="13" xfId="0" applyNumberFormat="1" applyFont="1" applyFill="1" applyBorder="1" applyAlignment="1">
      <alignment/>
    </xf>
    <xf numFmtId="0" fontId="49" fillId="0" borderId="31" xfId="0" applyFont="1" applyBorder="1" applyAlignment="1">
      <alignment/>
    </xf>
    <xf numFmtId="3" fontId="49" fillId="0" borderId="14" xfId="0" applyNumberFormat="1" applyFont="1" applyBorder="1" applyAlignment="1">
      <alignment/>
    </xf>
    <xf numFmtId="3" fontId="49" fillId="0" borderId="21" xfId="0" applyNumberFormat="1" applyFont="1" applyBorder="1" applyAlignment="1">
      <alignment/>
    </xf>
    <xf numFmtId="3" fontId="49" fillId="0" borderId="28" xfId="0" applyNumberFormat="1" applyFont="1" applyBorder="1" applyAlignment="1">
      <alignment/>
    </xf>
    <xf numFmtId="0" fontId="49" fillId="0" borderId="24" xfId="0" applyFont="1" applyFill="1" applyBorder="1" applyAlignment="1">
      <alignment/>
    </xf>
    <xf numFmtId="0" fontId="49" fillId="0" borderId="45" xfId="0" applyFont="1" applyBorder="1" applyAlignment="1">
      <alignment/>
    </xf>
    <xf numFmtId="0" fontId="48" fillId="24" borderId="38" xfId="0" applyFont="1" applyFill="1" applyBorder="1" applyAlignment="1">
      <alignment/>
    </xf>
    <xf numFmtId="3" fontId="48" fillId="24" borderId="16" xfId="0" applyNumberFormat="1" applyFont="1" applyFill="1" applyBorder="1" applyAlignment="1">
      <alignment/>
    </xf>
    <xf numFmtId="0" fontId="44" fillId="0" borderId="0" xfId="0" applyFont="1" applyAlignment="1">
      <alignment/>
    </xf>
    <xf numFmtId="0" fontId="0" fillId="0" borderId="41" xfId="0" applyBorder="1" applyAlignment="1">
      <alignment/>
    </xf>
    <xf numFmtId="0" fontId="0" fillId="0" borderId="35" xfId="0" applyBorder="1" applyAlignment="1">
      <alignment/>
    </xf>
    <xf numFmtId="0" fontId="29" fillId="0" borderId="21" xfId="0" applyFont="1" applyBorder="1" applyAlignment="1">
      <alignment horizontal="center"/>
    </xf>
    <xf numFmtId="0" fontId="0" fillId="0" borderId="42" xfId="0" applyBorder="1" applyAlignment="1">
      <alignment/>
    </xf>
    <xf numFmtId="0" fontId="0" fillId="0" borderId="4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8" xfId="0" applyBorder="1" applyAlignment="1">
      <alignment/>
    </xf>
    <xf numFmtId="0" fontId="50" fillId="0" borderId="0" xfId="0" applyFont="1" applyAlignment="1">
      <alignment/>
    </xf>
    <xf numFmtId="0" fontId="28" fillId="0" borderId="32" xfId="0" applyFont="1" applyBorder="1" applyAlignment="1">
      <alignment vertical="center"/>
    </xf>
    <xf numFmtId="0" fontId="28" fillId="0" borderId="37" xfId="0" applyFont="1" applyBorder="1" applyAlignment="1">
      <alignment vertical="center"/>
    </xf>
    <xf numFmtId="0" fontId="27" fillId="0" borderId="43" xfId="0" applyFont="1" applyBorder="1" applyAlignment="1">
      <alignment horizontal="center" vertical="center" wrapText="1"/>
    </xf>
    <xf numFmtId="0" fontId="37" fillId="0" borderId="32" xfId="0" applyFont="1" applyBorder="1" applyAlignment="1">
      <alignment vertical="center" wrapText="1"/>
    </xf>
    <xf numFmtId="3" fontId="37" fillId="0" borderId="14" xfId="40" applyNumberFormat="1" applyFont="1" applyFill="1" applyBorder="1" applyAlignment="1" applyProtection="1">
      <alignment vertical="center"/>
      <protection/>
    </xf>
    <xf numFmtId="3" fontId="37" fillId="0" borderId="20" xfId="40" applyNumberFormat="1" applyFont="1" applyFill="1" applyBorder="1" applyAlignment="1" applyProtection="1">
      <alignment vertical="center"/>
      <protection/>
    </xf>
    <xf numFmtId="0" fontId="37" fillId="0" borderId="24" xfId="0" applyFont="1" applyBorder="1" applyAlignment="1">
      <alignment vertical="center" wrapText="1"/>
    </xf>
    <xf numFmtId="3" fontId="37" fillId="0" borderId="11" xfId="40" applyNumberFormat="1" applyFont="1" applyFill="1" applyBorder="1" applyAlignment="1" applyProtection="1">
      <alignment vertical="center" wrapText="1"/>
      <protection/>
    </xf>
    <xf numFmtId="3" fontId="37" fillId="0" borderId="17" xfId="40" applyNumberFormat="1" applyFont="1" applyFill="1" applyBorder="1" applyAlignment="1" applyProtection="1">
      <alignment vertical="center" wrapText="1"/>
      <protection/>
    </xf>
    <xf numFmtId="0" fontId="52" fillId="0" borderId="24" xfId="0" applyFont="1" applyBorder="1" applyAlignment="1">
      <alignment vertical="center" wrapText="1"/>
    </xf>
    <xf numFmtId="3" fontId="37" fillId="0" borderId="11" xfId="40" applyNumberFormat="1" applyFont="1" applyFill="1" applyBorder="1" applyAlignment="1" applyProtection="1">
      <alignment vertical="center"/>
      <protection/>
    </xf>
    <xf numFmtId="3" fontId="37" fillId="0" borderId="17" xfId="40" applyNumberFormat="1" applyFont="1" applyFill="1" applyBorder="1" applyAlignment="1" applyProtection="1">
      <alignment vertical="center"/>
      <protection/>
    </xf>
    <xf numFmtId="0" fontId="37" fillId="0" borderId="24" xfId="0" applyFont="1" applyBorder="1" applyAlignment="1">
      <alignment vertical="center"/>
    </xf>
    <xf numFmtId="0" fontId="37" fillId="0" borderId="24" xfId="0" applyFont="1" applyBorder="1" applyAlignment="1">
      <alignment vertical="center" shrinkToFit="1"/>
    </xf>
    <xf numFmtId="0" fontId="49" fillId="0" borderId="24" xfId="0" applyFont="1" applyBorder="1" applyAlignment="1">
      <alignment vertical="center"/>
    </xf>
    <xf numFmtId="0" fontId="49" fillId="0" borderId="32" xfId="0" applyFont="1" applyBorder="1" applyAlignment="1">
      <alignment vertical="center" wrapText="1"/>
    </xf>
    <xf numFmtId="0" fontId="37" fillId="0" borderId="32" xfId="0" applyFont="1" applyBorder="1" applyAlignment="1">
      <alignment vertical="center"/>
    </xf>
    <xf numFmtId="0" fontId="37" fillId="0" borderId="22" xfId="0" applyFont="1" applyBorder="1" applyAlignment="1">
      <alignment vertical="center"/>
    </xf>
    <xf numFmtId="3" fontId="37" fillId="0" borderId="21" xfId="40" applyNumberFormat="1" applyFont="1" applyFill="1" applyBorder="1" applyAlignment="1" applyProtection="1">
      <alignment vertical="center"/>
      <protection/>
    </xf>
    <xf numFmtId="3" fontId="37" fillId="0" borderId="0" xfId="40" applyNumberFormat="1" applyFont="1" applyFill="1" applyBorder="1" applyAlignment="1" applyProtection="1">
      <alignment vertical="center"/>
      <protection/>
    </xf>
    <xf numFmtId="0" fontId="35" fillId="0" borderId="27" xfId="0" applyFont="1" applyBorder="1" applyAlignment="1">
      <alignment vertical="center"/>
    </xf>
    <xf numFmtId="3" fontId="35" fillId="0" borderId="13" xfId="40" applyNumberFormat="1" applyFont="1" applyFill="1" applyBorder="1" applyAlignment="1" applyProtection="1">
      <alignment vertical="center"/>
      <protection/>
    </xf>
    <xf numFmtId="3" fontId="35" fillId="0" borderId="43" xfId="40" applyNumberFormat="1" applyFont="1" applyFill="1" applyBorder="1" applyAlignment="1" applyProtection="1">
      <alignment vertical="center"/>
      <protection/>
    </xf>
    <xf numFmtId="0" fontId="27" fillId="0" borderId="15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/>
    </xf>
    <xf numFmtId="0" fontId="23" fillId="0" borderId="27" xfId="0" applyFont="1" applyBorder="1" applyAlignment="1">
      <alignment/>
    </xf>
    <xf numFmtId="0" fontId="45" fillId="0" borderId="0" xfId="0" applyFont="1" applyAlignment="1">
      <alignment horizontal="right"/>
    </xf>
    <xf numFmtId="0" fontId="27" fillId="0" borderId="21" xfId="0" applyFont="1" applyBorder="1" applyAlignment="1">
      <alignment horizont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46" fillId="0" borderId="0" xfId="0" applyFont="1" applyAlignment="1">
      <alignment/>
    </xf>
    <xf numFmtId="0" fontId="27" fillId="0" borderId="43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28" fillId="0" borderId="14" xfId="0" applyFont="1" applyBorder="1" applyAlignment="1">
      <alignment vertical="center"/>
    </xf>
    <xf numFmtId="3" fontId="28" fillId="0" borderId="20" xfId="40" applyNumberFormat="1" applyFont="1" applyFill="1" applyBorder="1" applyAlignment="1" applyProtection="1">
      <alignment horizontal="right" vertical="center"/>
      <protection/>
    </xf>
    <xf numFmtId="0" fontId="28" fillId="0" borderId="16" xfId="0" applyFont="1" applyBorder="1" applyAlignment="1">
      <alignment vertical="center"/>
    </xf>
    <xf numFmtId="3" fontId="28" fillId="0" borderId="42" xfId="40" applyNumberFormat="1" applyFont="1" applyFill="1" applyBorder="1" applyAlignment="1" applyProtection="1">
      <alignment horizontal="right" vertical="center"/>
      <protection/>
    </xf>
    <xf numFmtId="3" fontId="28" fillId="0" borderId="16" xfId="40" applyNumberFormat="1" applyFont="1" applyFill="1" applyBorder="1" applyAlignment="1" applyProtection="1">
      <alignment horizontal="right" vertical="center"/>
      <protection/>
    </xf>
    <xf numFmtId="3" fontId="28" fillId="0" borderId="21" xfId="40" applyNumberFormat="1" applyFont="1" applyFill="1" applyBorder="1" applyAlignment="1" applyProtection="1">
      <alignment horizontal="right" vertical="center"/>
      <protection/>
    </xf>
    <xf numFmtId="0" fontId="27" fillId="0" borderId="13" xfId="0" applyFont="1" applyBorder="1" applyAlignment="1">
      <alignment vertical="center"/>
    </xf>
    <xf numFmtId="3" fontId="27" fillId="0" borderId="43" xfId="40" applyNumberFormat="1" applyFont="1" applyFill="1" applyBorder="1" applyAlignment="1" applyProtection="1">
      <alignment horizontal="right" vertical="center"/>
      <protection/>
    </xf>
    <xf numFmtId="0" fontId="40" fillId="0" borderId="30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9" fillId="0" borderId="31" xfId="0" applyFont="1" applyBorder="1" applyAlignment="1">
      <alignment vertical="center" wrapText="1"/>
    </xf>
    <xf numFmtId="3" fontId="49" fillId="0" borderId="31" xfId="0" applyNumberFormat="1" applyFont="1" applyBorder="1" applyAlignment="1">
      <alignment vertical="center"/>
    </xf>
    <xf numFmtId="3" fontId="49" fillId="0" borderId="31" xfId="40" applyNumberFormat="1" applyFont="1" applyFill="1" applyBorder="1" applyAlignment="1" applyProtection="1">
      <alignment vertical="center"/>
      <protection/>
    </xf>
    <xf numFmtId="3" fontId="49" fillId="0" borderId="10" xfId="40" applyNumberFormat="1" applyFont="1" applyFill="1" applyBorder="1" applyAlignment="1" applyProtection="1">
      <alignment vertical="center"/>
      <protection/>
    </xf>
    <xf numFmtId="3" fontId="49" fillId="0" borderId="39" xfId="40" applyNumberFormat="1" applyFont="1" applyFill="1" applyBorder="1" applyAlignment="1" applyProtection="1">
      <alignment vertical="center"/>
      <protection/>
    </xf>
    <xf numFmtId="0" fontId="49" fillId="0" borderId="24" xfId="0" applyFont="1" applyBorder="1" applyAlignment="1">
      <alignment vertical="center" wrapText="1"/>
    </xf>
    <xf numFmtId="3" fontId="49" fillId="0" borderId="24" xfId="0" applyNumberFormat="1" applyFont="1" applyBorder="1" applyAlignment="1">
      <alignment vertical="center"/>
    </xf>
    <xf numFmtId="3" fontId="49" fillId="0" borderId="24" xfId="40" applyNumberFormat="1" applyFont="1" applyFill="1" applyBorder="1" applyAlignment="1" applyProtection="1">
      <alignment vertical="center"/>
      <protection/>
    </xf>
    <xf numFmtId="3" fontId="49" fillId="0" borderId="11" xfId="40" applyNumberFormat="1" applyFont="1" applyFill="1" applyBorder="1" applyAlignment="1" applyProtection="1">
      <alignment vertical="center"/>
      <protection/>
    </xf>
    <xf numFmtId="3" fontId="49" fillId="0" borderId="25" xfId="40" applyNumberFormat="1" applyFont="1" applyFill="1" applyBorder="1" applyAlignment="1" applyProtection="1">
      <alignment vertical="center"/>
      <protection/>
    </xf>
    <xf numFmtId="3" fontId="49" fillId="0" borderId="36" xfId="40" applyNumberFormat="1" applyFont="1" applyFill="1" applyBorder="1" applyAlignment="1" applyProtection="1">
      <alignment vertical="center"/>
      <protection/>
    </xf>
    <xf numFmtId="3" fontId="49" fillId="0" borderId="24" xfId="0" applyNumberFormat="1" applyFont="1" applyBorder="1" applyAlignment="1">
      <alignment vertical="center" wrapText="1"/>
    </xf>
    <xf numFmtId="0" fontId="49" fillId="0" borderId="24" xfId="0" applyFont="1" applyBorder="1" applyAlignment="1">
      <alignment horizontal="left" vertical="center"/>
    </xf>
    <xf numFmtId="3" fontId="49" fillId="0" borderId="24" xfId="0" applyNumberFormat="1" applyFont="1" applyBorder="1" applyAlignment="1">
      <alignment horizontal="right" vertical="center"/>
    </xf>
    <xf numFmtId="3" fontId="49" fillId="0" borderId="11" xfId="0" applyNumberFormat="1" applyFont="1" applyBorder="1" applyAlignment="1">
      <alignment vertical="center"/>
    </xf>
    <xf numFmtId="3" fontId="49" fillId="0" borderId="25" xfId="0" applyNumberFormat="1" applyFont="1" applyBorder="1" applyAlignment="1">
      <alignment vertical="center"/>
    </xf>
    <xf numFmtId="0" fontId="49" fillId="0" borderId="24" xfId="0" applyFont="1" applyFill="1" applyBorder="1" applyAlignment="1">
      <alignment horizontal="left" vertical="center"/>
    </xf>
    <xf numFmtId="0" fontId="49" fillId="0" borderId="37" xfId="0" applyFont="1" applyFill="1" applyBorder="1" applyAlignment="1">
      <alignment horizontal="left" vertical="center"/>
    </xf>
    <xf numFmtId="3" fontId="49" fillId="0" borderId="37" xfId="0" applyNumberFormat="1" applyFont="1" applyBorder="1" applyAlignment="1">
      <alignment vertical="center"/>
    </xf>
    <xf numFmtId="3" fontId="49" fillId="0" borderId="23" xfId="40" applyNumberFormat="1" applyFont="1" applyFill="1" applyBorder="1" applyAlignment="1" applyProtection="1">
      <alignment vertical="center"/>
      <protection/>
    </xf>
    <xf numFmtId="3" fontId="49" fillId="0" borderId="24" xfId="0" applyNumberFormat="1" applyFont="1" applyBorder="1" applyAlignment="1">
      <alignment/>
    </xf>
    <xf numFmtId="3" fontId="49" fillId="0" borderId="25" xfId="0" applyNumberFormat="1" applyFont="1" applyBorder="1" applyAlignment="1">
      <alignment/>
    </xf>
    <xf numFmtId="3" fontId="49" fillId="0" borderId="37" xfId="0" applyNumberFormat="1" applyFont="1" applyBorder="1" applyAlignment="1">
      <alignment horizontal="right" vertical="center"/>
    </xf>
    <xf numFmtId="3" fontId="41" fillId="0" borderId="12" xfId="0" applyNumberFormat="1" applyFont="1" applyBorder="1" applyAlignment="1">
      <alignment/>
    </xf>
    <xf numFmtId="3" fontId="49" fillId="0" borderId="26" xfId="0" applyNumberFormat="1" applyFont="1" applyBorder="1" applyAlignment="1">
      <alignment/>
    </xf>
    <xf numFmtId="3" fontId="41" fillId="0" borderId="26" xfId="0" applyNumberFormat="1" applyFont="1" applyBorder="1" applyAlignment="1">
      <alignment/>
    </xf>
    <xf numFmtId="3" fontId="41" fillId="0" borderId="11" xfId="0" applyNumberFormat="1" applyFont="1" applyBorder="1" applyAlignment="1">
      <alignment/>
    </xf>
    <xf numFmtId="3" fontId="41" fillId="0" borderId="25" xfId="0" applyNumberFormat="1" applyFont="1" applyBorder="1" applyAlignment="1">
      <alignment/>
    </xf>
    <xf numFmtId="0" fontId="49" fillId="0" borderId="45" xfId="0" applyFont="1" applyFill="1" applyBorder="1" applyAlignment="1">
      <alignment horizontal="left" vertical="center"/>
    </xf>
    <xf numFmtId="0" fontId="0" fillId="0" borderId="52" xfId="0" applyBorder="1" applyAlignment="1">
      <alignment/>
    </xf>
    <xf numFmtId="3" fontId="49" fillId="0" borderId="52" xfId="0" applyNumberFormat="1" applyFont="1" applyBorder="1" applyAlignment="1">
      <alignment/>
    </xf>
    <xf numFmtId="0" fontId="49" fillId="0" borderId="0" xfId="0" applyFont="1" applyFill="1" applyBorder="1" applyAlignment="1">
      <alignment horizontal="left" vertical="center"/>
    </xf>
    <xf numFmtId="3" fontId="49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45" fillId="0" borderId="0" xfId="0" applyFont="1" applyAlignment="1">
      <alignment/>
    </xf>
    <xf numFmtId="0" fontId="27" fillId="0" borderId="28" xfId="0" applyFont="1" applyBorder="1" applyAlignment="1">
      <alignment horizontal="center" vertical="center"/>
    </xf>
    <xf numFmtId="3" fontId="28" fillId="0" borderId="14" xfId="0" applyNumberFormat="1" applyFont="1" applyBorder="1" applyAlignment="1">
      <alignment horizontal="right" vertical="center"/>
    </xf>
    <xf numFmtId="0" fontId="28" fillId="0" borderId="36" xfId="0" applyFont="1" applyBorder="1" applyAlignment="1">
      <alignment horizontal="center" vertical="center"/>
    </xf>
    <xf numFmtId="3" fontId="28" fillId="0" borderId="11" xfId="0" applyNumberFormat="1" applyFont="1" applyBorder="1" applyAlignment="1">
      <alignment horizontal="right" vertical="center"/>
    </xf>
    <xf numFmtId="0" fontId="28" fillId="0" borderId="25" xfId="0" applyFont="1" applyBorder="1" applyAlignment="1">
      <alignment horizontal="center" vertical="center"/>
    </xf>
    <xf numFmtId="3" fontId="28" fillId="0" borderId="12" xfId="0" applyNumberFormat="1" applyFont="1" applyBorder="1" applyAlignment="1">
      <alignment horizontal="right" vertical="center"/>
    </xf>
    <xf numFmtId="0" fontId="28" fillId="0" borderId="26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41" fillId="0" borderId="0" xfId="0" applyFont="1" applyAlignment="1">
      <alignment/>
    </xf>
    <xf numFmtId="0" fontId="54" fillId="0" borderId="0" xfId="0" applyFont="1" applyAlignment="1">
      <alignment horizontal="center"/>
    </xf>
    <xf numFmtId="0" fontId="57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right"/>
    </xf>
    <xf numFmtId="0" fontId="42" fillId="0" borderId="32" xfId="0" applyFont="1" applyBorder="1" applyAlignment="1">
      <alignment horizontal="left" vertical="center"/>
    </xf>
    <xf numFmtId="3" fontId="42" fillId="0" borderId="14" xfId="0" applyNumberFormat="1" applyFont="1" applyBorder="1" applyAlignment="1">
      <alignment horizontal="right" vertical="center" wrapText="1"/>
    </xf>
    <xf numFmtId="0" fontId="42" fillId="0" borderId="32" xfId="0" applyFont="1" applyBorder="1" applyAlignment="1">
      <alignment/>
    </xf>
    <xf numFmtId="3" fontId="41" fillId="0" borderId="14" xfId="40" applyNumberFormat="1" applyFont="1" applyFill="1" applyBorder="1" applyAlignment="1" applyProtection="1">
      <alignment horizontal="right"/>
      <protection/>
    </xf>
    <xf numFmtId="0" fontId="34" fillId="0" borderId="24" xfId="0" applyFont="1" applyBorder="1" applyAlignment="1">
      <alignment/>
    </xf>
    <xf numFmtId="3" fontId="42" fillId="0" borderId="14" xfId="40" applyNumberFormat="1" applyFont="1" applyFill="1" applyBorder="1" applyAlignment="1" applyProtection="1">
      <alignment horizontal="right"/>
      <protection/>
    </xf>
    <xf numFmtId="0" fontId="58" fillId="0" borderId="24" xfId="0" applyFont="1" applyBorder="1" applyAlignment="1">
      <alignment/>
    </xf>
    <xf numFmtId="3" fontId="59" fillId="0" borderId="14" xfId="40" applyNumberFormat="1" applyFont="1" applyFill="1" applyBorder="1" applyAlignment="1" applyProtection="1">
      <alignment horizontal="right"/>
      <protection/>
    </xf>
    <xf numFmtId="0" fontId="42" fillId="0" borderId="24" xfId="0" applyFont="1" applyBorder="1" applyAlignment="1">
      <alignment/>
    </xf>
    <xf numFmtId="3" fontId="42" fillId="0" borderId="11" xfId="40" applyNumberFormat="1" applyFont="1" applyFill="1" applyBorder="1" applyAlignment="1" applyProtection="1">
      <alignment horizontal="right"/>
      <protection/>
    </xf>
    <xf numFmtId="0" fontId="42" fillId="0" borderId="37" xfId="0" applyFont="1" applyBorder="1" applyAlignment="1">
      <alignment wrapText="1"/>
    </xf>
    <xf numFmtId="3" fontId="42" fillId="0" borderId="29" xfId="40" applyNumberFormat="1" applyFont="1" applyFill="1" applyBorder="1" applyAlignment="1" applyProtection="1">
      <alignment horizontal="right"/>
      <protection/>
    </xf>
    <xf numFmtId="0" fontId="56" fillId="0" borderId="27" xfId="0" applyFont="1" applyBorder="1" applyAlignment="1">
      <alignment/>
    </xf>
    <xf numFmtId="3" fontId="56" fillId="0" borderId="13" xfId="40" applyNumberFormat="1" applyFont="1" applyFill="1" applyBorder="1" applyAlignment="1" applyProtection="1">
      <alignment horizontal="right"/>
      <protection/>
    </xf>
    <xf numFmtId="0" fontId="41" fillId="0" borderId="0" xfId="0" applyFont="1" applyAlignment="1">
      <alignment horizontal="justify"/>
    </xf>
    <xf numFmtId="0" fontId="54" fillId="0" borderId="0" xfId="0" applyFont="1" applyAlignment="1">
      <alignment/>
    </xf>
    <xf numFmtId="0" fontId="57" fillId="0" borderId="27" xfId="0" applyFont="1" applyBorder="1" applyAlignment="1">
      <alignment vertical="center"/>
    </xf>
    <xf numFmtId="0" fontId="57" fillId="0" borderId="13" xfId="0" applyFont="1" applyBorder="1" applyAlignment="1">
      <alignment horizontal="center" vertical="center"/>
    </xf>
    <xf numFmtId="0" fontId="41" fillId="0" borderId="32" xfId="0" applyFont="1" applyBorder="1" applyAlignment="1">
      <alignment/>
    </xf>
    <xf numFmtId="166" fontId="41" fillId="0" borderId="10" xfId="40" applyNumberFormat="1" applyFont="1" applyFill="1" applyBorder="1" applyAlignment="1" applyProtection="1">
      <alignment/>
      <protection/>
    </xf>
    <xf numFmtId="166" fontId="41" fillId="0" borderId="14" xfId="40" applyNumberFormat="1" applyFont="1" applyFill="1" applyBorder="1" applyAlignment="1" applyProtection="1">
      <alignment/>
      <protection/>
    </xf>
    <xf numFmtId="166" fontId="41" fillId="0" borderId="21" xfId="40" applyNumberFormat="1" applyFont="1" applyFill="1" applyBorder="1" applyAlignment="1" applyProtection="1">
      <alignment/>
      <protection/>
    </xf>
    <xf numFmtId="0" fontId="41" fillId="0" borderId="38" xfId="0" applyFont="1" applyBorder="1" applyAlignment="1">
      <alignment/>
    </xf>
    <xf numFmtId="166" fontId="41" fillId="0" borderId="29" xfId="40" applyNumberFormat="1" applyFont="1" applyFill="1" applyBorder="1" applyAlignment="1" applyProtection="1">
      <alignment/>
      <protection/>
    </xf>
    <xf numFmtId="0" fontId="0" fillId="0" borderId="15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3" fontId="23" fillId="0" borderId="42" xfId="0" applyNumberFormat="1" applyFont="1" applyBorder="1" applyAlignment="1">
      <alignment/>
    </xf>
    <xf numFmtId="0" fontId="0" fillId="0" borderId="39" xfId="0" applyBorder="1" applyAlignment="1">
      <alignment/>
    </xf>
    <xf numFmtId="0" fontId="0" fillId="0" borderId="28" xfId="0" applyBorder="1" applyAlignment="1">
      <alignment horizontal="center"/>
    </xf>
    <xf numFmtId="0" fontId="29" fillId="0" borderId="0" xfId="0" applyFont="1" applyAlignment="1">
      <alignment horizontal="right"/>
    </xf>
    <xf numFmtId="0" fontId="28" fillId="0" borderId="28" xfId="0" applyFont="1" applyBorder="1" applyAlignment="1">
      <alignment/>
    </xf>
    <xf numFmtId="0" fontId="27" fillId="0" borderId="38" xfId="0" applyFont="1" applyBorder="1" applyAlignment="1">
      <alignment horizontal="center"/>
    </xf>
    <xf numFmtId="0" fontId="28" fillId="0" borderId="22" xfId="0" applyFont="1" applyBorder="1" applyAlignment="1">
      <alignment vertical="center"/>
    </xf>
    <xf numFmtId="0" fontId="28" fillId="0" borderId="21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27" fillId="0" borderId="28" xfId="0" applyFont="1" applyBorder="1" applyAlignment="1">
      <alignment/>
    </xf>
    <xf numFmtId="0" fontId="27" fillId="0" borderId="42" xfId="0" applyFont="1" applyBorder="1" applyAlignment="1">
      <alignment horizontal="center"/>
    </xf>
    <xf numFmtId="0" fontId="28" fillId="0" borderId="1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8" fillId="0" borderId="29" xfId="0" applyFont="1" applyBorder="1" applyAlignment="1">
      <alignment vertical="center"/>
    </xf>
    <xf numFmtId="0" fontId="28" fillId="0" borderId="57" xfId="0" applyFont="1" applyBorder="1" applyAlignment="1">
      <alignment vertical="center"/>
    </xf>
    <xf numFmtId="0" fontId="0" fillId="0" borderId="0" xfId="0" applyAlignment="1">
      <alignment horizontal="justify"/>
    </xf>
    <xf numFmtId="0" fontId="0" fillId="0" borderId="0" xfId="0" applyAlignment="1">
      <alignment horizontal="justify" wrapText="1"/>
    </xf>
    <xf numFmtId="0" fontId="35" fillId="0" borderId="0" xfId="0" applyFont="1" applyBorder="1" applyAlignment="1">
      <alignment horizontal="center"/>
    </xf>
    <xf numFmtId="0" fontId="48" fillId="0" borderId="13" xfId="0" applyFont="1" applyBorder="1" applyAlignment="1">
      <alignment horizontal="center" vertical="center"/>
    </xf>
    <xf numFmtId="0" fontId="48" fillId="0" borderId="43" xfId="0" applyFont="1" applyBorder="1" applyAlignment="1">
      <alignment horizontal="center" vertical="center"/>
    </xf>
    <xf numFmtId="0" fontId="49" fillId="0" borderId="13" xfId="0" applyFont="1" applyBorder="1" applyAlignment="1">
      <alignment vertical="center" wrapText="1"/>
    </xf>
    <xf numFmtId="3" fontId="49" fillId="0" borderId="18" xfId="0" applyNumberFormat="1" applyFont="1" applyBorder="1" applyAlignment="1">
      <alignment vertical="center"/>
    </xf>
    <xf numFmtId="3" fontId="49" fillId="0" borderId="30" xfId="0" applyNumberFormat="1" applyFont="1" applyBorder="1" applyAlignment="1">
      <alignment vertical="center"/>
    </xf>
    <xf numFmtId="3" fontId="49" fillId="0" borderId="15" xfId="0" applyNumberFormat="1" applyFont="1" applyBorder="1" applyAlignment="1">
      <alignment vertical="center"/>
    </xf>
    <xf numFmtId="3" fontId="49" fillId="0" borderId="26" xfId="0" applyNumberFormat="1" applyFont="1" applyBorder="1" applyAlignment="1">
      <alignment vertical="center"/>
    </xf>
    <xf numFmtId="3" fontId="49" fillId="0" borderId="23" xfId="0" applyNumberFormat="1" applyFont="1" applyFill="1" applyBorder="1" applyAlignment="1">
      <alignment vertical="center"/>
    </xf>
    <xf numFmtId="3" fontId="49" fillId="0" borderId="27" xfId="0" applyNumberFormat="1" applyFont="1" applyBorder="1" applyAlignment="1">
      <alignment vertical="center"/>
    </xf>
    <xf numFmtId="3" fontId="49" fillId="0" borderId="13" xfId="0" applyNumberFormat="1" applyFont="1" applyBorder="1" applyAlignment="1">
      <alignment vertical="center"/>
    </xf>
    <xf numFmtId="3" fontId="49" fillId="0" borderId="28" xfId="0" applyNumberFormat="1" applyFont="1" applyBorder="1" applyAlignment="1">
      <alignment vertical="center"/>
    </xf>
    <xf numFmtId="3" fontId="49" fillId="0" borderId="28" xfId="0" applyNumberFormat="1" applyFont="1" applyFill="1" applyBorder="1" applyAlignment="1">
      <alignment vertical="center"/>
    </xf>
    <xf numFmtId="3" fontId="49" fillId="0" borderId="0" xfId="0" applyNumberFormat="1" applyFont="1" applyBorder="1" applyAlignment="1">
      <alignment vertical="center"/>
    </xf>
    <xf numFmtId="3" fontId="49" fillId="0" borderId="38" xfId="0" applyNumberFormat="1" applyFont="1" applyBorder="1" applyAlignment="1">
      <alignment vertical="center"/>
    </xf>
    <xf numFmtId="3" fontId="49" fillId="0" borderId="16" xfId="0" applyNumberFormat="1" applyFont="1" applyBorder="1" applyAlignment="1">
      <alignment vertical="center"/>
    </xf>
    <xf numFmtId="3" fontId="49" fillId="0" borderId="23" xfId="0" applyNumberFormat="1" applyFont="1" applyBorder="1" applyAlignment="1">
      <alignment vertical="center"/>
    </xf>
    <xf numFmtId="0" fontId="35" fillId="0" borderId="13" xfId="0" applyFont="1" applyBorder="1" applyAlignment="1">
      <alignment vertical="center"/>
    </xf>
    <xf numFmtId="3" fontId="48" fillId="0" borderId="27" xfId="0" applyNumberFormat="1" applyFont="1" applyBorder="1" applyAlignment="1">
      <alignment horizontal="right" vertical="center"/>
    </xf>
    <xf numFmtId="3" fontId="48" fillId="0" borderId="13" xfId="0" applyNumberFormat="1" applyFont="1" applyBorder="1" applyAlignment="1">
      <alignment horizontal="right" vertical="center"/>
    </xf>
    <xf numFmtId="3" fontId="48" fillId="0" borderId="28" xfId="0" applyNumberFormat="1" applyFont="1" applyBorder="1" applyAlignment="1">
      <alignment horizontal="right" vertical="center"/>
    </xf>
    <xf numFmtId="3" fontId="48" fillId="0" borderId="43" xfId="0" applyNumberFormat="1" applyFont="1" applyBorder="1" applyAlignment="1">
      <alignment horizontal="center" vertical="center"/>
    </xf>
    <xf numFmtId="3" fontId="48" fillId="0" borderId="13" xfId="0" applyNumberFormat="1" applyFont="1" applyBorder="1" applyAlignment="1">
      <alignment horizontal="center" vertical="center"/>
    </xf>
    <xf numFmtId="0" fontId="49" fillId="0" borderId="0" xfId="0" applyFont="1" applyAlignment="1">
      <alignment horizontal="justify"/>
    </xf>
    <xf numFmtId="0" fontId="21" fillId="0" borderId="58" xfId="0" applyFont="1" applyBorder="1" applyAlignment="1">
      <alignment/>
    </xf>
    <xf numFmtId="0" fontId="25" fillId="0" borderId="58" xfId="0" applyFont="1" applyBorder="1" applyAlignment="1">
      <alignment/>
    </xf>
    <xf numFmtId="0" fontId="0" fillId="0" borderId="58" xfId="0" applyFont="1" applyBorder="1" applyAlignment="1">
      <alignment/>
    </xf>
    <xf numFmtId="3" fontId="14" fillId="0" borderId="58" xfId="0" applyNumberFormat="1" applyFont="1" applyBorder="1" applyAlignment="1">
      <alignment/>
    </xf>
    <xf numFmtId="0" fontId="14" fillId="0" borderId="58" xfId="0" applyFont="1" applyBorder="1" applyAlignment="1">
      <alignment/>
    </xf>
    <xf numFmtId="3" fontId="29" fillId="0" borderId="58" xfId="0" applyNumberFormat="1" applyFont="1" applyBorder="1" applyAlignment="1">
      <alignment/>
    </xf>
    <xf numFmtId="0" fontId="36" fillId="0" borderId="58" xfId="0" applyFont="1" applyBorder="1" applyAlignment="1">
      <alignment/>
    </xf>
    <xf numFmtId="0" fontId="14" fillId="0" borderId="58" xfId="0" applyFont="1" applyBorder="1" applyAlignment="1">
      <alignment wrapText="1"/>
    </xf>
    <xf numFmtId="3" fontId="44" fillId="0" borderId="58" xfId="0" applyNumberFormat="1" applyFont="1" applyBorder="1" applyAlignment="1">
      <alignment/>
    </xf>
    <xf numFmtId="3" fontId="61" fillId="0" borderId="58" xfId="0" applyNumberFormat="1" applyFont="1" applyBorder="1" applyAlignment="1">
      <alignment/>
    </xf>
    <xf numFmtId="0" fontId="14" fillId="0" borderId="0" xfId="0" applyFont="1" applyBorder="1" applyAlignment="1">
      <alignment wrapText="1"/>
    </xf>
    <xf numFmtId="3" fontId="14" fillId="0" borderId="0" xfId="0" applyNumberFormat="1" applyFont="1" applyBorder="1" applyAlignment="1">
      <alignment/>
    </xf>
    <xf numFmtId="3" fontId="29" fillId="0" borderId="0" xfId="0" applyNumberFormat="1" applyFont="1" applyBorder="1" applyAlignment="1">
      <alignment/>
    </xf>
    <xf numFmtId="0" fontId="27" fillId="0" borderId="58" xfId="0" applyFont="1" applyBorder="1" applyAlignment="1">
      <alignment/>
    </xf>
    <xf numFmtId="0" fontId="29" fillId="0" borderId="58" xfId="0" applyFont="1" applyBorder="1" applyAlignment="1">
      <alignment horizontal="center"/>
    </xf>
    <xf numFmtId="0" fontId="36" fillId="0" borderId="0" xfId="0" applyFont="1" applyBorder="1" applyAlignment="1">
      <alignment/>
    </xf>
    <xf numFmtId="0" fontId="39" fillId="0" borderId="58" xfId="0" applyFont="1" applyBorder="1" applyAlignment="1">
      <alignment/>
    </xf>
    <xf numFmtId="0" fontId="36" fillId="0" borderId="58" xfId="0" applyFont="1" applyBorder="1" applyAlignment="1">
      <alignment wrapText="1"/>
    </xf>
    <xf numFmtId="0" fontId="29" fillId="0" borderId="58" xfId="0" applyFont="1" applyBorder="1" applyAlignment="1">
      <alignment/>
    </xf>
    <xf numFmtId="0" fontId="0" fillId="0" borderId="0" xfId="0" applyAlignment="1">
      <alignment wrapText="1"/>
    </xf>
    <xf numFmtId="3" fontId="29" fillId="0" borderId="58" xfId="0" applyNumberFormat="1" applyFont="1" applyBorder="1" applyAlignment="1">
      <alignment horizontal="center"/>
    </xf>
    <xf numFmtId="0" fontId="29" fillId="0" borderId="60" xfId="0" applyFont="1" applyBorder="1" applyAlignment="1">
      <alignment horizontal="center"/>
    </xf>
    <xf numFmtId="3" fontId="14" fillId="0" borderId="60" xfId="0" applyNumberFormat="1" applyFont="1" applyBorder="1" applyAlignment="1">
      <alignment/>
    </xf>
    <xf numFmtId="3" fontId="29" fillId="0" borderId="60" xfId="0" applyNumberFormat="1" applyFont="1" applyBorder="1" applyAlignment="1">
      <alignment/>
    </xf>
    <xf numFmtId="3" fontId="0" fillId="0" borderId="58" xfId="0" applyNumberFormat="1" applyBorder="1" applyAlignment="1">
      <alignment/>
    </xf>
    <xf numFmtId="0" fontId="44" fillId="0" borderId="58" xfId="0" applyFont="1" applyBorder="1" applyAlignment="1">
      <alignment/>
    </xf>
    <xf numFmtId="0" fontId="23" fillId="0" borderId="58" xfId="0" applyFont="1" applyBorder="1" applyAlignment="1">
      <alignment horizontal="center"/>
    </xf>
    <xf numFmtId="0" fontId="23" fillId="0" borderId="58" xfId="0" applyFont="1" applyBorder="1" applyAlignment="1">
      <alignment/>
    </xf>
    <xf numFmtId="3" fontId="0" fillId="0" borderId="58" xfId="0" applyNumberFormat="1" applyFont="1" applyBorder="1" applyAlignment="1">
      <alignment/>
    </xf>
    <xf numFmtId="3" fontId="23" fillId="0" borderId="58" xfId="0" applyNumberFormat="1" applyFont="1" applyBorder="1" applyAlignment="1">
      <alignment/>
    </xf>
    <xf numFmtId="0" fontId="21" fillId="0" borderId="54" xfId="0" applyFont="1" applyBorder="1" applyAlignment="1">
      <alignment/>
    </xf>
    <xf numFmtId="0" fontId="29" fillId="0" borderId="55" xfId="0" applyFont="1" applyBorder="1" applyAlignment="1">
      <alignment horizontal="center"/>
    </xf>
    <xf numFmtId="0" fontId="37" fillId="0" borderId="58" xfId="0" applyFont="1" applyBorder="1" applyAlignment="1">
      <alignment/>
    </xf>
    <xf numFmtId="3" fontId="37" fillId="0" borderId="58" xfId="0" applyNumberFormat="1" applyFont="1" applyBorder="1" applyAlignment="1">
      <alignment/>
    </xf>
    <xf numFmtId="0" fontId="35" fillId="0" borderId="58" xfId="0" applyFont="1" applyBorder="1" applyAlignment="1">
      <alignment/>
    </xf>
    <xf numFmtId="3" fontId="35" fillId="0" borderId="58" xfId="0" applyNumberFormat="1" applyFont="1" applyBorder="1" applyAlignment="1">
      <alignment/>
    </xf>
    <xf numFmtId="0" fontId="27" fillId="0" borderId="50" xfId="0" applyFont="1" applyBorder="1" applyAlignment="1">
      <alignment vertical="center"/>
    </xf>
    <xf numFmtId="168" fontId="27" fillId="0" borderId="44" xfId="4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/>
    </xf>
    <xf numFmtId="0" fontId="29" fillId="0" borderId="15" xfId="0" applyFont="1" applyBorder="1" applyAlignment="1">
      <alignment horizontal="left" vertical="center"/>
    </xf>
    <xf numFmtId="0" fontId="29" fillId="0" borderId="35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29" fillId="0" borderId="13" xfId="0" applyFont="1" applyBorder="1" applyAlignment="1">
      <alignment horizontal="left" vertical="center"/>
    </xf>
    <xf numFmtId="0" fontId="29" fillId="0" borderId="28" xfId="0" applyFont="1" applyBorder="1" applyAlignment="1">
      <alignment horizontal="center" vertical="center" wrapText="1"/>
    </xf>
    <xf numFmtId="0" fontId="41" fillId="0" borderId="11" xfId="0" applyFont="1" applyBorder="1" applyAlignment="1">
      <alignment wrapText="1"/>
    </xf>
    <xf numFmtId="0" fontId="0" fillId="0" borderId="12" xfId="0" applyBorder="1" applyAlignment="1">
      <alignment horizontal="left"/>
    </xf>
    <xf numFmtId="3" fontId="0" fillId="0" borderId="24" xfId="0" applyNumberFormat="1" applyFont="1" applyBorder="1" applyAlignment="1">
      <alignment/>
    </xf>
    <xf numFmtId="0" fontId="29" fillId="0" borderId="61" xfId="0" applyFont="1" applyBorder="1" applyAlignment="1">
      <alignment horizontal="left" vertical="center"/>
    </xf>
    <xf numFmtId="3" fontId="29" fillId="0" borderId="62" xfId="0" applyNumberFormat="1" applyFont="1" applyBorder="1" applyAlignment="1">
      <alignment horizontal="right"/>
    </xf>
    <xf numFmtId="3" fontId="0" fillId="0" borderId="18" xfId="0" applyNumberFormat="1" applyFont="1" applyBorder="1" applyAlignment="1">
      <alignment/>
    </xf>
    <xf numFmtId="3" fontId="23" fillId="0" borderId="63" xfId="0" applyNumberFormat="1" applyFont="1" applyBorder="1" applyAlignment="1">
      <alignment/>
    </xf>
    <xf numFmtId="3" fontId="0" fillId="0" borderId="62" xfId="0" applyNumberFormat="1" applyFont="1" applyBorder="1" applyAlignment="1">
      <alignment/>
    </xf>
    <xf numFmtId="0" fontId="39" fillId="0" borderId="0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27" fillId="0" borderId="61" xfId="0" applyFont="1" applyBorder="1" applyAlignment="1">
      <alignment horizontal="left" vertical="center"/>
    </xf>
    <xf numFmtId="3" fontId="27" fillId="0" borderId="62" xfId="0" applyNumberFormat="1" applyFont="1" applyBorder="1" applyAlignment="1">
      <alignment horizontal="right" vertical="center" wrapText="1"/>
    </xf>
    <xf numFmtId="0" fontId="27" fillId="0" borderId="61" xfId="0" applyFont="1" applyBorder="1" applyAlignment="1">
      <alignment horizontal="left" vertical="center"/>
    </xf>
    <xf numFmtId="0" fontId="27" fillId="0" borderId="64" xfId="0" applyFont="1" applyBorder="1" applyAlignment="1">
      <alignment horizontal="center" vertical="center"/>
    </xf>
    <xf numFmtId="0" fontId="27" fillId="0" borderId="65" xfId="0" applyFont="1" applyBorder="1" applyAlignment="1">
      <alignment horizontal="center" vertical="center" wrapText="1"/>
    </xf>
    <xf numFmtId="0" fontId="46" fillId="0" borderId="66" xfId="0" applyFont="1" applyBorder="1" applyAlignment="1">
      <alignment horizontal="left" vertical="center"/>
    </xf>
    <xf numFmtId="3" fontId="28" fillId="0" borderId="67" xfId="0" applyNumberFormat="1" applyFont="1" applyBorder="1" applyAlignment="1">
      <alignment horizontal="right" vertical="center" wrapText="1"/>
    </xf>
    <xf numFmtId="0" fontId="27" fillId="0" borderId="68" xfId="0" applyFont="1" applyBorder="1" applyAlignment="1">
      <alignment horizontal="left" vertical="center"/>
    </xf>
    <xf numFmtId="3" fontId="28" fillId="0" borderId="69" xfId="0" applyNumberFormat="1" applyFont="1" applyBorder="1" applyAlignment="1">
      <alignment horizontal="right" vertical="center" wrapText="1"/>
    </xf>
    <xf numFmtId="0" fontId="28" fillId="0" borderId="70" xfId="0" applyFont="1" applyBorder="1" applyAlignment="1">
      <alignment horizontal="left" vertical="center"/>
    </xf>
    <xf numFmtId="3" fontId="28" fillId="0" borderId="71" xfId="0" applyNumberFormat="1" applyFont="1" applyBorder="1" applyAlignment="1">
      <alignment horizontal="right" vertical="center" wrapText="1"/>
    </xf>
    <xf numFmtId="0" fontId="27" fillId="0" borderId="72" xfId="0" applyFont="1" applyBorder="1" applyAlignment="1">
      <alignment horizontal="left" vertical="center"/>
    </xf>
    <xf numFmtId="3" fontId="28" fillId="0" borderId="73" xfId="0" applyNumberFormat="1" applyFont="1" applyBorder="1" applyAlignment="1">
      <alignment horizontal="right" vertical="center" wrapText="1"/>
    </xf>
    <xf numFmtId="0" fontId="27" fillId="0" borderId="70" xfId="0" applyFont="1" applyBorder="1" applyAlignment="1">
      <alignment horizontal="left" vertical="center"/>
    </xf>
    <xf numFmtId="0" fontId="46" fillId="0" borderId="74" xfId="0" applyFont="1" applyBorder="1" applyAlignment="1">
      <alignment horizontal="left" vertical="center"/>
    </xf>
    <xf numFmtId="3" fontId="28" fillId="0" borderId="75" xfId="0" applyNumberFormat="1" applyFont="1" applyBorder="1" applyAlignment="1">
      <alignment horizontal="right" vertical="center" wrapText="1"/>
    </xf>
    <xf numFmtId="0" fontId="26" fillId="0" borderId="70" xfId="0" applyFont="1" applyBorder="1" applyAlignment="1">
      <alignment horizontal="left" vertical="center"/>
    </xf>
    <xf numFmtId="0" fontId="14" fillId="0" borderId="76" xfId="0" applyFont="1" applyBorder="1" applyAlignment="1">
      <alignment horizontal="left" vertical="center"/>
    </xf>
    <xf numFmtId="3" fontId="28" fillId="0" borderId="77" xfId="0" applyNumberFormat="1" applyFont="1" applyBorder="1" applyAlignment="1">
      <alignment horizontal="right" vertical="center" wrapText="1"/>
    </xf>
    <xf numFmtId="0" fontId="27" fillId="0" borderId="78" xfId="0" applyFont="1" applyBorder="1" applyAlignment="1">
      <alignment horizontal="left" vertical="center"/>
    </xf>
    <xf numFmtId="3" fontId="27" fillId="0" borderId="79" xfId="0" applyNumberFormat="1" applyFont="1" applyBorder="1" applyAlignment="1">
      <alignment horizontal="right" vertical="center" wrapText="1"/>
    </xf>
    <xf numFmtId="3" fontId="27" fillId="0" borderId="71" xfId="0" applyNumberFormat="1" applyFont="1" applyBorder="1" applyAlignment="1">
      <alignment horizontal="right" vertical="center" wrapText="1"/>
    </xf>
    <xf numFmtId="0" fontId="27" fillId="0" borderId="78" xfId="0" applyFont="1" applyBorder="1" applyAlignment="1">
      <alignment vertical="center"/>
    </xf>
    <xf numFmtId="0" fontId="27" fillId="0" borderId="70" xfId="0" applyFont="1" applyBorder="1" applyAlignment="1">
      <alignment vertical="center"/>
    </xf>
    <xf numFmtId="0" fontId="46" fillId="0" borderId="74" xfId="0" applyFont="1" applyBorder="1" applyAlignment="1">
      <alignment vertical="center"/>
    </xf>
    <xf numFmtId="3" fontId="28" fillId="0" borderId="75" xfId="40" applyNumberFormat="1" applyFont="1" applyFill="1" applyBorder="1" applyAlignment="1" applyProtection="1">
      <alignment horizontal="right" vertical="center"/>
      <protection/>
    </xf>
    <xf numFmtId="0" fontId="28" fillId="0" borderId="80" xfId="0" applyFont="1" applyBorder="1" applyAlignment="1">
      <alignment vertical="center" wrapText="1"/>
    </xf>
    <xf numFmtId="3" fontId="28" fillId="0" borderId="81" xfId="40" applyNumberFormat="1" applyFont="1" applyFill="1" applyBorder="1" applyAlignment="1" applyProtection="1">
      <alignment horizontal="right" vertical="center"/>
      <protection/>
    </xf>
    <xf numFmtId="0" fontId="28" fillId="0" borderId="80" xfId="0" applyFont="1" applyBorder="1" applyAlignment="1">
      <alignment vertical="center"/>
    </xf>
    <xf numFmtId="0" fontId="27" fillId="0" borderId="80" xfId="0" applyFont="1" applyBorder="1" applyAlignment="1">
      <alignment vertical="center"/>
    </xf>
    <xf numFmtId="3" fontId="27" fillId="0" borderId="81" xfId="40" applyNumberFormat="1" applyFont="1" applyFill="1" applyBorder="1" applyAlignment="1" applyProtection="1">
      <alignment horizontal="right" vertical="center"/>
      <protection/>
    </xf>
    <xf numFmtId="3" fontId="27" fillId="0" borderId="77" xfId="40" applyNumberFormat="1" applyFont="1" applyFill="1" applyBorder="1" applyAlignment="1" applyProtection="1">
      <alignment horizontal="right" vertical="center"/>
      <protection/>
    </xf>
    <xf numFmtId="0" fontId="27" fillId="0" borderId="76" xfId="0" applyFont="1" applyBorder="1" applyAlignment="1">
      <alignment vertical="center"/>
    </xf>
    <xf numFmtId="3" fontId="27" fillId="0" borderId="82" xfId="40" applyNumberFormat="1" applyFont="1" applyFill="1" applyBorder="1" applyAlignment="1" applyProtection="1">
      <alignment horizontal="right" vertical="center"/>
      <protection/>
    </xf>
    <xf numFmtId="3" fontId="27" fillId="0" borderId="79" xfId="40" applyNumberFormat="1" applyFont="1" applyFill="1" applyBorder="1" applyAlignment="1" applyProtection="1">
      <alignment horizontal="right" vertical="center"/>
      <protection/>
    </xf>
    <xf numFmtId="0" fontId="27" fillId="0" borderId="83" xfId="0" applyFont="1" applyBorder="1" applyAlignment="1">
      <alignment vertical="center"/>
    </xf>
    <xf numFmtId="3" fontId="27" fillId="0" borderId="84" xfId="40" applyNumberFormat="1" applyFont="1" applyFill="1" applyBorder="1" applyAlignment="1" applyProtection="1">
      <alignment horizontal="right" vertical="center"/>
      <protection/>
    </xf>
    <xf numFmtId="0" fontId="27" fillId="0" borderId="85" xfId="0" applyFont="1" applyBorder="1" applyAlignment="1">
      <alignment vertical="center"/>
    </xf>
    <xf numFmtId="3" fontId="27" fillId="0" borderId="86" xfId="40" applyNumberFormat="1" applyFont="1" applyFill="1" applyBorder="1" applyAlignment="1" applyProtection="1">
      <alignment horizontal="right" vertical="center"/>
      <protection/>
    </xf>
    <xf numFmtId="3" fontId="29" fillId="0" borderId="87" xfId="0" applyNumberFormat="1" applyFont="1" applyBorder="1" applyAlignment="1">
      <alignment horizontal="right"/>
    </xf>
    <xf numFmtId="0" fontId="0" fillId="0" borderId="24" xfId="0" applyBorder="1" applyAlignment="1">
      <alignment/>
    </xf>
    <xf numFmtId="3" fontId="23" fillId="0" borderId="88" xfId="0" applyNumberFormat="1" applyFont="1" applyBorder="1" applyAlignment="1">
      <alignment/>
    </xf>
    <xf numFmtId="3" fontId="23" fillId="0" borderId="89" xfId="0" applyNumberFormat="1" applyFont="1" applyBorder="1" applyAlignment="1">
      <alignment/>
    </xf>
    <xf numFmtId="3" fontId="23" fillId="0" borderId="62" xfId="0" applyNumberFormat="1" applyFont="1" applyBorder="1" applyAlignment="1">
      <alignment/>
    </xf>
    <xf numFmtId="0" fontId="29" fillId="0" borderId="79" xfId="0" applyFont="1" applyBorder="1" applyAlignment="1">
      <alignment horizontal="center" vertical="center"/>
    </xf>
    <xf numFmtId="0" fontId="14" fillId="0" borderId="76" xfId="0" applyFont="1" applyBorder="1" applyAlignment="1">
      <alignment horizontal="left" vertical="center" wrapText="1"/>
    </xf>
    <xf numFmtId="3" fontId="14" fillId="0" borderId="84" xfId="0" applyNumberFormat="1" applyFont="1" applyBorder="1" applyAlignment="1">
      <alignment horizontal="right" vertical="center"/>
    </xf>
    <xf numFmtId="0" fontId="29" fillId="0" borderId="78" xfId="0" applyFont="1" applyBorder="1" applyAlignment="1">
      <alignment horizontal="left" vertical="center" wrapText="1"/>
    </xf>
    <xf numFmtId="3" fontId="29" fillId="0" borderId="79" xfId="0" applyNumberFormat="1" applyFont="1" applyBorder="1" applyAlignment="1">
      <alignment horizontal="right" vertical="center"/>
    </xf>
    <xf numFmtId="0" fontId="14" fillId="0" borderId="70" xfId="0" applyFont="1" applyBorder="1" applyAlignment="1">
      <alignment horizontal="left" vertical="center" wrapText="1"/>
    </xf>
    <xf numFmtId="3" fontId="14" fillId="0" borderId="75" xfId="0" applyNumberFormat="1" applyFont="1" applyBorder="1" applyAlignment="1">
      <alignment horizontal="right" vertical="center"/>
    </xf>
    <xf numFmtId="0" fontId="14" fillId="0" borderId="80" xfId="0" applyFont="1" applyBorder="1" applyAlignment="1">
      <alignment wrapText="1"/>
    </xf>
    <xf numFmtId="3" fontId="14" fillId="0" borderId="81" xfId="0" applyNumberFormat="1" applyFont="1" applyBorder="1" applyAlignment="1">
      <alignment horizontal="right" vertical="center"/>
    </xf>
    <xf numFmtId="3" fontId="29" fillId="0" borderId="81" xfId="0" applyNumberFormat="1" applyFont="1" applyBorder="1" applyAlignment="1">
      <alignment horizontal="right" vertical="center"/>
    </xf>
    <xf numFmtId="0" fontId="0" fillId="0" borderId="80" xfId="0" applyFont="1" applyBorder="1" applyAlignment="1">
      <alignment/>
    </xf>
    <xf numFmtId="0" fontId="0" fillId="0" borderId="76" xfId="0" applyFont="1" applyBorder="1" applyAlignment="1">
      <alignment/>
    </xf>
    <xf numFmtId="3" fontId="29" fillId="0" borderId="77" xfId="0" applyNumberFormat="1" applyFont="1" applyBorder="1" applyAlignment="1">
      <alignment horizontal="right" vertical="center"/>
    </xf>
    <xf numFmtId="0" fontId="29" fillId="0" borderId="78" xfId="0" applyFont="1" applyBorder="1" applyAlignment="1">
      <alignment/>
    </xf>
    <xf numFmtId="3" fontId="29" fillId="0" borderId="79" xfId="0" applyNumberFormat="1" applyFont="1" applyBorder="1" applyAlignment="1">
      <alignment/>
    </xf>
    <xf numFmtId="0" fontId="40" fillId="0" borderId="90" xfId="0" applyFont="1" applyBorder="1" applyAlignment="1">
      <alignment/>
    </xf>
    <xf numFmtId="0" fontId="27" fillId="0" borderId="91" xfId="0" applyFont="1" applyBorder="1" applyAlignment="1">
      <alignment/>
    </xf>
    <xf numFmtId="3" fontId="29" fillId="0" borderId="92" xfId="0" applyNumberFormat="1" applyFont="1" applyBorder="1" applyAlignment="1">
      <alignment horizontal="right"/>
    </xf>
    <xf numFmtId="3" fontId="29" fillId="0" borderId="92" xfId="0" applyNumberFormat="1" applyFont="1" applyBorder="1" applyAlignment="1">
      <alignment/>
    </xf>
    <xf numFmtId="3" fontId="29" fillId="0" borderId="93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61" xfId="0" applyBorder="1" applyAlignment="1">
      <alignment/>
    </xf>
    <xf numFmtId="3" fontId="23" fillId="0" borderId="94" xfId="0" applyNumberFormat="1" applyFont="1" applyBorder="1" applyAlignment="1">
      <alignment/>
    </xf>
    <xf numFmtId="0" fontId="27" fillId="0" borderId="95" xfId="0" applyFont="1" applyBorder="1" applyAlignment="1">
      <alignment/>
    </xf>
    <xf numFmtId="0" fontId="29" fillId="0" borderId="96" xfId="0" applyFont="1" applyBorder="1" applyAlignment="1">
      <alignment/>
    </xf>
    <xf numFmtId="0" fontId="0" fillId="0" borderId="97" xfId="0" applyBorder="1" applyAlignment="1">
      <alignment/>
    </xf>
    <xf numFmtId="0" fontId="0" fillId="0" borderId="70" xfId="0" applyBorder="1" applyAlignment="1">
      <alignment/>
    </xf>
    <xf numFmtId="3" fontId="0" fillId="0" borderId="98" xfId="0" applyNumberFormat="1" applyBorder="1" applyAlignment="1">
      <alignment horizontal="right"/>
    </xf>
    <xf numFmtId="3" fontId="0" fillId="0" borderId="99" xfId="0" applyNumberFormat="1" applyBorder="1" applyAlignment="1">
      <alignment horizontal="right"/>
    </xf>
    <xf numFmtId="0" fontId="0" fillId="0" borderId="80" xfId="0" applyBorder="1" applyAlignment="1">
      <alignment/>
    </xf>
    <xf numFmtId="3" fontId="0" fillId="0" borderId="100" xfId="0" applyNumberFormat="1" applyBorder="1" applyAlignment="1">
      <alignment horizontal="right"/>
    </xf>
    <xf numFmtId="3" fontId="23" fillId="0" borderId="101" xfId="0" applyNumberFormat="1" applyFont="1" applyBorder="1" applyAlignment="1">
      <alignment horizontal="right"/>
    </xf>
    <xf numFmtId="0" fontId="29" fillId="0" borderId="61" xfId="0" applyFont="1" applyBorder="1" applyAlignment="1">
      <alignment/>
    </xf>
    <xf numFmtId="0" fontId="0" fillId="0" borderId="94" xfId="0" applyBorder="1" applyAlignment="1">
      <alignment/>
    </xf>
    <xf numFmtId="164" fontId="31" fillId="0" borderId="102" xfId="0" applyNumberFormat="1" applyFont="1" applyBorder="1" applyAlignment="1">
      <alignment/>
    </xf>
    <xf numFmtId="3" fontId="37" fillId="0" borderId="103" xfId="0" applyNumberFormat="1" applyFont="1" applyBorder="1" applyAlignment="1">
      <alignment/>
    </xf>
    <xf numFmtId="16" fontId="68" fillId="0" borderId="68" xfId="0" applyNumberFormat="1" applyFont="1" applyBorder="1" applyAlignment="1">
      <alignment/>
    </xf>
    <xf numFmtId="0" fontId="0" fillId="0" borderId="74" xfId="0" applyBorder="1" applyAlignment="1">
      <alignment/>
    </xf>
    <xf numFmtId="0" fontId="0" fillId="0" borderId="103" xfId="0" applyBorder="1" applyAlignment="1">
      <alignment/>
    </xf>
    <xf numFmtId="3" fontId="0" fillId="0" borderId="103" xfId="0" applyNumberFormat="1" applyBorder="1" applyAlignment="1">
      <alignment/>
    </xf>
    <xf numFmtId="3" fontId="0" fillId="0" borderId="104" xfId="0" applyNumberFormat="1" applyBorder="1" applyAlignment="1">
      <alignment/>
    </xf>
    <xf numFmtId="3" fontId="0" fillId="0" borderId="103" xfId="0" applyNumberFormat="1" applyFont="1" applyBorder="1" applyAlignment="1">
      <alignment/>
    </xf>
    <xf numFmtId="0" fontId="0" fillId="0" borderId="45" xfId="0" applyBorder="1" applyAlignment="1">
      <alignment/>
    </xf>
    <xf numFmtId="0" fontId="29" fillId="0" borderId="61" xfId="0" applyFont="1" applyBorder="1" applyAlignment="1">
      <alignment/>
    </xf>
    <xf numFmtId="3" fontId="0" fillId="0" borderId="105" xfId="0" applyNumberFormat="1" applyFont="1" applyBorder="1" applyAlignment="1">
      <alignment/>
    </xf>
    <xf numFmtId="3" fontId="0" fillId="0" borderId="106" xfId="0" applyNumberFormat="1" applyFont="1" applyBorder="1" applyAlignment="1">
      <alignment/>
    </xf>
    <xf numFmtId="3" fontId="0" fillId="0" borderId="107" xfId="0" applyNumberFormat="1" applyFont="1" applyBorder="1" applyAlignment="1">
      <alignment/>
    </xf>
    <xf numFmtId="3" fontId="0" fillId="0" borderId="87" xfId="0" applyNumberFormat="1" applyFont="1" applyBorder="1" applyAlignment="1">
      <alignment/>
    </xf>
    <xf numFmtId="3" fontId="23" fillId="0" borderId="108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0" fontId="29" fillId="0" borderId="0" xfId="0" applyFont="1" applyBorder="1" applyAlignment="1">
      <alignment/>
    </xf>
    <xf numFmtId="0" fontId="27" fillId="0" borderId="109" xfId="0" applyFont="1" applyBorder="1" applyAlignment="1">
      <alignment/>
    </xf>
    <xf numFmtId="0" fontId="29" fillId="0" borderId="110" xfId="0" applyFont="1" applyBorder="1" applyAlignment="1">
      <alignment wrapText="1"/>
    </xf>
    <xf numFmtId="0" fontId="29" fillId="0" borderId="96" xfId="0" applyFont="1" applyBorder="1" applyAlignment="1">
      <alignment wrapText="1"/>
    </xf>
    <xf numFmtId="0" fontId="29" fillId="0" borderId="111" xfId="0" applyFont="1" applyBorder="1" applyAlignment="1">
      <alignment wrapText="1"/>
    </xf>
    <xf numFmtId="0" fontId="14" fillId="0" borderId="70" xfId="0" applyFont="1" applyBorder="1" applyAlignment="1">
      <alignment/>
    </xf>
    <xf numFmtId="3" fontId="0" fillId="0" borderId="112" xfId="0" applyNumberFormat="1" applyFont="1" applyBorder="1" applyAlignment="1">
      <alignment/>
    </xf>
    <xf numFmtId="0" fontId="14" fillId="0" borderId="113" xfId="0" applyFont="1" applyBorder="1" applyAlignment="1">
      <alignment/>
    </xf>
    <xf numFmtId="3" fontId="0" fillId="0" borderId="81" xfId="0" applyNumberFormat="1" applyFont="1" applyBorder="1" applyAlignment="1">
      <alignment/>
    </xf>
    <xf numFmtId="0" fontId="14" fillId="0" borderId="68" xfId="0" applyFont="1" applyBorder="1" applyAlignment="1">
      <alignment/>
    </xf>
    <xf numFmtId="0" fontId="14" fillId="0" borderId="114" xfId="0" applyFont="1" applyBorder="1" applyAlignment="1">
      <alignment/>
    </xf>
    <xf numFmtId="0" fontId="29" fillId="0" borderId="115" xfId="0" applyFont="1" applyBorder="1" applyAlignment="1">
      <alignment wrapText="1"/>
    </xf>
    <xf numFmtId="3" fontId="23" fillId="0" borderId="116" xfId="0" applyNumberFormat="1" applyFont="1" applyBorder="1" applyAlignment="1">
      <alignment/>
    </xf>
    <xf numFmtId="3" fontId="23" fillId="0" borderId="93" xfId="0" applyNumberFormat="1" applyFont="1" applyBorder="1" applyAlignment="1">
      <alignment/>
    </xf>
    <xf numFmtId="3" fontId="0" fillId="0" borderId="117" xfId="0" applyNumberFormat="1" applyFont="1" applyBorder="1" applyAlignment="1">
      <alignment/>
    </xf>
    <xf numFmtId="3" fontId="29" fillId="0" borderId="0" xfId="40" applyNumberFormat="1" applyFont="1" applyFill="1" applyBorder="1" applyAlignment="1" applyProtection="1">
      <alignment/>
      <protection/>
    </xf>
    <xf numFmtId="0" fontId="27" fillId="0" borderId="109" xfId="0" applyFont="1" applyBorder="1" applyAlignment="1">
      <alignment horizontal="center" vertical="center"/>
    </xf>
    <xf numFmtId="0" fontId="29" fillId="0" borderId="65" xfId="0" applyFont="1" applyBorder="1" applyAlignment="1">
      <alignment horizontal="center" vertical="center" wrapText="1"/>
    </xf>
    <xf numFmtId="0" fontId="45" fillId="0" borderId="118" xfId="0" applyFont="1" applyBorder="1" applyAlignment="1">
      <alignment horizontal="left" vertical="center"/>
    </xf>
    <xf numFmtId="0" fontId="29" fillId="0" borderId="112" xfId="0" applyFont="1" applyBorder="1" applyAlignment="1">
      <alignment horizontal="center" vertical="center" wrapText="1"/>
    </xf>
    <xf numFmtId="0" fontId="14" fillId="0" borderId="74" xfId="0" applyFont="1" applyBorder="1" applyAlignment="1">
      <alignment horizontal="left" vertical="center"/>
    </xf>
    <xf numFmtId="0" fontId="14" fillId="0" borderId="71" xfId="0" applyFont="1" applyBorder="1" applyAlignment="1">
      <alignment horizontal="right" vertical="center" wrapText="1"/>
    </xf>
    <xf numFmtId="0" fontId="14" fillId="0" borderId="80" xfId="0" applyFont="1" applyBorder="1" applyAlignment="1">
      <alignment horizontal="left" vertical="center"/>
    </xf>
    <xf numFmtId="3" fontId="14" fillId="0" borderId="77" xfId="0" applyNumberFormat="1" applyFont="1" applyBorder="1" applyAlignment="1">
      <alignment horizontal="right"/>
    </xf>
    <xf numFmtId="3" fontId="29" fillId="0" borderId="79" xfId="0" applyNumberFormat="1" applyFont="1" applyBorder="1" applyAlignment="1">
      <alignment horizontal="right"/>
    </xf>
    <xf numFmtId="0" fontId="29" fillId="0" borderId="66" xfId="0" applyFont="1" applyBorder="1" applyAlignment="1">
      <alignment/>
    </xf>
    <xf numFmtId="3" fontId="29" fillId="0" borderId="67" xfId="0" applyNumberFormat="1" applyFont="1" applyBorder="1" applyAlignment="1">
      <alignment horizontal="right"/>
    </xf>
    <xf numFmtId="0" fontId="45" fillId="0" borderId="72" xfId="0" applyFont="1" applyBorder="1" applyAlignment="1">
      <alignment/>
    </xf>
    <xf numFmtId="3" fontId="29" fillId="0" borderId="73" xfId="0" applyNumberFormat="1" applyFont="1" applyBorder="1" applyAlignment="1">
      <alignment horizontal="right"/>
    </xf>
    <xf numFmtId="0" fontId="14" fillId="0" borderId="72" xfId="0" applyFont="1" applyBorder="1" applyAlignment="1">
      <alignment/>
    </xf>
    <xf numFmtId="3" fontId="14" fillId="0" borderId="75" xfId="0" applyNumberFormat="1" applyFont="1" applyBorder="1" applyAlignment="1">
      <alignment horizontal="right"/>
    </xf>
    <xf numFmtId="3" fontId="14" fillId="0" borderId="71" xfId="0" applyNumberFormat="1" applyFont="1" applyBorder="1" applyAlignment="1">
      <alignment horizontal="right"/>
    </xf>
    <xf numFmtId="0" fontId="29" fillId="0" borderId="70" xfId="0" applyFont="1" applyBorder="1" applyAlignment="1">
      <alignment/>
    </xf>
    <xf numFmtId="3" fontId="29" fillId="0" borderId="71" xfId="0" applyNumberFormat="1" applyFont="1" applyBorder="1" applyAlignment="1">
      <alignment horizontal="right"/>
    </xf>
    <xf numFmtId="0" fontId="27" fillId="0" borderId="74" xfId="0" applyFont="1" applyBorder="1" applyAlignment="1">
      <alignment horizontal="center" vertical="center"/>
    </xf>
    <xf numFmtId="3" fontId="29" fillId="0" borderId="75" xfId="0" applyNumberFormat="1" applyFont="1" applyBorder="1" applyAlignment="1">
      <alignment horizontal="right"/>
    </xf>
    <xf numFmtId="0" fontId="29" fillId="0" borderId="74" xfId="0" applyFont="1" applyBorder="1" applyAlignment="1">
      <alignment horizontal="left" vertical="center"/>
    </xf>
    <xf numFmtId="0" fontId="45" fillId="0" borderId="74" xfId="0" applyFont="1" applyBorder="1" applyAlignment="1">
      <alignment horizontal="left" vertical="center"/>
    </xf>
    <xf numFmtId="0" fontId="14" fillId="0" borderId="70" xfId="0" applyFont="1" applyBorder="1" applyAlignment="1">
      <alignment horizontal="left" vertical="center"/>
    </xf>
    <xf numFmtId="0" fontId="45" fillId="0" borderId="74" xfId="0" applyFont="1" applyBorder="1" applyAlignment="1">
      <alignment/>
    </xf>
    <xf numFmtId="166" fontId="14" fillId="0" borderId="75" xfId="40" applyNumberFormat="1" applyFont="1" applyFill="1" applyBorder="1" applyAlignment="1" applyProtection="1">
      <alignment horizontal="right"/>
      <protection/>
    </xf>
    <xf numFmtId="3" fontId="14" fillId="0" borderId="81" xfId="40" applyNumberFormat="1" applyFont="1" applyFill="1" applyBorder="1" applyAlignment="1" applyProtection="1">
      <alignment horizontal="right"/>
      <protection/>
    </xf>
    <xf numFmtId="3" fontId="14" fillId="0" borderId="77" xfId="40" applyNumberFormat="1" applyFont="1" applyFill="1" applyBorder="1" applyAlignment="1" applyProtection="1">
      <alignment horizontal="right"/>
      <protection/>
    </xf>
    <xf numFmtId="3" fontId="29" fillId="0" borderId="79" xfId="40" applyNumberFormat="1" applyFont="1" applyFill="1" applyBorder="1" applyAlignment="1" applyProtection="1">
      <alignment horizontal="right"/>
      <protection/>
    </xf>
    <xf numFmtId="0" fontId="29" fillId="0" borderId="74" xfId="0" applyFont="1" applyBorder="1" applyAlignment="1">
      <alignment/>
    </xf>
    <xf numFmtId="3" fontId="29" fillId="0" borderId="75" xfId="40" applyNumberFormat="1" applyFont="1" applyFill="1" applyBorder="1" applyAlignment="1" applyProtection="1">
      <alignment horizontal="right"/>
      <protection/>
    </xf>
    <xf numFmtId="0" fontId="45" fillId="0" borderId="80" xfId="0" applyFont="1" applyBorder="1" applyAlignment="1">
      <alignment/>
    </xf>
    <xf numFmtId="0" fontId="14" fillId="0" borderId="119" xfId="0" applyFont="1" applyBorder="1" applyAlignment="1">
      <alignment/>
    </xf>
    <xf numFmtId="0" fontId="14" fillId="0" borderId="120" xfId="0" applyFont="1" applyBorder="1" applyAlignment="1">
      <alignment/>
    </xf>
    <xf numFmtId="3" fontId="14" fillId="0" borderId="121" xfId="40" applyNumberFormat="1" applyFont="1" applyFill="1" applyBorder="1" applyAlignment="1" applyProtection="1">
      <alignment horizontal="right"/>
      <protection/>
    </xf>
    <xf numFmtId="3" fontId="29" fillId="0" borderId="71" xfId="40" applyNumberFormat="1" applyFont="1" applyFill="1" applyBorder="1" applyAlignment="1" applyProtection="1">
      <alignment horizontal="right"/>
      <protection/>
    </xf>
    <xf numFmtId="3" fontId="29" fillId="0" borderId="79" xfId="40" applyNumberFormat="1" applyFont="1" applyFill="1" applyBorder="1" applyAlignment="1" applyProtection="1">
      <alignment/>
      <protection/>
    </xf>
    <xf numFmtId="3" fontId="29" fillId="0" borderId="75" xfId="40" applyNumberFormat="1" applyFont="1" applyFill="1" applyBorder="1" applyAlignment="1" applyProtection="1">
      <alignment/>
      <protection/>
    </xf>
    <xf numFmtId="0" fontId="0" fillId="0" borderId="81" xfId="0" applyFont="1" applyBorder="1" applyAlignment="1">
      <alignment/>
    </xf>
    <xf numFmtId="0" fontId="14" fillId="0" borderId="74" xfId="0" applyFont="1" applyBorder="1" applyAlignment="1">
      <alignment/>
    </xf>
    <xf numFmtId="3" fontId="14" fillId="0" borderId="81" xfId="40" applyNumberFormat="1" applyFont="1" applyFill="1" applyBorder="1" applyAlignment="1" applyProtection="1">
      <alignment/>
      <protection/>
    </xf>
    <xf numFmtId="0" fontId="14" fillId="0" borderId="80" xfId="0" applyFont="1" applyBorder="1" applyAlignment="1">
      <alignment/>
    </xf>
    <xf numFmtId="0" fontId="14" fillId="0" borderId="70" xfId="0" applyFont="1" applyFill="1" applyBorder="1" applyAlignment="1">
      <alignment/>
    </xf>
    <xf numFmtId="3" fontId="14" fillId="0" borderId="75" xfId="40" applyNumberFormat="1" applyFont="1" applyFill="1" applyBorder="1" applyAlignment="1" applyProtection="1">
      <alignment/>
      <protection/>
    </xf>
    <xf numFmtId="0" fontId="29" fillId="0" borderId="122" xfId="0" applyFont="1" applyBorder="1" applyAlignment="1">
      <alignment/>
    </xf>
    <xf numFmtId="3" fontId="29" fillId="0" borderId="123" xfId="40" applyNumberFormat="1" applyFont="1" applyFill="1" applyBorder="1" applyAlignment="1" applyProtection="1">
      <alignment/>
      <protection/>
    </xf>
    <xf numFmtId="3" fontId="29" fillId="0" borderId="87" xfId="0" applyNumberFormat="1" applyFont="1" applyBorder="1" applyAlignment="1">
      <alignment/>
    </xf>
    <xf numFmtId="0" fontId="27" fillId="0" borderId="3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29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42" xfId="0" applyFont="1" applyBorder="1" applyAlignment="1">
      <alignment horizontal="right"/>
    </xf>
    <xf numFmtId="0" fontId="38" fillId="0" borderId="0" xfId="0" applyFont="1" applyBorder="1" applyAlignment="1">
      <alignment horizontal="right"/>
    </xf>
    <xf numFmtId="0" fontId="29" fillId="0" borderId="15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29" xfId="0" applyNumberFormat="1" applyBorder="1" applyAlignment="1">
      <alignment horizontal="right"/>
    </xf>
    <xf numFmtId="0" fontId="29" fillId="0" borderId="110" xfId="0" applyFont="1" applyBorder="1" applyAlignment="1">
      <alignment horizontal="center"/>
    </xf>
    <xf numFmtId="0" fontId="29" fillId="0" borderId="111" xfId="0" applyFont="1" applyBorder="1" applyAlignment="1">
      <alignment horizontal="center"/>
    </xf>
    <xf numFmtId="0" fontId="29" fillId="0" borderId="82" xfId="0" applyFont="1" applyBorder="1" applyAlignment="1">
      <alignment horizontal="center"/>
    </xf>
    <xf numFmtId="0" fontId="29" fillId="0" borderId="42" xfId="0" applyFont="1" applyBorder="1" applyAlignment="1">
      <alignment horizontal="center"/>
    </xf>
    <xf numFmtId="0" fontId="27" fillId="0" borderId="13" xfId="0" applyFont="1" applyBorder="1" applyAlignment="1">
      <alignment horizontal="left" vertical="center" wrapText="1"/>
    </xf>
    <xf numFmtId="0" fontId="0" fillId="0" borderId="22" xfId="0" applyBorder="1" applyAlignment="1">
      <alignment/>
    </xf>
    <xf numFmtId="0" fontId="23" fillId="0" borderId="13" xfId="0" applyFont="1" applyBorder="1" applyAlignment="1">
      <alignment wrapText="1"/>
    </xf>
    <xf numFmtId="0" fontId="0" fillId="0" borderId="0" xfId="0" applyBorder="1" applyAlignment="1">
      <alignment/>
    </xf>
    <xf numFmtId="0" fontId="29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0" fillId="0" borderId="37" xfId="0" applyFont="1" applyBorder="1" applyAlignment="1">
      <alignment/>
    </xf>
    <xf numFmtId="0" fontId="0" fillId="0" borderId="12" xfId="0" applyBorder="1" applyAlignment="1">
      <alignment/>
    </xf>
    <xf numFmtId="0" fontId="23" fillId="0" borderId="27" xfId="0" applyFont="1" applyBorder="1" applyAlignment="1">
      <alignment/>
    </xf>
    <xf numFmtId="0" fontId="21" fillId="0" borderId="27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4" xfId="0" applyFont="1" applyBorder="1" applyAlignment="1">
      <alignment/>
    </xf>
    <xf numFmtId="0" fontId="29" fillId="0" borderId="13" xfId="0" applyFont="1" applyBorder="1" applyAlignment="1">
      <alignment vertical="center"/>
    </xf>
    <xf numFmtId="0" fontId="29" fillId="0" borderId="109" xfId="0" applyFont="1" applyBorder="1" applyAlignment="1">
      <alignment horizontal="center" vertical="center" wrapText="1"/>
    </xf>
    <xf numFmtId="0" fontId="29" fillId="0" borderId="124" xfId="0" applyFont="1" applyBorder="1" applyAlignment="1">
      <alignment horizontal="center" vertical="center" wrapText="1"/>
    </xf>
    <xf numFmtId="0" fontId="29" fillId="0" borderId="110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25" xfId="0" applyFont="1" applyBorder="1" applyAlignment="1">
      <alignment horizontal="center" vertical="center"/>
    </xf>
    <xf numFmtId="0" fontId="29" fillId="0" borderId="65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39" fillId="0" borderId="0" xfId="0" applyFont="1" applyFill="1" applyBorder="1" applyAlignment="1">
      <alignment horizontal="center" wrapText="1"/>
    </xf>
    <xf numFmtId="0" fontId="29" fillId="0" borderId="0" xfId="54" applyFont="1" applyBorder="1" applyAlignment="1" applyProtection="1">
      <alignment horizontal="center"/>
      <protection/>
    </xf>
    <xf numFmtId="0" fontId="29" fillId="0" borderId="13" xfId="54" applyFont="1" applyBorder="1" applyAlignment="1" applyProtection="1">
      <alignment horizontal="center"/>
      <protection/>
    </xf>
    <xf numFmtId="0" fontId="45" fillId="0" borderId="0" xfId="54" applyFont="1" applyBorder="1" applyAlignment="1" applyProtection="1">
      <alignment horizontal="center"/>
      <protection/>
    </xf>
    <xf numFmtId="0" fontId="46" fillId="0" borderId="0" xfId="54" applyFont="1" applyBorder="1" applyAlignment="1" applyProtection="1">
      <alignment horizontal="center"/>
      <protection/>
    </xf>
    <xf numFmtId="0" fontId="48" fillId="0" borderId="0" xfId="0" applyFont="1" applyBorder="1" applyAlignment="1">
      <alignment horizontal="right"/>
    </xf>
    <xf numFmtId="0" fontId="29" fillId="0" borderId="21" xfId="0" applyFont="1" applyBorder="1" applyAlignment="1">
      <alignment horizontal="center"/>
    </xf>
    <xf numFmtId="166" fontId="27" fillId="0" borderId="13" xfId="40" applyNumberFormat="1" applyFont="1" applyFill="1" applyBorder="1" applyAlignment="1" applyProtection="1">
      <alignment horizontal="center" vertical="center"/>
      <protection/>
    </xf>
    <xf numFmtId="0" fontId="50" fillId="0" borderId="0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166" fontId="28" fillId="0" borderId="10" xfId="40" applyNumberFormat="1" applyFont="1" applyFill="1" applyBorder="1" applyAlignment="1" applyProtection="1">
      <alignment horizontal="center" vertical="center"/>
      <protection/>
    </xf>
    <xf numFmtId="166" fontId="28" fillId="0" borderId="11" xfId="40" applyNumberFormat="1" applyFont="1" applyFill="1" applyBorder="1" applyAlignment="1" applyProtection="1">
      <alignment horizontal="center" vertical="center"/>
      <protection/>
    </xf>
    <xf numFmtId="166" fontId="28" fillId="0" borderId="12" xfId="40" applyNumberFormat="1" applyFont="1" applyFill="1" applyBorder="1" applyAlignment="1" applyProtection="1">
      <alignment horizontal="center" vertical="center"/>
      <protection/>
    </xf>
    <xf numFmtId="0" fontId="51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0" fillId="0" borderId="13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41" fillId="0" borderId="0" xfId="0" applyFont="1" applyBorder="1" applyAlignment="1">
      <alignment horizontal="justify"/>
    </xf>
    <xf numFmtId="0" fontId="55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7" fillId="0" borderId="0" xfId="0" applyFont="1" applyBorder="1" applyAlignment="1">
      <alignment/>
    </xf>
    <xf numFmtId="0" fontId="57" fillId="0" borderId="27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7" fillId="0" borderId="13" xfId="0" applyFont="1" applyBorder="1" applyAlignment="1">
      <alignment vertical="center"/>
    </xf>
    <xf numFmtId="0" fontId="49" fillId="0" borderId="0" xfId="0" applyFont="1" applyFill="1" applyBorder="1" applyAlignment="1">
      <alignment horizontal="justify" vertical="center"/>
    </xf>
    <xf numFmtId="0" fontId="0" fillId="0" borderId="0" xfId="0" applyFill="1" applyBorder="1" applyAlignment="1">
      <alignment wrapText="1"/>
    </xf>
    <xf numFmtId="0" fontId="2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44" fillId="0" borderId="0" xfId="0" applyFont="1" applyBorder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eimÓd7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162</xdr:row>
      <xdr:rowOff>38100</xdr:rowOff>
    </xdr:from>
    <xdr:to>
      <xdr:col>2</xdr:col>
      <xdr:colOff>180975</xdr:colOff>
      <xdr:row>163</xdr:row>
      <xdr:rowOff>76200</xdr:rowOff>
    </xdr:to>
    <xdr:sp>
      <xdr:nvSpPr>
        <xdr:cNvPr id="1" name="AutoShape 7"/>
        <xdr:cNvSpPr>
          <a:spLocks/>
        </xdr:cNvSpPr>
      </xdr:nvSpPr>
      <xdr:spPr>
        <a:xfrm>
          <a:off x="4448175" y="31041975"/>
          <a:ext cx="123825" cy="200025"/>
        </a:xfrm>
        <a:prstGeom prst="rightBrac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okumentumok\intinormat2007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</sheetNames>
    <sheetDataSet>
      <sheetData sheetId="0"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2">
          <cell r="G12">
            <v>0</v>
          </cell>
        </row>
        <row r="16">
          <cell r="G16">
            <v>0</v>
          </cell>
        </row>
        <row r="17">
          <cell r="G17">
            <v>0</v>
          </cell>
        </row>
        <row r="22">
          <cell r="G22">
            <v>0</v>
          </cell>
        </row>
        <row r="23">
          <cell r="G23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0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8">
          <cell r="G68">
            <v>0</v>
          </cell>
        </row>
        <row r="69">
          <cell r="G69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6">
          <cell r="G76">
            <v>0</v>
          </cell>
        </row>
        <row r="77">
          <cell r="G77">
            <v>0</v>
          </cell>
        </row>
        <row r="78">
          <cell r="G78">
            <v>0</v>
          </cell>
        </row>
        <row r="79">
          <cell r="G79">
            <v>0</v>
          </cell>
        </row>
        <row r="80">
          <cell r="G80">
            <v>0</v>
          </cell>
        </row>
        <row r="84">
          <cell r="G84">
            <v>0</v>
          </cell>
        </row>
        <row r="85">
          <cell r="G85">
            <v>0</v>
          </cell>
        </row>
        <row r="86">
          <cell r="G86">
            <v>0</v>
          </cell>
        </row>
        <row r="87">
          <cell r="G87">
            <v>0</v>
          </cell>
        </row>
        <row r="95">
          <cell r="G95">
            <v>0</v>
          </cell>
        </row>
        <row r="96">
          <cell r="G96">
            <v>0</v>
          </cell>
        </row>
        <row r="99">
          <cell r="G99">
            <v>0</v>
          </cell>
        </row>
        <row r="100">
          <cell r="G100">
            <v>0</v>
          </cell>
        </row>
        <row r="140">
          <cell r="G140">
            <v>0</v>
          </cell>
        </row>
        <row r="141">
          <cell r="G141">
            <v>0</v>
          </cell>
        </row>
        <row r="142">
          <cell r="G142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0</v>
          </cell>
        </row>
        <row r="147">
          <cell r="G147">
            <v>0</v>
          </cell>
        </row>
        <row r="148">
          <cell r="G148">
            <v>0</v>
          </cell>
        </row>
        <row r="149">
          <cell r="G149">
            <v>0</v>
          </cell>
        </row>
        <row r="150">
          <cell r="G150">
            <v>0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8">
          <cell r="G158">
            <v>0</v>
          </cell>
        </row>
        <row r="159">
          <cell r="G159">
            <v>0</v>
          </cell>
        </row>
        <row r="191">
          <cell r="G191">
            <v>0</v>
          </cell>
        </row>
        <row r="192">
          <cell r="G192">
            <v>0</v>
          </cell>
        </row>
        <row r="193">
          <cell r="G193">
            <v>0</v>
          </cell>
        </row>
        <row r="194">
          <cell r="G194">
            <v>0</v>
          </cell>
        </row>
        <row r="195">
          <cell r="G195">
            <v>0</v>
          </cell>
        </row>
        <row r="196">
          <cell r="G196">
            <v>0</v>
          </cell>
        </row>
        <row r="198">
          <cell r="G198">
            <v>0</v>
          </cell>
        </row>
        <row r="199">
          <cell r="G199">
            <v>0</v>
          </cell>
        </row>
        <row r="200">
          <cell r="G200">
            <v>0</v>
          </cell>
        </row>
        <row r="201">
          <cell r="G201">
            <v>0</v>
          </cell>
        </row>
        <row r="202">
          <cell r="G202">
            <v>0</v>
          </cell>
        </row>
        <row r="203">
          <cell r="G203">
            <v>0</v>
          </cell>
        </row>
        <row r="204">
          <cell r="G204">
            <v>0</v>
          </cell>
        </row>
        <row r="206">
          <cell r="G206">
            <v>0</v>
          </cell>
        </row>
        <row r="207">
          <cell r="G207">
            <v>0</v>
          </cell>
        </row>
        <row r="208">
          <cell r="G208">
            <v>0</v>
          </cell>
        </row>
        <row r="209">
          <cell r="G209">
            <v>0</v>
          </cell>
        </row>
        <row r="211">
          <cell r="G211">
            <v>0</v>
          </cell>
        </row>
        <row r="212">
          <cell r="G212">
            <v>0</v>
          </cell>
        </row>
        <row r="215">
          <cell r="G215">
            <v>0</v>
          </cell>
        </row>
        <row r="216">
          <cell r="G216">
            <v>0</v>
          </cell>
        </row>
        <row r="243">
          <cell r="G243">
            <v>0</v>
          </cell>
        </row>
        <row r="248">
          <cell r="G248">
            <v>0</v>
          </cell>
        </row>
        <row r="249">
          <cell r="G24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0">
      <selection activeCell="A29" sqref="A1:D29"/>
    </sheetView>
  </sheetViews>
  <sheetFormatPr defaultColWidth="9.140625" defaultRowHeight="12.75"/>
  <cols>
    <col min="1" max="1" width="48.7109375" style="0" customWidth="1"/>
    <col min="2" max="2" width="19.00390625" style="0" customWidth="1"/>
    <col min="3" max="3" width="38.421875" style="0" customWidth="1"/>
    <col min="4" max="4" width="21.140625" style="0" customWidth="1"/>
  </cols>
  <sheetData>
    <row r="1" ht="12.75">
      <c r="D1" s="1" t="s">
        <v>0</v>
      </c>
    </row>
    <row r="2" spans="1:4" s="2" customFormat="1" ht="15">
      <c r="A2" s="1012" t="s">
        <v>1</v>
      </c>
      <c r="B2" s="1012"/>
      <c r="C2" s="1012"/>
      <c r="D2" s="1012"/>
    </row>
    <row r="3" spans="1:4" s="2" customFormat="1" ht="15">
      <c r="A3" s="1012" t="s">
        <v>2</v>
      </c>
      <c r="B3" s="1012"/>
      <c r="C3" s="1012"/>
      <c r="D3" s="1012"/>
    </row>
    <row r="4" spans="1:4" ht="15.75">
      <c r="A4" s="1013" t="s">
        <v>3</v>
      </c>
      <c r="B4" s="1013"/>
      <c r="C4" s="1013" t="s">
        <v>4</v>
      </c>
      <c r="D4" s="1013"/>
    </row>
    <row r="5" spans="1:4" s="4" customFormat="1" ht="15.75">
      <c r="A5" s="3" t="s">
        <v>5</v>
      </c>
      <c r="B5" s="3" t="s">
        <v>6</v>
      </c>
      <c r="C5" s="3" t="s">
        <v>5</v>
      </c>
      <c r="D5" s="3" t="s">
        <v>6</v>
      </c>
    </row>
    <row r="6" spans="1:4" s="4" customFormat="1" ht="15">
      <c r="A6" s="5" t="s">
        <v>7</v>
      </c>
      <c r="B6" s="6">
        <f>'2_sz_ melléklet'!D6</f>
        <v>1452438</v>
      </c>
      <c r="C6" s="5" t="s">
        <v>8</v>
      </c>
      <c r="D6" s="7">
        <f>'1_a_sz_ melléklet'!D15</f>
        <v>3600350</v>
      </c>
    </row>
    <row r="7" spans="1:4" s="4" customFormat="1" ht="15">
      <c r="A7" s="5" t="s">
        <v>9</v>
      </c>
      <c r="B7" s="6">
        <f>'2_a_d_sz_ melléklet'!D10</f>
        <v>1754</v>
      </c>
      <c r="C7" s="5"/>
      <c r="D7" s="7"/>
    </row>
    <row r="8" spans="1:4" s="4" customFormat="1" ht="7.5" customHeight="1">
      <c r="A8" s="5"/>
      <c r="B8" s="6"/>
      <c r="C8" s="8"/>
      <c r="D8" s="9"/>
    </row>
    <row r="9" spans="1:4" s="4" customFormat="1" ht="25.5">
      <c r="A9" s="10" t="s">
        <v>10</v>
      </c>
      <c r="B9" s="6">
        <f>'2_sz_ melléklet'!D13</f>
        <v>2370156.137</v>
      </c>
      <c r="C9" s="5" t="s">
        <v>11</v>
      </c>
      <c r="D9" s="7">
        <f>'1_a_sz_ melléklet'!D22</f>
        <v>438863</v>
      </c>
    </row>
    <row r="10" spans="1:4" s="4" customFormat="1" ht="7.5" customHeight="1">
      <c r="A10" s="5"/>
      <c r="B10" s="6"/>
      <c r="C10" s="8"/>
      <c r="D10" s="7"/>
    </row>
    <row r="11" spans="1:4" s="4" customFormat="1" ht="25.5">
      <c r="A11" s="5" t="s">
        <v>12</v>
      </c>
      <c r="B11" s="6">
        <f>'2_sz_ melléklet'!D27</f>
        <v>450600</v>
      </c>
      <c r="C11" s="10" t="s">
        <v>13</v>
      </c>
      <c r="D11" s="7">
        <f>'1_a_sz_ melléklet'!D27</f>
        <v>36940</v>
      </c>
    </row>
    <row r="12" spans="1:4" s="4" customFormat="1" ht="15">
      <c r="A12" s="5" t="s">
        <v>14</v>
      </c>
      <c r="B12" s="6">
        <f>'2_i_j_sz_ mell_'!E68</f>
        <v>7000</v>
      </c>
      <c r="C12" s="10"/>
      <c r="D12" s="9"/>
    </row>
    <row r="13" spans="1:4" s="4" customFormat="1" ht="9.75" customHeight="1">
      <c r="A13" s="5"/>
      <c r="B13" s="6"/>
      <c r="C13" s="8"/>
      <c r="D13" s="9"/>
    </row>
    <row r="14" spans="1:4" s="4" customFormat="1" ht="46.5" customHeight="1">
      <c r="A14" s="10" t="s">
        <v>15</v>
      </c>
      <c r="B14" s="6">
        <f>'2_sz_ melléklet'!D34</f>
        <v>4500</v>
      </c>
      <c r="C14" s="10" t="s">
        <v>16</v>
      </c>
      <c r="D14" s="7">
        <f>'1_a_sz_ melléklet'!D32</f>
        <v>239900</v>
      </c>
    </row>
    <row r="15" spans="1:4" s="4" customFormat="1" ht="8.25" customHeight="1">
      <c r="A15" s="5"/>
      <c r="B15" s="6"/>
      <c r="C15" s="8"/>
      <c r="D15" s="7"/>
    </row>
    <row r="16" spans="1:4" s="4" customFormat="1" ht="15">
      <c r="A16" s="5" t="s">
        <v>17</v>
      </c>
      <c r="B16" s="6">
        <f>'2_sz_ melléklet'!D38</f>
        <v>85410</v>
      </c>
      <c r="C16" s="5" t="s">
        <v>18</v>
      </c>
      <c r="D16" s="7">
        <f>'1_a_sz_ melléklet'!D37</f>
        <v>6000</v>
      </c>
    </row>
    <row r="17" spans="1:4" s="4" customFormat="1" ht="8.25" customHeight="1">
      <c r="A17" s="8"/>
      <c r="B17" s="6"/>
      <c r="C17" s="8"/>
      <c r="D17" s="9"/>
    </row>
    <row r="18" spans="1:4" s="4" customFormat="1" ht="15">
      <c r="A18" s="8"/>
      <c r="B18" s="6"/>
      <c r="C18" s="5" t="s">
        <v>19</v>
      </c>
      <c r="D18" s="7">
        <f>D19+D20</f>
        <v>265428</v>
      </c>
    </row>
    <row r="19" spans="1:4" s="4" customFormat="1" ht="15">
      <c r="A19" s="8"/>
      <c r="B19" s="6"/>
      <c r="C19" s="8" t="s">
        <v>20</v>
      </c>
      <c r="D19" s="9">
        <f>'1_a_sz_ melléklet'!D40</f>
        <v>8314</v>
      </c>
    </row>
    <row r="20" spans="1:4" s="4" customFormat="1" ht="15">
      <c r="A20" s="8"/>
      <c r="B20" s="6"/>
      <c r="C20" s="8" t="s">
        <v>21</v>
      </c>
      <c r="D20" s="9">
        <f>'1_a_sz_ melléklet'!D41</f>
        <v>257114</v>
      </c>
    </row>
    <row r="21" spans="1:4" s="11" customFormat="1" ht="14.25">
      <c r="A21" s="8"/>
      <c r="B21" s="6"/>
      <c r="C21" s="8"/>
      <c r="D21" s="9"/>
    </row>
    <row r="22" spans="1:4" s="4" customFormat="1" ht="15">
      <c r="A22" s="12"/>
      <c r="B22" s="13"/>
      <c r="C22" s="12"/>
      <c r="D22" s="14"/>
    </row>
    <row r="23" spans="1:4" s="18" customFormat="1" ht="15.75">
      <c r="A23" s="15" t="s">
        <v>22</v>
      </c>
      <c r="B23" s="16">
        <f>B16+B14+B11+B9+B6</f>
        <v>4363104.137</v>
      </c>
      <c r="C23" s="15" t="s">
        <v>23</v>
      </c>
      <c r="D23" s="17">
        <f>D18+D14+D11+D9+D6+D16</f>
        <v>4587481</v>
      </c>
    </row>
    <row r="24" spans="1:4" ht="12.75">
      <c r="A24" s="19"/>
      <c r="B24" s="20"/>
      <c r="C24" s="19"/>
      <c r="D24" s="21"/>
    </row>
    <row r="25" spans="1:4" s="22" customFormat="1" ht="15">
      <c r="A25" s="5" t="s">
        <v>24</v>
      </c>
      <c r="B25" s="6">
        <f>B26+B27</f>
        <v>238104.8629999999</v>
      </c>
      <c r="C25" s="5" t="s">
        <v>25</v>
      </c>
      <c r="D25" s="7">
        <f>D26+D27</f>
        <v>13728</v>
      </c>
    </row>
    <row r="26" spans="1:4" s="22" customFormat="1" ht="15">
      <c r="A26" s="23" t="s">
        <v>26</v>
      </c>
      <c r="B26" s="13">
        <f>'2_sz_ melléklet'!D44</f>
        <v>207777.8629999999</v>
      </c>
      <c r="C26" s="23" t="s">
        <v>26</v>
      </c>
      <c r="D26" s="24">
        <f>'1_a_sz_ melléklet'!D47</f>
        <v>0</v>
      </c>
    </row>
    <row r="27" spans="1:4" s="22" customFormat="1" ht="15">
      <c r="A27" s="23" t="s">
        <v>27</v>
      </c>
      <c r="B27" s="13">
        <f>'2_sz_ melléklet'!D45</f>
        <v>30327</v>
      </c>
      <c r="C27" s="23" t="s">
        <v>28</v>
      </c>
      <c r="D27" s="24">
        <f>'1_a_sz_ melléklet'!D48</f>
        <v>13728</v>
      </c>
    </row>
    <row r="28" spans="1:4" ht="12.75">
      <c r="A28" s="12"/>
      <c r="B28" s="25"/>
      <c r="C28" s="12"/>
      <c r="D28" s="14"/>
    </row>
    <row r="29" spans="1:4" s="18" customFormat="1" ht="15.75">
      <c r="A29" s="15" t="s">
        <v>29</v>
      </c>
      <c r="B29" s="16">
        <f>B25+B23</f>
        <v>4601209</v>
      </c>
      <c r="C29" s="15" t="s">
        <v>30</v>
      </c>
      <c r="D29" s="17">
        <f>D23+D25</f>
        <v>4601209</v>
      </c>
    </row>
  </sheetData>
  <sheetProtection/>
  <mergeCells count="4">
    <mergeCell ref="A2:D2"/>
    <mergeCell ref="A3:D3"/>
    <mergeCell ref="A4:B4"/>
    <mergeCell ref="C4:D4"/>
  </mergeCells>
  <printOptions/>
  <pageMargins left="0.75" right="0.75" top="1" bottom="1" header="0.5118055555555556" footer="0.5"/>
  <pageSetup horizontalDpi="300" verticalDpi="300" orientation="landscape" paperSize="9" r:id="rId1"/>
  <headerFooter alignWithMargins="0">
    <oddFooter>&amp;RKészült:2009.06.15.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4:D100"/>
  <sheetViews>
    <sheetView zoomScalePageLayoutView="0" workbookViewId="0" topLeftCell="A64">
      <selection activeCell="D90" sqref="D90"/>
    </sheetView>
  </sheetViews>
  <sheetFormatPr defaultColWidth="9.140625" defaultRowHeight="12.75"/>
  <cols>
    <col min="1" max="1" width="48.28125" style="0" customWidth="1"/>
    <col min="2" max="2" width="12.140625" style="0" customWidth="1"/>
    <col min="3" max="3" width="13.57421875" style="0" customWidth="1"/>
    <col min="4" max="4" width="13.8515625" style="0" customWidth="1"/>
  </cols>
  <sheetData>
    <row r="4" spans="1:4" ht="14.25">
      <c r="A4" s="1015" t="s">
        <v>308</v>
      </c>
      <c r="B4" s="1015"/>
      <c r="C4" s="1015"/>
      <c r="D4" s="1015"/>
    </row>
    <row r="5" ht="15.75">
      <c r="A5" s="29"/>
    </row>
    <row r="6" spans="1:4" ht="15.75">
      <c r="A6" s="1014" t="s">
        <v>309</v>
      </c>
      <c r="B6" s="1014"/>
      <c r="C6" s="1014"/>
      <c r="D6" s="1014"/>
    </row>
    <row r="7" spans="1:4" ht="15.75">
      <c r="A7" s="27"/>
      <c r="B7" s="28"/>
      <c r="C7" s="28"/>
      <c r="D7" s="28"/>
    </row>
    <row r="8" spans="1:4" ht="15.75">
      <c r="A8" s="27"/>
      <c r="B8" s="28"/>
      <c r="C8" s="28"/>
      <c r="D8" s="28"/>
    </row>
    <row r="9" spans="1:4" ht="13.5" thickBot="1">
      <c r="A9" s="1021" t="s">
        <v>213</v>
      </c>
      <c r="B9" s="1021"/>
      <c r="C9" s="1021"/>
      <c r="D9" s="1021"/>
    </row>
    <row r="10" spans="1:4" ht="15.75">
      <c r="A10" s="920" t="s">
        <v>310</v>
      </c>
      <c r="B10" s="921"/>
      <c r="C10" s="1028" t="s">
        <v>215</v>
      </c>
      <c r="D10" s="1029"/>
    </row>
    <row r="11" spans="1:4" ht="13.5" thickBot="1">
      <c r="A11" s="922"/>
      <c r="B11" s="343"/>
      <c r="C11" s="1025" t="s">
        <v>39</v>
      </c>
      <c r="D11" s="1030"/>
    </row>
    <row r="12" spans="1:4" ht="12.75">
      <c r="A12" s="923" t="s">
        <v>311</v>
      </c>
      <c r="B12" s="37"/>
      <c r="C12" s="344"/>
      <c r="D12" s="924">
        <v>571</v>
      </c>
    </row>
    <row r="13" spans="1:4" ht="12.75">
      <c r="A13" s="907" t="s">
        <v>312</v>
      </c>
      <c r="B13" s="345"/>
      <c r="C13" s="346"/>
      <c r="D13" s="925">
        <v>571</v>
      </c>
    </row>
    <row r="14" spans="1:4" ht="12.75">
      <c r="A14" s="907" t="s">
        <v>313</v>
      </c>
      <c r="B14" s="345"/>
      <c r="C14" s="346"/>
      <c r="D14" s="925"/>
    </row>
    <row r="15" spans="1:4" ht="12.75">
      <c r="A15" s="923" t="s">
        <v>1145</v>
      </c>
      <c r="B15" s="37"/>
      <c r="C15" s="346"/>
      <c r="D15" s="925">
        <v>30286</v>
      </c>
    </row>
    <row r="16" spans="1:4" ht="12.75">
      <c r="A16" s="926" t="s">
        <v>1149</v>
      </c>
      <c r="B16" s="345"/>
      <c r="C16" s="346"/>
      <c r="D16" s="925">
        <v>24475</v>
      </c>
    </row>
    <row r="17" spans="1:4" ht="12.75">
      <c r="A17" s="934" t="s">
        <v>1152</v>
      </c>
      <c r="B17" s="345"/>
      <c r="C17" s="346"/>
      <c r="D17" s="925">
        <v>8232</v>
      </c>
    </row>
    <row r="18" spans="1:4" ht="13.5" thickBot="1">
      <c r="A18" s="923"/>
      <c r="B18" s="37"/>
      <c r="C18" s="347"/>
      <c r="D18" s="927"/>
    </row>
    <row r="19" spans="1:4" ht="13.5" thickBot="1">
      <c r="A19" s="910" t="s">
        <v>314</v>
      </c>
      <c r="B19" s="348"/>
      <c r="C19" s="349"/>
      <c r="D19" s="928">
        <f>SUM(D12:D18)</f>
        <v>64135</v>
      </c>
    </row>
    <row r="20" spans="1:4" ht="13.5" thickBot="1">
      <c r="A20" s="910" t="s">
        <v>315</v>
      </c>
      <c r="B20" s="348"/>
      <c r="C20" s="349"/>
      <c r="D20" s="928">
        <v>278524</v>
      </c>
    </row>
    <row r="21" spans="1:4" ht="13.5" thickBot="1">
      <c r="A21" s="929" t="s">
        <v>1150</v>
      </c>
      <c r="B21" s="930"/>
      <c r="C21" s="918"/>
      <c r="D21" s="919">
        <f>20000</f>
        <v>20000</v>
      </c>
    </row>
    <row r="22" spans="1:4" ht="12.75">
      <c r="A22" s="325"/>
      <c r="B22" s="37"/>
      <c r="C22" s="350"/>
      <c r="D22" s="350"/>
    </row>
    <row r="24" spans="1:4" ht="14.25">
      <c r="A24" s="1015" t="s">
        <v>316</v>
      </c>
      <c r="B24" s="1015"/>
      <c r="C24" s="1015"/>
      <c r="D24" s="1015"/>
    </row>
    <row r="26" spans="1:4" ht="15.75">
      <c r="A26" s="1014" t="s">
        <v>317</v>
      </c>
      <c r="B26" s="1014"/>
      <c r="C26" s="1014"/>
      <c r="D26" s="1014"/>
    </row>
    <row r="27" ht="15.75">
      <c r="A27" s="29"/>
    </row>
    <row r="28" spans="1:4" ht="12.75">
      <c r="A28" s="1022" t="s">
        <v>318</v>
      </c>
      <c r="B28" s="1022"/>
      <c r="C28" s="1022"/>
      <c r="D28" s="1022"/>
    </row>
    <row r="29" spans="1:4" ht="15.75">
      <c r="A29" s="331" t="s">
        <v>310</v>
      </c>
      <c r="B29" s="342"/>
      <c r="C29" s="1024" t="s">
        <v>215</v>
      </c>
      <c r="D29" s="1024"/>
    </row>
    <row r="30" spans="1:4" ht="12.75">
      <c r="A30" s="251"/>
      <c r="B30" s="343"/>
      <c r="C30" s="1025" t="s">
        <v>39</v>
      </c>
      <c r="D30" s="1025"/>
    </row>
    <row r="31" spans="1:4" ht="12.75">
      <c r="A31" s="194" t="s">
        <v>319</v>
      </c>
      <c r="B31" s="37"/>
      <c r="C31" s="144"/>
      <c r="D31" s="351"/>
    </row>
    <row r="32" spans="1:4" ht="12.75">
      <c r="A32" s="88" t="s">
        <v>320</v>
      </c>
      <c r="B32" s="345"/>
      <c r="C32" s="147"/>
      <c r="D32" s="352">
        <v>0</v>
      </c>
    </row>
    <row r="33" spans="1:4" ht="12.75">
      <c r="A33" s="88" t="s">
        <v>321</v>
      </c>
      <c r="B33" s="345"/>
      <c r="C33" s="147"/>
      <c r="D33" s="352"/>
    </row>
    <row r="34" spans="1:4" ht="12.75">
      <c r="A34" s="88" t="s">
        <v>322</v>
      </c>
      <c r="B34" s="353"/>
      <c r="C34" s="1026">
        <v>0</v>
      </c>
      <c r="D34" s="1026"/>
    </row>
    <row r="35" spans="1:4" ht="12.75">
      <c r="A35" s="194" t="s">
        <v>323</v>
      </c>
      <c r="B35" s="37"/>
      <c r="C35" s="1027">
        <v>0</v>
      </c>
      <c r="D35" s="1027"/>
    </row>
    <row r="36" spans="1:4" ht="12.75">
      <c r="A36" s="90" t="s">
        <v>324</v>
      </c>
      <c r="B36" s="348"/>
      <c r="C36" s="354"/>
      <c r="D36" s="355">
        <f>SUM(D31+D32+C34+C35)</f>
        <v>0</v>
      </c>
    </row>
    <row r="37" spans="1:4" ht="12.75">
      <c r="A37" s="325"/>
      <c r="B37" s="37"/>
      <c r="C37" s="350"/>
      <c r="D37" s="350"/>
    </row>
    <row r="38" spans="1:4" ht="12.75">
      <c r="A38" s="325"/>
      <c r="B38" s="37"/>
      <c r="C38" s="350"/>
      <c r="D38" s="350"/>
    </row>
    <row r="55" spans="1:4" ht="14.25">
      <c r="A55" s="26"/>
      <c r="B55" s="26"/>
      <c r="C55" s="26"/>
      <c r="D55" s="26" t="s">
        <v>325</v>
      </c>
    </row>
    <row r="56" spans="1:4" ht="14.25">
      <c r="A56" s="26"/>
      <c r="B56" s="26"/>
      <c r="C56" s="26"/>
      <c r="D56" s="26"/>
    </row>
    <row r="58" spans="1:4" ht="15.75">
      <c r="A58" s="1014" t="s">
        <v>326</v>
      </c>
      <c r="B58" s="1014"/>
      <c r="C58" s="1014"/>
      <c r="D58" s="1014"/>
    </row>
    <row r="59" spans="1:4" ht="15.75">
      <c r="A59" s="27"/>
      <c r="B59" s="27"/>
      <c r="C59" s="27"/>
      <c r="D59" s="27"/>
    </row>
    <row r="60" spans="1:4" ht="15.75">
      <c r="A60" s="27"/>
      <c r="B60" s="27"/>
      <c r="C60" s="27"/>
      <c r="D60" s="27"/>
    </row>
    <row r="61" spans="1:4" ht="12.75">
      <c r="A61" s="356"/>
      <c r="B61" s="356"/>
      <c r="C61" s="356"/>
      <c r="D61" s="356" t="s">
        <v>318</v>
      </c>
    </row>
    <row r="62" spans="1:4" ht="15.75">
      <c r="A62" s="331" t="s">
        <v>310</v>
      </c>
      <c r="B62" s="33" t="s">
        <v>327</v>
      </c>
      <c r="C62" s="342" t="s">
        <v>328</v>
      </c>
      <c r="D62" s="33" t="s">
        <v>215</v>
      </c>
    </row>
    <row r="63" spans="1:4" ht="13.5" thickBot="1">
      <c r="A63" s="194"/>
      <c r="B63" s="50" t="s">
        <v>39</v>
      </c>
      <c r="C63" s="325" t="s">
        <v>39</v>
      </c>
      <c r="D63" s="50" t="s">
        <v>39</v>
      </c>
    </row>
    <row r="64" spans="1:4" s="228" customFormat="1" ht="13.5" thickBot="1">
      <c r="A64" s="357" t="s">
        <v>329</v>
      </c>
      <c r="B64" s="894">
        <f>SUM(B65:B69)</f>
        <v>302296</v>
      </c>
      <c r="C64" s="895">
        <f>C70</f>
        <v>98783</v>
      </c>
      <c r="D64" s="896">
        <f>SUM(B64:C64)</f>
        <v>401079</v>
      </c>
    </row>
    <row r="65" spans="1:4" s="37" customFormat="1" ht="12.75">
      <c r="A65" s="87" t="s">
        <v>330</v>
      </c>
      <c r="B65" s="48">
        <v>298559</v>
      </c>
      <c r="C65" s="48"/>
      <c r="D65" s="112">
        <f aca="true" t="shared" si="0" ref="D65:D100">SUM(B65:C65)</f>
        <v>298559</v>
      </c>
    </row>
    <row r="66" spans="1:4" s="37" customFormat="1" ht="12.75">
      <c r="A66" s="893" t="s">
        <v>1155</v>
      </c>
      <c r="B66" s="244">
        <f>2835+902</f>
        <v>3737</v>
      </c>
      <c r="C66" s="39"/>
      <c r="D66" s="359">
        <f t="shared" si="0"/>
        <v>3737</v>
      </c>
    </row>
    <row r="67" spans="1:4" s="37" customFormat="1" ht="12.75">
      <c r="A67" s="88" t="s">
        <v>331</v>
      </c>
      <c r="B67" s="39"/>
      <c r="C67" s="39"/>
      <c r="D67" s="359">
        <f t="shared" si="0"/>
        <v>0</v>
      </c>
    </row>
    <row r="68" spans="1:4" s="37" customFormat="1" ht="12.75">
      <c r="A68" s="88" t="s">
        <v>332</v>
      </c>
      <c r="B68" s="55"/>
      <c r="C68" s="39"/>
      <c r="D68" s="359">
        <f t="shared" si="0"/>
        <v>0</v>
      </c>
    </row>
    <row r="69" spans="1:4" s="37" customFormat="1" ht="12.75">
      <c r="A69" s="194"/>
      <c r="B69" s="51"/>
      <c r="C69" s="78"/>
      <c r="D69" s="116"/>
    </row>
    <row r="70" spans="1:4" s="228" customFormat="1" ht="12.75">
      <c r="A70" s="360" t="s">
        <v>333</v>
      </c>
      <c r="B70" s="60"/>
      <c r="C70" s="16">
        <f>SUM(C71:C88)</f>
        <v>98783</v>
      </c>
      <c r="D70" s="361">
        <f t="shared" si="0"/>
        <v>98783</v>
      </c>
    </row>
    <row r="71" spans="1:4" ht="12.75">
      <c r="A71" s="177" t="s">
        <v>334</v>
      </c>
      <c r="B71" s="49"/>
      <c r="C71" s="48">
        <v>30000</v>
      </c>
      <c r="D71" s="358">
        <f t="shared" si="0"/>
        <v>30000</v>
      </c>
    </row>
    <row r="72" spans="1:4" ht="12.75">
      <c r="A72" s="8" t="s">
        <v>335</v>
      </c>
      <c r="B72" s="40"/>
      <c r="C72" s="39">
        <v>4000</v>
      </c>
      <c r="D72" s="359">
        <f t="shared" si="0"/>
        <v>4000</v>
      </c>
    </row>
    <row r="73" spans="1:4" ht="12.75">
      <c r="A73" s="8" t="s">
        <v>336</v>
      </c>
      <c r="B73" s="40"/>
      <c r="C73" s="39">
        <v>800</v>
      </c>
      <c r="D73" s="359">
        <f t="shared" si="0"/>
        <v>800</v>
      </c>
    </row>
    <row r="74" spans="1:4" ht="12.75">
      <c r="A74" s="362" t="s">
        <v>337</v>
      </c>
      <c r="B74" s="40"/>
      <c r="C74" s="39">
        <v>1501</v>
      </c>
      <c r="D74" s="359">
        <f t="shared" si="0"/>
        <v>1501</v>
      </c>
    </row>
    <row r="75" spans="1:4" ht="12.75">
      <c r="A75" s="362" t="s">
        <v>338</v>
      </c>
      <c r="B75" s="40"/>
      <c r="C75" s="39">
        <v>4000</v>
      </c>
      <c r="D75" s="359">
        <f t="shared" si="0"/>
        <v>4000</v>
      </c>
    </row>
    <row r="76" spans="1:4" ht="12.75">
      <c r="A76" s="363" t="s">
        <v>339</v>
      </c>
      <c r="B76" s="42"/>
      <c r="C76" s="58">
        <v>11000</v>
      </c>
      <c r="D76" s="364">
        <f t="shared" si="0"/>
        <v>11000</v>
      </c>
    </row>
    <row r="77" spans="1:4" ht="12.75">
      <c r="A77" s="363" t="s">
        <v>340</v>
      </c>
      <c r="B77" s="42"/>
      <c r="C77" s="58">
        <v>26342</v>
      </c>
      <c r="D77" s="364">
        <f t="shared" si="0"/>
        <v>26342</v>
      </c>
    </row>
    <row r="78" spans="1:4" ht="12.75">
      <c r="A78" s="362" t="s">
        <v>341</v>
      </c>
      <c r="B78" s="40"/>
      <c r="C78" s="39">
        <f>14205-8232</f>
        <v>5973</v>
      </c>
      <c r="D78" s="359">
        <f t="shared" si="0"/>
        <v>5973</v>
      </c>
    </row>
    <row r="79" spans="1:4" ht="12.75">
      <c r="A79" s="843" t="s">
        <v>1112</v>
      </c>
      <c r="B79" s="42"/>
      <c r="C79" s="58">
        <v>850</v>
      </c>
      <c r="D79" s="364">
        <f t="shared" si="0"/>
        <v>850</v>
      </c>
    </row>
    <row r="80" spans="1:4" ht="12.75">
      <c r="A80" s="843" t="s">
        <v>1113</v>
      </c>
      <c r="B80" s="42"/>
      <c r="C80" s="58">
        <v>6191</v>
      </c>
      <c r="D80" s="364">
        <f t="shared" si="0"/>
        <v>6191</v>
      </c>
    </row>
    <row r="81" spans="1:4" ht="12.75">
      <c r="A81" s="843" t="s">
        <v>1124</v>
      </c>
      <c r="B81" s="42"/>
      <c r="C81" s="58">
        <v>408</v>
      </c>
      <c r="D81" s="364">
        <f t="shared" si="0"/>
        <v>408</v>
      </c>
    </row>
    <row r="82" spans="1:4" ht="12.75">
      <c r="A82" s="843" t="s">
        <v>1125</v>
      </c>
      <c r="B82" s="42"/>
      <c r="C82" s="58">
        <v>137</v>
      </c>
      <c r="D82" s="364">
        <f t="shared" si="0"/>
        <v>137</v>
      </c>
    </row>
    <row r="83" spans="1:4" ht="12.75">
      <c r="A83" s="843" t="s">
        <v>1126</v>
      </c>
      <c r="B83" s="42"/>
      <c r="C83" s="58">
        <v>227</v>
      </c>
      <c r="D83" s="364">
        <f t="shared" si="0"/>
        <v>227</v>
      </c>
    </row>
    <row r="84" spans="1:4" ht="12.75">
      <c r="A84" s="843" t="s">
        <v>1127</v>
      </c>
      <c r="B84" s="42"/>
      <c r="C84" s="58">
        <v>8</v>
      </c>
      <c r="D84" s="364">
        <f t="shared" si="0"/>
        <v>8</v>
      </c>
    </row>
    <row r="85" spans="1:4" ht="12.75">
      <c r="A85" s="843" t="s">
        <v>1128</v>
      </c>
      <c r="B85" s="42"/>
      <c r="C85" s="58">
        <v>120</v>
      </c>
      <c r="D85" s="364">
        <f t="shared" si="0"/>
        <v>120</v>
      </c>
    </row>
    <row r="86" spans="1:4" ht="12.75">
      <c r="A86" s="843" t="s">
        <v>1129</v>
      </c>
      <c r="B86" s="42"/>
      <c r="C86" s="58">
        <v>3723</v>
      </c>
      <c r="D86" s="364">
        <f t="shared" si="0"/>
        <v>3723</v>
      </c>
    </row>
    <row r="87" spans="1:4" ht="12.75">
      <c r="A87" s="365" t="s">
        <v>1148</v>
      </c>
      <c r="B87" s="366"/>
      <c r="C87" s="63">
        <v>3503</v>
      </c>
      <c r="D87" s="367">
        <f t="shared" si="0"/>
        <v>3503</v>
      </c>
    </row>
    <row r="88" spans="1:4" ht="12.75">
      <c r="A88" s="368" t="s">
        <v>342</v>
      </c>
      <c r="B88" s="72"/>
      <c r="C88" s="64"/>
      <c r="D88" s="369"/>
    </row>
    <row r="89" spans="1:4" s="91" customFormat="1" ht="12.75">
      <c r="A89" s="15" t="s">
        <v>343</v>
      </c>
      <c r="B89" s="60"/>
      <c r="C89" s="16">
        <f>SUM(C90:C100)</f>
        <v>161833</v>
      </c>
      <c r="D89" s="16">
        <f t="shared" si="0"/>
        <v>161833</v>
      </c>
    </row>
    <row r="90" spans="1:4" ht="12.75">
      <c r="A90" s="370" t="s">
        <v>181</v>
      </c>
      <c r="B90" s="69"/>
      <c r="C90" s="109"/>
      <c r="D90" s="80">
        <f t="shared" si="0"/>
        <v>0</v>
      </c>
    </row>
    <row r="91" spans="1:4" ht="12.75">
      <c r="A91" s="88" t="s">
        <v>344</v>
      </c>
      <c r="B91" s="39"/>
      <c r="C91" s="55">
        <v>4924</v>
      </c>
      <c r="D91" s="244">
        <f t="shared" si="0"/>
        <v>4924</v>
      </c>
    </row>
    <row r="92" spans="1:4" ht="12.75">
      <c r="A92" s="88" t="s">
        <v>345</v>
      </c>
      <c r="B92" s="39"/>
      <c r="C92" s="55">
        <v>76499</v>
      </c>
      <c r="D92" s="244">
        <f t="shared" si="0"/>
        <v>76499</v>
      </c>
    </row>
    <row r="93" spans="1:4" ht="12.75">
      <c r="A93" s="297" t="s">
        <v>346</v>
      </c>
      <c r="B93" s="58"/>
      <c r="C93" s="149">
        <v>19588</v>
      </c>
      <c r="D93" s="25">
        <f t="shared" si="0"/>
        <v>19588</v>
      </c>
    </row>
    <row r="94" spans="1:4" ht="12.75">
      <c r="A94" s="371" t="s">
        <v>347</v>
      </c>
      <c r="B94" s="234"/>
      <c r="C94" s="372">
        <v>9707</v>
      </c>
      <c r="D94" s="25">
        <f t="shared" si="0"/>
        <v>9707</v>
      </c>
    </row>
    <row r="95" spans="1:4" ht="12.75">
      <c r="A95" s="371" t="s">
        <v>348</v>
      </c>
      <c r="B95" s="234"/>
      <c r="C95" s="372">
        <v>19710</v>
      </c>
      <c r="D95" s="25">
        <f t="shared" si="0"/>
        <v>19710</v>
      </c>
    </row>
    <row r="96" spans="1:4" ht="12.75">
      <c r="A96" s="371" t="s">
        <v>349</v>
      </c>
      <c r="B96" s="234"/>
      <c r="C96" s="372">
        <v>19250</v>
      </c>
      <c r="D96" s="25">
        <f t="shared" si="0"/>
        <v>19250</v>
      </c>
    </row>
    <row r="97" spans="1:4" ht="12.75">
      <c r="A97" s="371" t="s">
        <v>350</v>
      </c>
      <c r="B97" s="234"/>
      <c r="C97" s="372">
        <v>9655</v>
      </c>
      <c r="D97" s="25">
        <f t="shared" si="0"/>
        <v>9655</v>
      </c>
    </row>
    <row r="98" spans="1:4" ht="12.75">
      <c r="A98" s="371" t="s">
        <v>351</v>
      </c>
      <c r="B98" s="234"/>
      <c r="C98" s="372">
        <v>2500</v>
      </c>
      <c r="D98" s="25">
        <f t="shared" si="0"/>
        <v>2500</v>
      </c>
    </row>
    <row r="99" spans="1:4" ht="12.75">
      <c r="A99" s="371" t="s">
        <v>352</v>
      </c>
      <c r="B99" s="234"/>
      <c r="C99" s="372">
        <v>0</v>
      </c>
      <c r="D99" s="25">
        <f t="shared" si="0"/>
        <v>0</v>
      </c>
    </row>
    <row r="100" spans="1:4" ht="12.75">
      <c r="A100" s="373"/>
      <c r="B100" s="245"/>
      <c r="C100" s="374"/>
      <c r="D100" s="375">
        <f t="shared" si="0"/>
        <v>0</v>
      </c>
    </row>
  </sheetData>
  <sheetProtection/>
  <mergeCells count="13">
    <mergeCell ref="A4:D4"/>
    <mergeCell ref="A6:D6"/>
    <mergeCell ref="A9:D9"/>
    <mergeCell ref="C10:D10"/>
    <mergeCell ref="C11:D11"/>
    <mergeCell ref="A24:D24"/>
    <mergeCell ref="A58:D58"/>
    <mergeCell ref="A26:D26"/>
    <mergeCell ref="A28:D28"/>
    <mergeCell ref="C29:D29"/>
    <mergeCell ref="C30:D30"/>
    <mergeCell ref="C34:D34"/>
    <mergeCell ref="C35:D35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82"/>
  <sheetViews>
    <sheetView zoomScalePageLayoutView="0" workbookViewId="0" topLeftCell="A1">
      <selection activeCell="E82" sqref="A1:E82"/>
    </sheetView>
  </sheetViews>
  <sheetFormatPr defaultColWidth="9.140625" defaultRowHeight="12.75"/>
  <cols>
    <col min="1" max="1" width="29.7109375" style="0" customWidth="1"/>
    <col min="2" max="2" width="13.57421875" style="0" customWidth="1"/>
    <col min="3" max="3" width="12.8515625" style="0" customWidth="1"/>
    <col min="4" max="5" width="12.7109375" style="0" customWidth="1"/>
  </cols>
  <sheetData>
    <row r="1" spans="4:5" ht="12.75">
      <c r="D1" s="1036" t="s">
        <v>353</v>
      </c>
      <c r="E1" s="1036"/>
    </row>
    <row r="3" spans="1:5" ht="15.75">
      <c r="A3" s="1014" t="s">
        <v>354</v>
      </c>
      <c r="B3" s="1014"/>
      <c r="C3" s="1014"/>
      <c r="D3" s="1014"/>
      <c r="E3" s="1014"/>
    </row>
    <row r="6" spans="4:5" ht="12.75">
      <c r="D6" s="1036" t="s">
        <v>33</v>
      </c>
      <c r="E6" s="1036"/>
    </row>
    <row r="7" spans="1:5" ht="12.75">
      <c r="A7" s="1045" t="s">
        <v>355</v>
      </c>
      <c r="B7" s="1047" t="s">
        <v>356</v>
      </c>
      <c r="C7" s="1049" t="s">
        <v>357</v>
      </c>
      <c r="D7" s="1049"/>
      <c r="E7" s="1050"/>
    </row>
    <row r="8" spans="1:5" ht="13.5" thickBot="1">
      <c r="A8" s="1046"/>
      <c r="B8" s="1048"/>
      <c r="C8" s="376" t="s">
        <v>358</v>
      </c>
      <c r="D8" s="377" t="s">
        <v>359</v>
      </c>
      <c r="E8" s="897" t="s">
        <v>360</v>
      </c>
    </row>
    <row r="9" spans="1:5" ht="13.5" thickBot="1">
      <c r="A9" s="898" t="s">
        <v>361</v>
      </c>
      <c r="B9" s="378" t="s">
        <v>82</v>
      </c>
      <c r="C9" s="379">
        <v>600</v>
      </c>
      <c r="D9" s="380"/>
      <c r="E9" s="899">
        <f>SUM(C9:D9)</f>
        <v>600</v>
      </c>
    </row>
    <row r="10" spans="1:5" ht="12.75">
      <c r="A10" s="900" t="s">
        <v>362</v>
      </c>
      <c r="B10" s="376"/>
      <c r="C10" s="381">
        <f>SUM(C9)</f>
        <v>600</v>
      </c>
      <c r="D10" s="382"/>
      <c r="E10" s="901">
        <f>SUM(C10:D10)</f>
        <v>600</v>
      </c>
    </row>
    <row r="11" spans="1:5" ht="12.75">
      <c r="A11" s="902" t="s">
        <v>363</v>
      </c>
      <c r="B11" s="383"/>
      <c r="C11" s="384">
        <v>0</v>
      </c>
      <c r="D11" s="385">
        <v>0</v>
      </c>
      <c r="E11" s="903">
        <f>SUM(C11:D11)</f>
        <v>0</v>
      </c>
    </row>
    <row r="12" spans="1:5" ht="15">
      <c r="A12" s="904"/>
      <c r="B12" s="386"/>
      <c r="C12" s="387"/>
      <c r="D12" s="388"/>
      <c r="E12" s="905"/>
    </row>
    <row r="13" spans="1:5" ht="15">
      <c r="A13" s="904"/>
      <c r="B13" s="386"/>
      <c r="C13" s="389"/>
      <c r="D13" s="390"/>
      <c r="E13" s="906"/>
    </row>
    <row r="14" spans="1:5" ht="15">
      <c r="A14" s="907"/>
      <c r="B14" s="386"/>
      <c r="C14" s="389"/>
      <c r="D14" s="390"/>
      <c r="E14" s="906"/>
    </row>
    <row r="15" spans="1:5" ht="15">
      <c r="A15" s="907"/>
      <c r="B15" s="386"/>
      <c r="C15" s="389"/>
      <c r="D15" s="390"/>
      <c r="E15" s="906"/>
    </row>
    <row r="16" spans="1:5" ht="15">
      <c r="A16" s="907"/>
      <c r="B16" s="386"/>
      <c r="C16" s="389"/>
      <c r="D16" s="390"/>
      <c r="E16" s="906"/>
    </row>
    <row r="17" spans="1:5" ht="15">
      <c r="A17" s="907"/>
      <c r="B17" s="386"/>
      <c r="C17" s="389"/>
      <c r="D17" s="390"/>
      <c r="E17" s="906"/>
    </row>
    <row r="18" spans="1:5" ht="15">
      <c r="A18" s="908"/>
      <c r="B18" s="391"/>
      <c r="C18" s="392"/>
      <c r="D18" s="393"/>
      <c r="E18" s="909"/>
    </row>
    <row r="19" spans="1:5" ht="15.75">
      <c r="A19" s="910" t="s">
        <v>364</v>
      </c>
      <c r="B19" s="394"/>
      <c r="C19" s="395">
        <f>SUM(C11:C18)</f>
        <v>0</v>
      </c>
      <c r="D19" s="395">
        <f>SUM(D11:D18)</f>
        <v>0</v>
      </c>
      <c r="E19" s="911">
        <f>SUM(E11:E18)</f>
        <v>0</v>
      </c>
    </row>
    <row r="20" spans="1:5" ht="15.75">
      <c r="A20" s="912" t="s">
        <v>365</v>
      </c>
      <c r="B20" s="913"/>
      <c r="C20" s="914">
        <f>SUM(C10:C18)</f>
        <v>600</v>
      </c>
      <c r="D20" s="915">
        <f>SUM(D10:D18)</f>
        <v>0</v>
      </c>
      <c r="E20" s="916">
        <f>SUM(E10:E18)</f>
        <v>600</v>
      </c>
    </row>
    <row r="22" spans="3:5" ht="12.75">
      <c r="C22" s="1036" t="s">
        <v>366</v>
      </c>
      <c r="D22" s="1036"/>
      <c r="E22" s="1036"/>
    </row>
    <row r="23" spans="3:5" ht="12.75">
      <c r="C23" s="397"/>
      <c r="D23" s="397"/>
      <c r="E23" s="397"/>
    </row>
    <row r="25" spans="1:5" ht="15.75">
      <c r="A25" s="1014" t="s">
        <v>367</v>
      </c>
      <c r="B25" s="1014"/>
      <c r="C25" s="1014"/>
      <c r="D25" s="1014"/>
      <c r="E25" s="1014"/>
    </row>
    <row r="26" spans="1:5" ht="15.75">
      <c r="A26" s="1014" t="s">
        <v>368</v>
      </c>
      <c r="B26" s="1014"/>
      <c r="C26" s="1014"/>
      <c r="D26" s="1014"/>
      <c r="E26" s="1014"/>
    </row>
    <row r="27" spans="1:5" ht="15.75">
      <c r="A27" s="27"/>
      <c r="B27" s="27"/>
      <c r="C27" s="27"/>
      <c r="D27" s="27"/>
      <c r="E27" s="27"/>
    </row>
    <row r="29" spans="4:5" ht="12.75">
      <c r="D29" s="1031" t="s">
        <v>33</v>
      </c>
      <c r="E29" s="1031"/>
    </row>
    <row r="30" spans="1:5" s="4" customFormat="1" ht="15.75">
      <c r="A30" s="398" t="s">
        <v>369</v>
      </c>
      <c r="B30" s="399"/>
      <c r="C30" s="400"/>
      <c r="D30" s="1044" t="s">
        <v>179</v>
      </c>
      <c r="E30" s="1044"/>
    </row>
    <row r="31" spans="1:5" ht="15.75">
      <c r="A31" s="401" t="s">
        <v>370</v>
      </c>
      <c r="B31" s="402"/>
      <c r="C31" s="403"/>
      <c r="D31" s="404"/>
      <c r="E31" s="405">
        <v>167000</v>
      </c>
    </row>
    <row r="32" spans="1:5" ht="15">
      <c r="A32" s="88" t="s">
        <v>371</v>
      </c>
      <c r="B32" s="37"/>
      <c r="C32" s="406"/>
      <c r="D32" s="407"/>
      <c r="E32" s="408">
        <v>0</v>
      </c>
    </row>
    <row r="33" spans="1:5" ht="32.25" customHeight="1">
      <c r="A33" s="1032" t="s">
        <v>372</v>
      </c>
      <c r="B33" s="1032"/>
      <c r="C33" s="1032"/>
      <c r="D33" s="409"/>
      <c r="E33" s="410">
        <f>SUM(E31:E32)</f>
        <v>167000</v>
      </c>
    </row>
    <row r="36" spans="3:5" ht="12.75">
      <c r="C36" s="1036" t="s">
        <v>373</v>
      </c>
      <c r="D36" s="1036"/>
      <c r="E36" s="1036"/>
    </row>
    <row r="38" spans="1:5" ht="15.75">
      <c r="A38" s="1014" t="s">
        <v>374</v>
      </c>
      <c r="B38" s="1014"/>
      <c r="C38" s="1014"/>
      <c r="D38" s="1014"/>
      <c r="E38" s="1014"/>
    </row>
    <row r="39" spans="1:5" ht="15.75">
      <c r="A39" s="1014"/>
      <c r="B39" s="1014"/>
      <c r="C39" s="1014"/>
      <c r="D39" s="1014"/>
      <c r="E39" s="1014"/>
    </row>
    <row r="41" spans="4:5" ht="12.75">
      <c r="D41" s="1031" t="s">
        <v>33</v>
      </c>
      <c r="E41" s="1031"/>
    </row>
    <row r="42" spans="1:5" ht="12.75">
      <c r="A42" s="411" t="s">
        <v>369</v>
      </c>
      <c r="B42" s="412"/>
      <c r="C42" s="413"/>
      <c r="D42" s="411" t="s">
        <v>179</v>
      </c>
      <c r="E42" s="413"/>
    </row>
    <row r="43" spans="1:5" ht="15">
      <c r="A43" s="414" t="s">
        <v>375</v>
      </c>
      <c r="B43" s="415"/>
      <c r="C43" s="416"/>
      <c r="D43" s="417"/>
      <c r="E43" s="418">
        <v>30000</v>
      </c>
    </row>
    <row r="44" spans="1:5" ht="15">
      <c r="A44" s="419" t="s">
        <v>376</v>
      </c>
      <c r="B44" s="420"/>
      <c r="C44" s="421"/>
      <c r="D44" s="422"/>
      <c r="E44" s="423">
        <v>246000</v>
      </c>
    </row>
    <row r="45" spans="1:5" ht="28.5" customHeight="1">
      <c r="A45" s="1032" t="s">
        <v>377</v>
      </c>
      <c r="B45" s="1032"/>
      <c r="C45" s="1032"/>
      <c r="D45" s="424"/>
      <c r="E45" s="425">
        <f>SUM(E43:E44)</f>
        <v>276000</v>
      </c>
    </row>
    <row r="51" spans="3:5" ht="12.75">
      <c r="C51" s="1036" t="s">
        <v>378</v>
      </c>
      <c r="D51" s="1036"/>
      <c r="E51" s="1036"/>
    </row>
    <row r="53" spans="1:5" ht="15.75">
      <c r="A53" s="1014" t="s">
        <v>379</v>
      </c>
      <c r="B53" s="1014"/>
      <c r="C53" s="1014"/>
      <c r="D53" s="1014"/>
      <c r="E53" s="1014"/>
    </row>
    <row r="54" spans="1:5" ht="15.75">
      <c r="A54" s="27"/>
      <c r="B54" s="27"/>
      <c r="C54" s="27"/>
      <c r="D54" s="27"/>
      <c r="E54" s="27"/>
    </row>
    <row r="55" ht="12.75">
      <c r="E55" t="s">
        <v>380</v>
      </c>
    </row>
    <row r="56" spans="1:5" ht="26.25">
      <c r="A56" s="1041" t="s">
        <v>369</v>
      </c>
      <c r="B56" s="1041"/>
      <c r="C56" s="86" t="s">
        <v>381</v>
      </c>
      <c r="D56" s="86" t="s">
        <v>382</v>
      </c>
      <c r="E56" s="426" t="s">
        <v>179</v>
      </c>
    </row>
    <row r="57" spans="1:5" ht="12.75">
      <c r="A57" s="1042" t="s">
        <v>383</v>
      </c>
      <c r="B57" s="1042"/>
      <c r="C57" s="48">
        <v>0</v>
      </c>
      <c r="D57" s="48">
        <v>7000</v>
      </c>
      <c r="E57" s="94">
        <f>SUM(C57:D57)</f>
        <v>7000</v>
      </c>
    </row>
    <row r="58" spans="1:5" ht="12.75">
      <c r="A58" s="1043" t="s">
        <v>384</v>
      </c>
      <c r="B58" s="1043"/>
      <c r="C58" s="39">
        <v>0</v>
      </c>
      <c r="D58" s="39"/>
      <c r="E58" s="94">
        <f>SUM(C58:D58)</f>
        <v>0</v>
      </c>
    </row>
    <row r="59" spans="1:5" ht="12.75">
      <c r="A59" s="1038" t="s">
        <v>385</v>
      </c>
      <c r="B59" s="1038"/>
      <c r="C59" s="58"/>
      <c r="D59" s="58"/>
      <c r="E59" s="53">
        <f>SUM(C59:D59)</f>
        <v>0</v>
      </c>
    </row>
    <row r="60" spans="1:19" s="229" customFormat="1" ht="13.5" thickBot="1">
      <c r="A60" s="1040" t="s">
        <v>84</v>
      </c>
      <c r="B60" s="1040"/>
      <c r="C60" s="16">
        <f>SUM(C57:C59)</f>
        <v>0</v>
      </c>
      <c r="D60" s="16">
        <f>SUM(D57:D59)</f>
        <v>7000</v>
      </c>
      <c r="E60" s="16">
        <f>SUM(E57:E59)</f>
        <v>7000</v>
      </c>
      <c r="F60" s="228"/>
      <c r="G60" s="228"/>
      <c r="H60" s="228"/>
      <c r="I60" s="228"/>
      <c r="J60" s="228"/>
      <c r="K60" s="228"/>
      <c r="L60" s="228"/>
      <c r="M60" s="228"/>
      <c r="N60" s="228"/>
      <c r="O60" s="228"/>
      <c r="P60" s="228"/>
      <c r="Q60" s="228"/>
      <c r="R60" s="228"/>
      <c r="S60" s="228"/>
    </row>
    <row r="61" spans="1:19" s="91" customFormat="1" ht="12.75">
      <c r="A61" s="1033"/>
      <c r="B61" s="1033"/>
      <c r="C61" s="338"/>
      <c r="D61" s="82"/>
      <c r="E61" s="962">
        <f>D61+C61</f>
        <v>0</v>
      </c>
      <c r="F61" s="228"/>
      <c r="G61" s="228"/>
      <c r="H61" s="228"/>
      <c r="I61" s="228"/>
      <c r="J61" s="228"/>
      <c r="K61" s="228"/>
      <c r="L61" s="228"/>
      <c r="M61" s="228"/>
      <c r="N61" s="228"/>
      <c r="O61" s="228"/>
      <c r="P61" s="228"/>
      <c r="Q61" s="228"/>
      <c r="R61" s="228"/>
      <c r="S61" s="228"/>
    </row>
    <row r="62" spans="1:19" s="91" customFormat="1" ht="12.75">
      <c r="A62" s="1038"/>
      <c r="B62" s="1038"/>
      <c r="C62" s="13"/>
      <c r="D62" s="25"/>
      <c r="E62" s="369">
        <f>D62+C62</f>
        <v>0</v>
      </c>
      <c r="F62" s="228"/>
      <c r="G62" s="228"/>
      <c r="H62" s="228"/>
      <c r="I62" s="228"/>
      <c r="J62" s="228"/>
      <c r="K62" s="228"/>
      <c r="L62" s="228"/>
      <c r="M62" s="228"/>
      <c r="N62" s="228"/>
      <c r="O62" s="228"/>
      <c r="P62" s="228"/>
      <c r="Q62" s="228"/>
      <c r="R62" s="228"/>
      <c r="S62" s="228"/>
    </row>
    <row r="63" spans="1:19" s="91" customFormat="1" ht="12.75">
      <c r="A63" s="1038"/>
      <c r="B63" s="1038"/>
      <c r="C63" s="13"/>
      <c r="D63" s="25"/>
      <c r="E63" s="364"/>
      <c r="F63" s="228"/>
      <c r="G63" s="228"/>
      <c r="H63" s="228"/>
      <c r="I63" s="228"/>
      <c r="J63" s="228"/>
      <c r="K63" s="228"/>
      <c r="L63" s="228"/>
      <c r="M63" s="228"/>
      <c r="N63" s="228"/>
      <c r="O63" s="228"/>
      <c r="P63" s="228"/>
      <c r="Q63" s="228"/>
      <c r="R63" s="228"/>
      <c r="S63" s="228"/>
    </row>
    <row r="64" spans="1:19" s="91" customFormat="1" ht="12.75">
      <c r="A64" s="1038"/>
      <c r="B64" s="1038"/>
      <c r="C64" s="13"/>
      <c r="D64" s="25"/>
      <c r="E64" s="364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</row>
    <row r="65" spans="1:19" s="91" customFormat="1" ht="12.75">
      <c r="A65" s="1039"/>
      <c r="B65" s="1039"/>
      <c r="C65" s="13"/>
      <c r="D65" s="25"/>
      <c r="E65" s="364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</row>
    <row r="66" spans="1:19" s="229" customFormat="1" ht="12.75">
      <c r="A66" s="1040" t="s">
        <v>386</v>
      </c>
      <c r="B66" s="1040"/>
      <c r="C66" s="16"/>
      <c r="D66" s="16">
        <f>SUM(D61:D65)</f>
        <v>0</v>
      </c>
      <c r="E66" s="61">
        <f>D66+C66</f>
        <v>0</v>
      </c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R66" s="228"/>
      <c r="S66" s="228"/>
    </row>
    <row r="67" spans="1:5" ht="12.75">
      <c r="A67" s="1033"/>
      <c r="B67" s="1033"/>
      <c r="C67" s="64"/>
      <c r="D67" s="64"/>
      <c r="E67" s="53"/>
    </row>
    <row r="68" spans="1:6" ht="27" customHeight="1">
      <c r="A68" s="1034" t="s">
        <v>387</v>
      </c>
      <c r="B68" s="1034"/>
      <c r="C68" s="16">
        <f>C60</f>
        <v>0</v>
      </c>
      <c r="D68" s="16">
        <f>D66</f>
        <v>0</v>
      </c>
      <c r="E68" s="16">
        <f>E66+E60</f>
        <v>7000</v>
      </c>
      <c r="F68" s="91"/>
    </row>
    <row r="69" spans="1:5" ht="27" customHeight="1">
      <c r="A69" s="428"/>
      <c r="B69" s="428"/>
      <c r="C69" s="37"/>
      <c r="D69" s="37"/>
      <c r="E69" s="37"/>
    </row>
    <row r="70" spans="1:5" ht="27" customHeight="1">
      <c r="A70" s="428"/>
      <c r="B70" s="428"/>
      <c r="C70" s="37"/>
      <c r="D70" s="37"/>
      <c r="E70" s="37"/>
    </row>
    <row r="71" spans="1:2" ht="12.75">
      <c r="A71" s="1035"/>
      <c r="B71" s="1035"/>
    </row>
    <row r="72" spans="3:5" ht="12.75">
      <c r="C72" s="1036" t="s">
        <v>388</v>
      </c>
      <c r="D72" s="1036"/>
      <c r="E72" s="1036"/>
    </row>
    <row r="73" spans="3:5" ht="12.75">
      <c r="C73" s="397"/>
      <c r="D73" s="397"/>
      <c r="E73" s="397"/>
    </row>
    <row r="75" spans="1:5" ht="18">
      <c r="A75" s="1037" t="s">
        <v>389</v>
      </c>
      <c r="B75" s="1037"/>
      <c r="C75" s="1037"/>
      <c r="D75" s="1037"/>
      <c r="E75" s="1037"/>
    </row>
    <row r="76" spans="1:5" ht="15.75">
      <c r="A76" s="1014"/>
      <c r="B76" s="1014"/>
      <c r="C76" s="1014"/>
      <c r="D76" s="1014"/>
      <c r="E76" s="1014"/>
    </row>
    <row r="78" spans="4:5" ht="12.75">
      <c r="D78" s="1031" t="s">
        <v>33</v>
      </c>
      <c r="E78" s="1031"/>
    </row>
    <row r="79" spans="1:5" ht="12.75">
      <c r="A79" s="411" t="s">
        <v>369</v>
      </c>
      <c r="B79" s="412"/>
      <c r="C79" s="413"/>
      <c r="D79" s="411" t="s">
        <v>179</v>
      </c>
      <c r="E79" s="413"/>
    </row>
    <row r="80" spans="1:5" ht="15">
      <c r="A80" s="414" t="s">
        <v>390</v>
      </c>
      <c r="B80" s="415"/>
      <c r="C80" s="416"/>
      <c r="D80" s="417"/>
      <c r="E80" s="429">
        <f>'2_m_n_sz_ melléklet'!B21</f>
        <v>0</v>
      </c>
    </row>
    <row r="81" spans="1:5" ht="15">
      <c r="A81" s="419" t="s">
        <v>391</v>
      </c>
      <c r="B81" s="420"/>
      <c r="C81" s="421"/>
      <c r="D81" s="422"/>
      <c r="E81" s="430">
        <f>'2_m_n_sz_ melléklet'!B44</f>
        <v>4500</v>
      </c>
    </row>
    <row r="82" spans="1:5" ht="15.75">
      <c r="A82" s="1032" t="s">
        <v>392</v>
      </c>
      <c r="B82" s="1032"/>
      <c r="C82" s="1032"/>
      <c r="D82" s="424"/>
      <c r="E82" s="410">
        <f>SUM(E80:E81)</f>
        <v>4500</v>
      </c>
    </row>
  </sheetData>
  <sheetProtection/>
  <mergeCells count="38">
    <mergeCell ref="D1:E1"/>
    <mergeCell ref="A3:E3"/>
    <mergeCell ref="D6:E6"/>
    <mergeCell ref="A7:A8"/>
    <mergeCell ref="B7:B8"/>
    <mergeCell ref="C7:E7"/>
    <mergeCell ref="C22:E22"/>
    <mergeCell ref="A25:E25"/>
    <mergeCell ref="A26:E26"/>
    <mergeCell ref="D29:E29"/>
    <mergeCell ref="D30:E30"/>
    <mergeCell ref="A33:C33"/>
    <mergeCell ref="C36:E36"/>
    <mergeCell ref="A38:E38"/>
    <mergeCell ref="A39:E39"/>
    <mergeCell ref="D41:E41"/>
    <mergeCell ref="A45:C45"/>
    <mergeCell ref="C51:E51"/>
    <mergeCell ref="A53:E53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D78:E78"/>
    <mergeCell ref="A82:C82"/>
    <mergeCell ref="A67:B67"/>
    <mergeCell ref="A68:B68"/>
    <mergeCell ref="A71:B71"/>
    <mergeCell ref="C72:E72"/>
    <mergeCell ref="A75:E75"/>
    <mergeCell ref="A76:E76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92"/>
  <sheetViews>
    <sheetView tabSelected="1" zoomScalePageLayoutView="0" workbookViewId="0" topLeftCell="A1">
      <selection activeCell="D45" sqref="A1:D45"/>
    </sheetView>
  </sheetViews>
  <sheetFormatPr defaultColWidth="9.140625" defaultRowHeight="12.75"/>
  <cols>
    <col min="1" max="1" width="39.8515625" style="0" customWidth="1"/>
    <col min="2" max="2" width="13.7109375" style="0" customWidth="1"/>
    <col min="3" max="3" width="12.8515625" style="0" customWidth="1"/>
    <col min="4" max="4" width="12.421875" style="0" customWidth="1"/>
  </cols>
  <sheetData>
    <row r="1" spans="3:4" ht="12.75">
      <c r="C1" s="1036" t="s">
        <v>393</v>
      </c>
      <c r="D1" s="1036"/>
    </row>
    <row r="2" spans="3:4" ht="12.75">
      <c r="C2" s="397"/>
      <c r="D2" s="397"/>
    </row>
    <row r="4" spans="1:4" ht="15.75">
      <c r="A4" s="1014" t="s">
        <v>394</v>
      </c>
      <c r="B4" s="1014"/>
      <c r="C4" s="1014"/>
      <c r="D4" s="1014"/>
    </row>
    <row r="5" spans="1:4" ht="15.75">
      <c r="A5" s="1014" t="s">
        <v>395</v>
      </c>
      <c r="B5" s="1014"/>
      <c r="C5" s="1014"/>
      <c r="D5" s="1014"/>
    </row>
    <row r="6" spans="1:4" ht="15.75">
      <c r="A6" s="27"/>
      <c r="B6" s="27"/>
      <c r="C6" s="27"/>
      <c r="D6" s="27"/>
    </row>
    <row r="8" ht="12.75">
      <c r="C8" s="397" t="s">
        <v>33</v>
      </c>
    </row>
    <row r="9" spans="1:4" ht="24">
      <c r="A9" s="411" t="s">
        <v>369</v>
      </c>
      <c r="B9" s="85" t="s">
        <v>82</v>
      </c>
      <c r="C9" s="85" t="s">
        <v>83</v>
      </c>
      <c r="D9" s="85" t="s">
        <v>396</v>
      </c>
    </row>
    <row r="10" spans="1:4" ht="15" customHeight="1">
      <c r="A10" s="321" t="s">
        <v>397</v>
      </c>
      <c r="B10" s="182">
        <v>0</v>
      </c>
      <c r="C10" s="431">
        <v>0</v>
      </c>
      <c r="D10" s="69">
        <f>SUM(B10:C10)</f>
        <v>0</v>
      </c>
    </row>
    <row r="11" spans="1:4" ht="15" customHeight="1">
      <c r="A11" s="71" t="s">
        <v>277</v>
      </c>
      <c r="B11" s="333">
        <v>24606</v>
      </c>
      <c r="C11" s="432">
        <v>990</v>
      </c>
      <c r="D11" s="39">
        <f>SUM(B11:C11)</f>
        <v>25596</v>
      </c>
    </row>
    <row r="12" spans="1:4" ht="15" customHeight="1">
      <c r="A12" s="88" t="s">
        <v>398</v>
      </c>
      <c r="B12" s="39"/>
      <c r="C12" s="56"/>
      <c r="D12" s="39">
        <f>SUM(B12:C12)</f>
        <v>0</v>
      </c>
    </row>
    <row r="13" spans="1:4" ht="15" customHeight="1">
      <c r="A13" s="433" t="s">
        <v>279</v>
      </c>
      <c r="B13" s="64">
        <v>400</v>
      </c>
      <c r="C13" s="53">
        <v>10</v>
      </c>
      <c r="D13" s="39">
        <f>SUM(B13:C13)</f>
        <v>410</v>
      </c>
    </row>
    <row r="14" spans="1:4" ht="15" customHeight="1">
      <c r="A14" s="297" t="s">
        <v>399</v>
      </c>
      <c r="B14" s="39"/>
      <c r="C14" s="56">
        <f>'2_a_d_sz_ melléklet'!B19</f>
        <v>60</v>
      </c>
      <c r="D14" s="94">
        <f>SUM(B14:C14)</f>
        <v>60</v>
      </c>
    </row>
    <row r="15" spans="1:4" s="91" customFormat="1" ht="15" customHeight="1">
      <c r="A15" s="90" t="s">
        <v>400</v>
      </c>
      <c r="B15" s="396">
        <f>SUM(B10:B14)</f>
        <v>25006</v>
      </c>
      <c r="C15" s="434">
        <f>SUM(C10:C14)</f>
        <v>1060</v>
      </c>
      <c r="D15" s="434">
        <f>SUM(D10:D14)</f>
        <v>26066</v>
      </c>
    </row>
    <row r="16" spans="1:4" ht="15" customHeight="1">
      <c r="A16" s="435"/>
      <c r="B16" s="333"/>
      <c r="C16" s="436"/>
      <c r="D16" s="437"/>
    </row>
    <row r="17" spans="1:4" ht="15" customHeight="1">
      <c r="A17" s="293" t="s">
        <v>249</v>
      </c>
      <c r="B17" s="438">
        <f>'2_f_h_sz_ melléklet'!B65+'2_f_h_sz_ melléklet'!B66</f>
        <v>302296</v>
      </c>
      <c r="C17" s="438">
        <v>0</v>
      </c>
      <c r="D17" s="439">
        <f>SUM(B17:C17)</f>
        <v>302296</v>
      </c>
    </row>
    <row r="18" spans="1:4" ht="15" customHeight="1">
      <c r="A18" s="95" t="s">
        <v>250</v>
      </c>
      <c r="B18" s="440">
        <f>'2_f_h_sz_ melléklet'!B65</f>
        <v>298559</v>
      </c>
      <c r="C18" s="440">
        <v>0</v>
      </c>
      <c r="D18" s="439">
        <f>SUM(B18:C18)</f>
        <v>298559</v>
      </c>
    </row>
    <row r="19" spans="1:4" ht="15" customHeight="1">
      <c r="A19" s="95" t="s">
        <v>251</v>
      </c>
      <c r="B19" s="440">
        <v>0</v>
      </c>
      <c r="C19" s="440">
        <v>0</v>
      </c>
      <c r="D19" s="439">
        <f>SUM(B19:C19)</f>
        <v>0</v>
      </c>
    </row>
    <row r="20" spans="1:4" ht="15" customHeight="1">
      <c r="A20" s="294" t="s">
        <v>250</v>
      </c>
      <c r="B20" s="441">
        <v>0</v>
      </c>
      <c r="C20" s="441">
        <v>0</v>
      </c>
      <c r="D20" s="439">
        <f>SUM(B20:C20)</f>
        <v>0</v>
      </c>
    </row>
    <row r="21" spans="1:4" s="91" customFormat="1" ht="15" customHeight="1">
      <c r="A21" s="90" t="s">
        <v>326</v>
      </c>
      <c r="B21" s="396">
        <f>B17+B19</f>
        <v>302296</v>
      </c>
      <c r="C21" s="434">
        <f>C17+C19</f>
        <v>0</v>
      </c>
      <c r="D21" s="434">
        <f>C21+B21</f>
        <v>302296</v>
      </c>
    </row>
    <row r="22" spans="1:4" ht="15" customHeight="1">
      <c r="A22" s="435"/>
      <c r="B22" s="439"/>
      <c r="C22" s="442"/>
      <c r="D22" s="442"/>
    </row>
    <row r="23" spans="1:4" ht="15" customHeight="1">
      <c r="A23" s="88" t="s">
        <v>401</v>
      </c>
      <c r="B23" s="333">
        <f>'2_i_j_sz_ mell_'!C9</f>
        <v>600</v>
      </c>
      <c r="C23" s="432">
        <v>0</v>
      </c>
      <c r="D23" s="432">
        <f>SUM(B23:C23)</f>
        <v>600</v>
      </c>
    </row>
    <row r="24" spans="1:4" ht="15" customHeight="1">
      <c r="A24" s="89" t="s">
        <v>402</v>
      </c>
      <c r="B24" s="48">
        <f>'2_i_j_sz_ mell_'!C59</f>
        <v>0</v>
      </c>
      <c r="C24" s="442"/>
      <c r="D24" s="432">
        <f>SUM(B24:C24)</f>
        <v>0</v>
      </c>
    </row>
    <row r="25" spans="1:4" ht="15" customHeight="1">
      <c r="A25" s="90" t="s">
        <v>403</v>
      </c>
      <c r="B25" s="396">
        <f>SUM(B23:B24)</f>
        <v>600</v>
      </c>
      <c r="C25" s="396">
        <f>SUM(C23:C24)</f>
        <v>0</v>
      </c>
      <c r="D25" s="396">
        <f>SUM(D23:D24)</f>
        <v>600</v>
      </c>
    </row>
    <row r="26" spans="1:4" ht="15" customHeight="1">
      <c r="A26" s="435"/>
      <c r="B26" s="443"/>
      <c r="C26" s="442"/>
      <c r="D26" s="442"/>
    </row>
    <row r="27" spans="1:4" ht="15" customHeight="1">
      <c r="A27" s="88" t="s">
        <v>261</v>
      </c>
      <c r="B27" s="39">
        <v>0</v>
      </c>
      <c r="C27" s="56">
        <v>0</v>
      </c>
      <c r="D27" s="56">
        <f>SUM(B27:C27)</f>
        <v>0</v>
      </c>
    </row>
    <row r="28" spans="1:4" ht="15" customHeight="1">
      <c r="A28" s="88" t="s">
        <v>404</v>
      </c>
      <c r="B28" s="39">
        <v>0</v>
      </c>
      <c r="C28" s="56">
        <v>0</v>
      </c>
      <c r="D28" s="56">
        <f>SUM(B28:C28)</f>
        <v>0</v>
      </c>
    </row>
    <row r="29" spans="1:4" s="91" customFormat="1" ht="30" customHeight="1">
      <c r="A29" s="309" t="s">
        <v>405</v>
      </c>
      <c r="B29" s="396">
        <f>SUM(B27:B28)</f>
        <v>0</v>
      </c>
      <c r="C29" s="396">
        <f>SUM(C27:C28)</f>
        <v>0</v>
      </c>
      <c r="D29" s="396">
        <f>SUM(D27:D28)</f>
        <v>0</v>
      </c>
    </row>
    <row r="30" spans="1:4" ht="15" customHeight="1">
      <c r="A30" s="66"/>
      <c r="B30" s="444"/>
      <c r="C30" s="445"/>
      <c r="D30" s="444"/>
    </row>
    <row r="31" spans="1:4" ht="15" customHeight="1">
      <c r="A31" s="88" t="s">
        <v>406</v>
      </c>
      <c r="B31" s="39">
        <f>B32+B33</f>
        <v>29903</v>
      </c>
      <c r="C31" s="55">
        <f>C32+C33</f>
        <v>23841</v>
      </c>
      <c r="D31" s="39">
        <f>D32+D33</f>
        <v>53744</v>
      </c>
    </row>
    <row r="32" spans="1:4" ht="15" customHeight="1">
      <c r="A32" s="88" t="s">
        <v>407</v>
      </c>
      <c r="B32" s="48">
        <v>29353</v>
      </c>
      <c r="C32" s="131">
        <v>17843</v>
      </c>
      <c r="D32" s="48">
        <f>SUM(B32:C32)</f>
        <v>47196</v>
      </c>
    </row>
    <row r="33" spans="1:4" ht="15" customHeight="1">
      <c r="A33" s="88" t="s">
        <v>408</v>
      </c>
      <c r="B33" s="39">
        <v>550</v>
      </c>
      <c r="C33" s="55">
        <v>5998</v>
      </c>
      <c r="D33" s="39">
        <f>SUM(B33:C33)</f>
        <v>6548</v>
      </c>
    </row>
    <row r="34" spans="1:4" ht="15" customHeight="1">
      <c r="A34" s="373"/>
      <c r="B34" s="63"/>
      <c r="C34" s="165"/>
      <c r="D34" s="63"/>
    </row>
    <row r="35" spans="1:4" ht="15" customHeight="1">
      <c r="A35" s="101" t="s">
        <v>409</v>
      </c>
      <c r="B35" s="396">
        <f>B31</f>
        <v>29903</v>
      </c>
      <c r="C35" s="396">
        <f>SUM(C31)</f>
        <v>23841</v>
      </c>
      <c r="D35" s="396">
        <f>SUM(D31)</f>
        <v>53744</v>
      </c>
    </row>
    <row r="36" spans="1:4" ht="15" customHeight="1">
      <c r="A36" s="446"/>
      <c r="B36" s="447"/>
      <c r="C36" s="447"/>
      <c r="D36" s="447"/>
    </row>
    <row r="37" spans="1:4" ht="15" customHeight="1">
      <c r="A37" s="90" t="s">
        <v>410</v>
      </c>
      <c r="B37" s="396">
        <f>B35+B29+B25+B21+B15</f>
        <v>357805</v>
      </c>
      <c r="C37" s="396">
        <f>C35+C29+C25+C21+C15</f>
        <v>24901</v>
      </c>
      <c r="D37" s="396">
        <f>D35+D29+D25+D21+D15</f>
        <v>382706</v>
      </c>
    </row>
    <row r="38" spans="1:4" ht="15" customHeight="1">
      <c r="A38" s="101"/>
      <c r="B38" s="396"/>
      <c r="C38" s="448"/>
      <c r="D38" s="448"/>
    </row>
    <row r="39" spans="1:4" ht="15" customHeight="1">
      <c r="A39" s="184" t="s">
        <v>268</v>
      </c>
      <c r="B39" s="74">
        <f>B40+B41</f>
        <v>0</v>
      </c>
      <c r="C39" s="74">
        <f>C40+C41</f>
        <v>0</v>
      </c>
      <c r="D39" s="74">
        <f>D40+D41</f>
        <v>0</v>
      </c>
    </row>
    <row r="40" spans="1:4" ht="15" customHeight="1">
      <c r="A40" s="313" t="s">
        <v>269</v>
      </c>
      <c r="B40" s="64">
        <v>0</v>
      </c>
      <c r="C40" s="72">
        <v>0</v>
      </c>
      <c r="D40" s="436">
        <f>SUM(B40:C40)</f>
        <v>0</v>
      </c>
    </row>
    <row r="41" spans="1:4" ht="15" customHeight="1">
      <c r="A41" s="88" t="s">
        <v>270</v>
      </c>
      <c r="B41" s="39">
        <v>0</v>
      </c>
      <c r="C41" s="40">
        <v>0</v>
      </c>
      <c r="D41" s="439">
        <f>SUM(B41:C41)</f>
        <v>0</v>
      </c>
    </row>
    <row r="42" spans="1:4" ht="15" customHeight="1">
      <c r="A42" s="446"/>
      <c r="B42" s="449"/>
      <c r="C42" s="450"/>
      <c r="D42" s="451"/>
    </row>
    <row r="43" spans="1:4" s="91" customFormat="1" ht="15" customHeight="1">
      <c r="A43" s="90" t="s">
        <v>411</v>
      </c>
      <c r="B43" s="396">
        <f>2000+4118</f>
        <v>6118</v>
      </c>
      <c r="C43" s="434">
        <f>279485+3267</f>
        <v>282752</v>
      </c>
      <c r="D43" s="452">
        <f>B43+C43</f>
        <v>288870</v>
      </c>
    </row>
    <row r="44" spans="1:4" ht="15" customHeight="1">
      <c r="A44" s="446"/>
      <c r="B44" s="447"/>
      <c r="C44" s="447"/>
      <c r="D44" s="447"/>
    </row>
    <row r="45" spans="1:4" ht="15" customHeight="1">
      <c r="A45" s="90" t="s">
        <v>412</v>
      </c>
      <c r="B45" s="396">
        <f>B43+B39+B37</f>
        <v>363923</v>
      </c>
      <c r="C45" s="434">
        <f>C43+C39+C37</f>
        <v>307653</v>
      </c>
      <c r="D45" s="434">
        <f>D43+D39+D37</f>
        <v>671576</v>
      </c>
    </row>
    <row r="46" spans="1:4" ht="12.75">
      <c r="A46" s="453"/>
      <c r="B46" s="450"/>
      <c r="C46" s="450"/>
      <c r="D46" s="450"/>
    </row>
    <row r="48" spans="1:5" ht="12.75">
      <c r="A48" s="1020">
        <v>2</v>
      </c>
      <c r="B48" s="1020"/>
      <c r="C48" s="1020"/>
      <c r="D48" s="1020"/>
      <c r="E48" s="1020"/>
    </row>
    <row r="49" spans="3:4" ht="12.75">
      <c r="C49" s="1036" t="s">
        <v>393</v>
      </c>
      <c r="D49" s="1036"/>
    </row>
    <row r="51" spans="1:4" ht="15.75">
      <c r="A51" s="1014" t="s">
        <v>394</v>
      </c>
      <c r="B51" s="1014"/>
      <c r="C51" s="1014"/>
      <c r="D51" s="1014"/>
    </row>
    <row r="52" spans="1:4" ht="15.75">
      <c r="A52" s="1014" t="s">
        <v>395</v>
      </c>
      <c r="B52" s="1014"/>
      <c r="C52" s="1014"/>
      <c r="D52" s="1014"/>
    </row>
    <row r="54" ht="12.75">
      <c r="C54" s="397" t="s">
        <v>33</v>
      </c>
    </row>
    <row r="55" spans="1:4" ht="48">
      <c r="A55" s="411" t="s">
        <v>369</v>
      </c>
      <c r="B55" s="85" t="s">
        <v>413</v>
      </c>
      <c r="C55" s="454" t="s">
        <v>414</v>
      </c>
      <c r="D55" s="455" t="s">
        <v>415</v>
      </c>
    </row>
    <row r="56" spans="1:4" ht="15" customHeight="1">
      <c r="A56" s="321" t="s">
        <v>397</v>
      </c>
      <c r="B56" s="182">
        <v>5400</v>
      </c>
      <c r="C56" s="431">
        <v>0</v>
      </c>
      <c r="D56" s="69">
        <f>SUM(B56:C56)</f>
        <v>5400</v>
      </c>
    </row>
    <row r="57" spans="1:4" ht="15" customHeight="1">
      <c r="A57" s="71" t="s">
        <v>277</v>
      </c>
      <c r="B57" s="333">
        <v>9600</v>
      </c>
      <c r="C57" s="432">
        <f>'2_l_sz_ melléklet'!F64</f>
        <v>160562</v>
      </c>
      <c r="D57" s="39">
        <f>SUM(B57:C57)</f>
        <v>170162</v>
      </c>
    </row>
    <row r="58" spans="1:4" ht="15" customHeight="1">
      <c r="A58" s="88" t="s">
        <v>398</v>
      </c>
      <c r="B58" s="39">
        <v>3000</v>
      </c>
      <c r="C58" s="432">
        <f>'2_l_sz_ melléklet'!F65</f>
        <v>27864</v>
      </c>
      <c r="D58" s="39">
        <f>SUM(B58:C58)</f>
        <v>30864</v>
      </c>
    </row>
    <row r="59" spans="1:4" ht="15" customHeight="1">
      <c r="A59" s="433" t="s">
        <v>279</v>
      </c>
      <c r="B59" s="64">
        <v>1600</v>
      </c>
      <c r="C59" s="432">
        <f>'2_l_sz_ melléklet'!F66</f>
        <v>960</v>
      </c>
      <c r="D59" s="39">
        <f>SUM(B59:C59)</f>
        <v>2560</v>
      </c>
    </row>
    <row r="60" spans="1:4" ht="15" customHeight="1">
      <c r="A60" s="297" t="s">
        <v>399</v>
      </c>
      <c r="B60" s="39">
        <f>'2_a_d_sz_ melléklet'!B81</f>
        <v>0</v>
      </c>
      <c r="C60" s="432">
        <f>'2_l_sz_ melléklet'!F67</f>
        <v>1694</v>
      </c>
      <c r="D60" s="94">
        <f>SUM(B60:C60)</f>
        <v>1694</v>
      </c>
    </row>
    <row r="61" spans="1:4" ht="15" customHeight="1">
      <c r="A61" s="90" t="s">
        <v>400</v>
      </c>
      <c r="B61" s="396">
        <f>SUM(B56:B60)</f>
        <v>19600</v>
      </c>
      <c r="C61" s="434">
        <f>SUM(C56:C60)</f>
        <v>191080</v>
      </c>
      <c r="D61" s="434">
        <f>SUM(D56:D60)</f>
        <v>210680</v>
      </c>
    </row>
    <row r="62" spans="1:4" ht="15" customHeight="1">
      <c r="A62" s="435"/>
      <c r="B62" s="333"/>
      <c r="C62" s="436"/>
      <c r="D62" s="437"/>
    </row>
    <row r="63" spans="1:4" ht="15" customHeight="1">
      <c r="A63" s="293" t="s">
        <v>249</v>
      </c>
      <c r="B63" s="438">
        <f>'2_f_h_sz_ melléklet'!C70</f>
        <v>98783</v>
      </c>
      <c r="C63" s="438">
        <f>'2_l_sz_ melléklet'!F70</f>
        <v>11664</v>
      </c>
      <c r="D63" s="439">
        <f>SUM(B63:C63)</f>
        <v>110447</v>
      </c>
    </row>
    <row r="64" spans="1:4" ht="15" customHeight="1">
      <c r="A64" s="95" t="s">
        <v>250</v>
      </c>
      <c r="B64" s="440">
        <f>'2_f_h_sz_ melléklet'!C74</f>
        <v>1501</v>
      </c>
      <c r="C64" s="456">
        <f>'2_l_sz_ melléklet'!F71</f>
        <v>0</v>
      </c>
      <c r="D64" s="439">
        <f>SUM(B64:C64)</f>
        <v>1501</v>
      </c>
    </row>
    <row r="65" spans="1:4" ht="15" customHeight="1">
      <c r="A65" s="95" t="s">
        <v>251</v>
      </c>
      <c r="B65" s="440">
        <f>'2_f_h_sz_ melléklet'!C89</f>
        <v>161833</v>
      </c>
      <c r="C65" s="456">
        <f>'2_l_sz_ melléklet'!F72</f>
        <v>0</v>
      </c>
      <c r="D65" s="439">
        <f>SUM(B65:C65)</f>
        <v>161833</v>
      </c>
    </row>
    <row r="66" spans="1:4" ht="15" customHeight="1">
      <c r="A66" s="294" t="s">
        <v>250</v>
      </c>
      <c r="B66" s="441">
        <v>0</v>
      </c>
      <c r="C66" s="457">
        <f>'2_l_sz_ melléklet'!F73</f>
        <v>0</v>
      </c>
      <c r="D66" s="439">
        <f>SUM(B66:C66)</f>
        <v>0</v>
      </c>
    </row>
    <row r="67" spans="1:4" ht="15" customHeight="1">
      <c r="A67" s="90" t="s">
        <v>326</v>
      </c>
      <c r="B67" s="396">
        <f>B63+B65</f>
        <v>260616</v>
      </c>
      <c r="C67" s="434">
        <f>C63+C65</f>
        <v>11664</v>
      </c>
      <c r="D67" s="434">
        <f>C67+B67</f>
        <v>272280</v>
      </c>
    </row>
    <row r="68" spans="1:4" ht="15" customHeight="1">
      <c r="A68" s="435"/>
      <c r="B68" s="439"/>
      <c r="C68" s="442"/>
      <c r="D68" s="442"/>
    </row>
    <row r="69" spans="1:4" ht="15" customHeight="1">
      <c r="A69" s="88" t="s">
        <v>401</v>
      </c>
      <c r="B69" s="333">
        <v>0</v>
      </c>
      <c r="C69" s="432">
        <f>'2_l_sz_ melléklet'!F76</f>
        <v>0</v>
      </c>
      <c r="D69" s="432">
        <f>SUM(B69:C69)</f>
        <v>0</v>
      </c>
    </row>
    <row r="70" spans="1:4" ht="15" customHeight="1">
      <c r="A70" s="89" t="s">
        <v>402</v>
      </c>
      <c r="B70" s="48">
        <f>'2_i_j_sz_ mell_'!C107</f>
        <v>0</v>
      </c>
      <c r="C70" s="442">
        <f>'2_l_sz_ melléklet'!F77</f>
        <v>7000</v>
      </c>
      <c r="D70" s="432">
        <f>SUM(B70:C70)</f>
        <v>7000</v>
      </c>
    </row>
    <row r="71" spans="1:4" ht="15" customHeight="1">
      <c r="A71" s="90" t="s">
        <v>403</v>
      </c>
      <c r="B71" s="396">
        <f>SUM(B69:B70)</f>
        <v>0</v>
      </c>
      <c r="C71" s="396">
        <f>SUM(C69:C70)</f>
        <v>7000</v>
      </c>
      <c r="D71" s="396">
        <f>SUM(D69:D70)</f>
        <v>7000</v>
      </c>
    </row>
    <row r="72" spans="1:4" ht="15" customHeight="1">
      <c r="A72" s="435"/>
      <c r="B72" s="443"/>
      <c r="C72" s="442"/>
      <c r="D72" s="442"/>
    </row>
    <row r="73" spans="1:4" ht="15" customHeight="1">
      <c r="A73" s="88" t="s">
        <v>261</v>
      </c>
      <c r="B73" s="39">
        <f>'2_m_n_sz_ melléklet'!B21</f>
        <v>0</v>
      </c>
      <c r="C73" s="56">
        <f>'2_l_sz_ melléklet'!F80</f>
        <v>0</v>
      </c>
      <c r="D73" s="56">
        <f>SUM(B73:C73)</f>
        <v>0</v>
      </c>
    </row>
    <row r="74" spans="1:4" ht="15" customHeight="1">
      <c r="A74" s="88" t="s">
        <v>262</v>
      </c>
      <c r="B74" s="39">
        <f>'2_m_n_sz_ melléklet'!B44</f>
        <v>4500</v>
      </c>
      <c r="C74" s="56"/>
      <c r="D74" s="56">
        <f>SUM(B74:C74)</f>
        <v>4500</v>
      </c>
    </row>
    <row r="75" spans="1:4" ht="15" customHeight="1">
      <c r="A75" s="88" t="s">
        <v>416</v>
      </c>
      <c r="B75" s="39"/>
      <c r="C75" s="56">
        <f>'2_l_sz_ melléklet'!F81</f>
        <v>0</v>
      </c>
      <c r="D75" s="59">
        <f>SUM(B75:C75)</f>
        <v>0</v>
      </c>
    </row>
    <row r="76" spans="1:4" ht="30" customHeight="1">
      <c r="A76" s="309" t="s">
        <v>405</v>
      </c>
      <c r="B76" s="396">
        <f>SUM(B73:B75)</f>
        <v>4500</v>
      </c>
      <c r="C76" s="395">
        <f>SUM(C73:C75)</f>
        <v>0</v>
      </c>
      <c r="D76" s="1009">
        <f>SUM(D73:D75)</f>
        <v>4500</v>
      </c>
    </row>
    <row r="77" spans="1:4" ht="15" customHeight="1">
      <c r="A77" s="66"/>
      <c r="B77" s="444"/>
      <c r="C77" s="445"/>
      <c r="D77" s="465"/>
    </row>
    <row r="78" spans="1:4" ht="15" customHeight="1">
      <c r="A78" s="88" t="s">
        <v>406</v>
      </c>
      <c r="B78" s="39">
        <f>B79+B80</f>
        <v>0</v>
      </c>
      <c r="C78" s="55">
        <f>'2_l_sz_ melléklet'!F84</f>
        <v>31666</v>
      </c>
      <c r="D78" s="39">
        <f>D79+D80</f>
        <v>31666</v>
      </c>
    </row>
    <row r="79" spans="1:4" ht="15" customHeight="1">
      <c r="A79" s="88" t="s">
        <v>407</v>
      </c>
      <c r="B79" s="48">
        <v>0</v>
      </c>
      <c r="C79" s="55">
        <f>'2_l_sz_ melléklet'!F85</f>
        <v>28846</v>
      </c>
      <c r="D79" s="48">
        <f>SUM(B79:C79)</f>
        <v>28846</v>
      </c>
    </row>
    <row r="80" spans="1:4" ht="15" customHeight="1">
      <c r="A80" s="88" t="s">
        <v>408</v>
      </c>
      <c r="B80" s="39">
        <v>0</v>
      </c>
      <c r="C80" s="55">
        <f>'2_l_sz_ melléklet'!F86</f>
        <v>2820</v>
      </c>
      <c r="D80" s="39">
        <f>SUM(B80:C80)</f>
        <v>2820</v>
      </c>
    </row>
    <row r="81" spans="1:4" ht="15" customHeight="1">
      <c r="A81" s="373"/>
      <c r="B81" s="63"/>
      <c r="C81" s="165"/>
      <c r="D81" s="63"/>
    </row>
    <row r="82" spans="1:4" ht="15" customHeight="1">
      <c r="A82" s="101" t="s">
        <v>409</v>
      </c>
      <c r="B82" s="396">
        <f>B78</f>
        <v>0</v>
      </c>
      <c r="C82" s="396">
        <f>SUM(C78)</f>
        <v>31666</v>
      </c>
      <c r="D82" s="396">
        <f>SUM(D78)</f>
        <v>31666</v>
      </c>
    </row>
    <row r="83" spans="1:4" ht="15" customHeight="1">
      <c r="A83" s="446"/>
      <c r="B83" s="447"/>
      <c r="C83" s="447"/>
      <c r="D83" s="447"/>
    </row>
    <row r="84" spans="1:4" ht="15" customHeight="1">
      <c r="A84" s="90" t="s">
        <v>410</v>
      </c>
      <c r="B84" s="396">
        <f>B82+B76+B71+B67+B61</f>
        <v>284716</v>
      </c>
      <c r="C84" s="396">
        <f>C82+C76+C71+C67+C61</f>
        <v>241410</v>
      </c>
      <c r="D84" s="396">
        <f>D82+D76+D71+D67+D61</f>
        <v>526126</v>
      </c>
    </row>
    <row r="85" spans="1:4" ht="15" customHeight="1">
      <c r="A85" s="101"/>
      <c r="B85" s="396"/>
      <c r="C85" s="448"/>
      <c r="D85" s="448"/>
    </row>
    <row r="86" spans="1:4" ht="15" customHeight="1">
      <c r="A86" s="184" t="s">
        <v>268</v>
      </c>
      <c r="B86" s="74">
        <f>B87+B88</f>
        <v>0</v>
      </c>
      <c r="C86" s="74">
        <f>C87+C88</f>
        <v>0</v>
      </c>
      <c r="D86" s="74">
        <f>D87+D88</f>
        <v>0</v>
      </c>
    </row>
    <row r="87" spans="1:4" ht="15" customHeight="1">
      <c r="A87" s="313" t="s">
        <v>269</v>
      </c>
      <c r="B87" s="64">
        <v>0</v>
      </c>
      <c r="C87" s="72">
        <v>0</v>
      </c>
      <c r="D87" s="436">
        <f>SUM(B87:C87)</f>
        <v>0</v>
      </c>
    </row>
    <row r="88" spans="1:4" ht="15" customHeight="1">
      <c r="A88" s="88" t="s">
        <v>270</v>
      </c>
      <c r="B88" s="39">
        <v>0</v>
      </c>
      <c r="C88" s="40">
        <v>0</v>
      </c>
      <c r="D88" s="439">
        <f>SUM(B88:C88)</f>
        <v>0</v>
      </c>
    </row>
    <row r="89" spans="1:4" ht="15" customHeight="1">
      <c r="A89" s="446"/>
      <c r="B89" s="449"/>
      <c r="C89" s="450"/>
      <c r="D89" s="451"/>
    </row>
    <row r="90" spans="1:4" ht="15" customHeight="1">
      <c r="A90" s="90" t="s">
        <v>411</v>
      </c>
      <c r="B90" s="396"/>
      <c r="C90" s="434">
        <f>'2_l_sz_ melléklet'!F96</f>
        <v>1560343</v>
      </c>
      <c r="D90" s="452">
        <f>B90+C90</f>
        <v>1560343</v>
      </c>
    </row>
    <row r="91" spans="1:4" ht="15" customHeight="1">
      <c r="A91" s="446"/>
      <c r="B91" s="447"/>
      <c r="C91" s="447"/>
      <c r="D91" s="447"/>
    </row>
    <row r="92" spans="1:4" ht="15" customHeight="1">
      <c r="A92" s="90" t="s">
        <v>412</v>
      </c>
      <c r="B92" s="396">
        <f>B90+B86+B84</f>
        <v>284716</v>
      </c>
      <c r="C92" s="434">
        <f>C90+C86+C84</f>
        <v>1801753</v>
      </c>
      <c r="D92" s="434">
        <f>D90+D86+D84</f>
        <v>2086469</v>
      </c>
    </row>
    <row r="93" ht="15" customHeight="1"/>
  </sheetData>
  <sheetProtection/>
  <mergeCells count="7">
    <mergeCell ref="A52:D52"/>
    <mergeCell ref="C1:D1"/>
    <mergeCell ref="A4:D4"/>
    <mergeCell ref="A5:D5"/>
    <mergeCell ref="A48:E48"/>
    <mergeCell ref="C49:D49"/>
    <mergeCell ref="A51:D51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48"/>
  <sheetViews>
    <sheetView zoomScalePageLayoutView="0" workbookViewId="0" topLeftCell="A55">
      <selection activeCell="H69" sqref="H69"/>
    </sheetView>
  </sheetViews>
  <sheetFormatPr defaultColWidth="9.140625" defaultRowHeight="12.75"/>
  <cols>
    <col min="1" max="1" width="37.57421875" style="0" customWidth="1"/>
    <col min="2" max="2" width="11.00390625" style="0" customWidth="1"/>
    <col min="3" max="3" width="11.140625" style="0" customWidth="1"/>
    <col min="4" max="4" width="9.8515625" style="0" customWidth="1"/>
  </cols>
  <sheetData>
    <row r="1" spans="4:5" ht="12.75">
      <c r="D1" s="1036" t="s">
        <v>417</v>
      </c>
      <c r="E1" s="1036"/>
    </row>
    <row r="2" spans="4:5" ht="12.75">
      <c r="D2" s="397"/>
      <c r="E2" s="397"/>
    </row>
    <row r="4" spans="1:6" ht="15.75">
      <c r="A4" s="1014" t="s">
        <v>418</v>
      </c>
      <c r="B4" s="1014"/>
      <c r="C4" s="1014"/>
      <c r="D4" s="1014"/>
      <c r="E4" s="1014"/>
      <c r="F4" s="1014"/>
    </row>
    <row r="5" spans="1:6" ht="15.75">
      <c r="A5" s="1014" t="s">
        <v>419</v>
      </c>
      <c r="B5" s="1014"/>
      <c r="C5" s="1014"/>
      <c r="D5" s="1014"/>
      <c r="E5" s="1014"/>
      <c r="F5" s="1014"/>
    </row>
    <row r="6" spans="1:5" ht="15.75">
      <c r="A6" s="27"/>
      <c r="B6" s="27"/>
      <c r="C6" s="27"/>
      <c r="D6" s="27"/>
      <c r="E6" s="27"/>
    </row>
    <row r="8" spans="4:5" ht="12.75">
      <c r="D8" s="397"/>
      <c r="E8" s="397" t="s">
        <v>33</v>
      </c>
    </row>
    <row r="9" spans="1:6" ht="32.25" customHeight="1">
      <c r="A9" s="411" t="s">
        <v>369</v>
      </c>
      <c r="B9" s="455" t="s">
        <v>106</v>
      </c>
      <c r="C9" s="85" t="s">
        <v>107</v>
      </c>
      <c r="D9" s="85" t="s">
        <v>108</v>
      </c>
      <c r="E9" s="85" t="s">
        <v>420</v>
      </c>
      <c r="F9" s="85" t="s">
        <v>110</v>
      </c>
    </row>
    <row r="10" spans="1:6" ht="12.75">
      <c r="A10" s="458" t="s">
        <v>397</v>
      </c>
      <c r="B10" s="459">
        <v>0</v>
      </c>
      <c r="C10" s="182">
        <v>0</v>
      </c>
      <c r="D10" s="431">
        <v>0</v>
      </c>
      <c r="E10" s="110">
        <v>0</v>
      </c>
      <c r="F10" s="110">
        <v>0</v>
      </c>
    </row>
    <row r="11" spans="1:6" ht="12.75">
      <c r="A11" s="38" t="s">
        <v>277</v>
      </c>
      <c r="B11" s="388"/>
      <c r="C11" s="333"/>
      <c r="D11" s="432">
        <v>5930</v>
      </c>
      <c r="E11" s="56">
        <v>318</v>
      </c>
      <c r="F11" s="56"/>
    </row>
    <row r="12" spans="1:6" ht="12.75">
      <c r="A12" s="8" t="s">
        <v>398</v>
      </c>
      <c r="B12" s="40"/>
      <c r="C12" s="39"/>
      <c r="D12" s="56"/>
      <c r="E12" s="56">
        <v>59</v>
      </c>
      <c r="F12" s="56"/>
    </row>
    <row r="13" spans="1:6" ht="12.75">
      <c r="A13" s="460" t="s">
        <v>279</v>
      </c>
      <c r="B13" s="72"/>
      <c r="C13" s="64"/>
      <c r="D13" s="53"/>
      <c r="E13" s="56"/>
      <c r="F13" s="56"/>
    </row>
    <row r="14" spans="1:6" ht="12.75">
      <c r="A14" s="234" t="s">
        <v>399</v>
      </c>
      <c r="B14" s="40">
        <v>0</v>
      </c>
      <c r="C14" s="39">
        <v>0</v>
      </c>
      <c r="D14" s="56">
        <f>'2_a_d_sz_ melléklet'!C25</f>
        <v>644</v>
      </c>
      <c r="E14" s="56">
        <v>0</v>
      </c>
      <c r="F14" s="56">
        <v>0</v>
      </c>
    </row>
    <row r="15" spans="1:6" s="91" customFormat="1" ht="12.75">
      <c r="A15" s="43" t="s">
        <v>400</v>
      </c>
      <c r="B15" s="60">
        <f>SUM(B10:B14)</f>
        <v>0</v>
      </c>
      <c r="C15" s="60">
        <f>SUM(C10:C14)</f>
        <v>0</v>
      </c>
      <c r="D15" s="16">
        <f>SUM(D10:D14)</f>
        <v>6574</v>
      </c>
      <c r="E15" s="61">
        <f>SUM(E10:E14)</f>
        <v>377</v>
      </c>
      <c r="F15" s="61">
        <f>SUM(F10:F14)</f>
        <v>0</v>
      </c>
    </row>
    <row r="16" spans="1:6" ht="12.75">
      <c r="A16" s="435"/>
      <c r="B16" s="69"/>
      <c r="C16" s="388"/>
      <c r="D16" s="436"/>
      <c r="E16" s="437"/>
      <c r="F16" s="437"/>
    </row>
    <row r="17" spans="1:6" ht="12.75">
      <c r="A17" s="293" t="s">
        <v>249</v>
      </c>
      <c r="B17" s="461">
        <f>'2_f_h_sz_ melléklet'!C81</f>
        <v>408</v>
      </c>
      <c r="C17" s="461">
        <v>0</v>
      </c>
      <c r="D17" s="461">
        <f>'2_f_h_sz_ melléklet'!C82+'2_f_h_sz_ melléklet'!C83+'2_f_h_sz_ melléklet'!C84+'2_f_h_sz_ melléklet'!C85</f>
        <v>492</v>
      </c>
      <c r="E17" s="461">
        <f>'2_f_h_sz_ melléklet'!C86</f>
        <v>3723</v>
      </c>
      <c r="F17" s="461">
        <v>0</v>
      </c>
    </row>
    <row r="18" spans="1:6" ht="12.75">
      <c r="A18" s="95" t="s">
        <v>250</v>
      </c>
      <c r="B18" s="462">
        <v>0</v>
      </c>
      <c r="C18" s="462">
        <v>0</v>
      </c>
      <c r="D18" s="462">
        <v>0</v>
      </c>
      <c r="E18" s="462">
        <v>0</v>
      </c>
      <c r="F18" s="462">
        <v>0</v>
      </c>
    </row>
    <row r="19" spans="1:6" ht="12.75">
      <c r="A19" s="95" t="s">
        <v>251</v>
      </c>
      <c r="B19" s="462">
        <v>0</v>
      </c>
      <c r="C19" s="462">
        <v>0</v>
      </c>
      <c r="D19" s="462">
        <v>0</v>
      </c>
      <c r="E19" s="462">
        <v>0</v>
      </c>
      <c r="F19" s="462">
        <v>0</v>
      </c>
    </row>
    <row r="20" spans="1:6" ht="12.75">
      <c r="A20" s="294" t="s">
        <v>250</v>
      </c>
      <c r="B20" s="463">
        <v>0</v>
      </c>
      <c r="C20" s="463">
        <v>0</v>
      </c>
      <c r="D20" s="463">
        <v>0</v>
      </c>
      <c r="E20" s="463">
        <v>0</v>
      </c>
      <c r="F20" s="463">
        <v>0</v>
      </c>
    </row>
    <row r="21" spans="1:6" ht="12.75">
      <c r="A21" s="90" t="s">
        <v>326</v>
      </c>
      <c r="B21" s="16">
        <f>B17+B19</f>
        <v>408</v>
      </c>
      <c r="C21" s="16">
        <f>C17+C19</f>
        <v>0</v>
      </c>
      <c r="D21" s="16">
        <f>D17+D19</f>
        <v>492</v>
      </c>
      <c r="E21" s="16">
        <f>E17+E19</f>
        <v>3723</v>
      </c>
      <c r="F21" s="16">
        <f>F17+F19</f>
        <v>0</v>
      </c>
    </row>
    <row r="22" spans="1:6" ht="12.75">
      <c r="A22" s="435"/>
      <c r="B22" s="48"/>
      <c r="C22" s="442"/>
      <c r="D22" s="442"/>
      <c r="E22" s="442"/>
      <c r="F22" s="442"/>
    </row>
    <row r="23" spans="1:6" ht="12.75">
      <c r="A23" s="88" t="s">
        <v>401</v>
      </c>
      <c r="B23" s="39">
        <v>0</v>
      </c>
      <c r="C23" s="432">
        <v>0</v>
      </c>
      <c r="D23" s="432">
        <v>0</v>
      </c>
      <c r="E23" s="432">
        <v>0</v>
      </c>
      <c r="F23" s="432">
        <v>0</v>
      </c>
    </row>
    <row r="24" spans="1:6" ht="12.75">
      <c r="A24" s="95" t="s">
        <v>402</v>
      </c>
      <c r="B24" s="63">
        <v>0</v>
      </c>
      <c r="C24" s="53">
        <v>0</v>
      </c>
      <c r="D24" s="464">
        <v>0</v>
      </c>
      <c r="E24" s="464">
        <v>0</v>
      </c>
      <c r="F24" s="464">
        <v>0</v>
      </c>
    </row>
    <row r="25" spans="1:6" ht="12.75">
      <c r="A25" s="43" t="s">
        <v>403</v>
      </c>
      <c r="B25" s="465">
        <f>B24+B23</f>
        <v>0</v>
      </c>
      <c r="C25" s="396">
        <f>C24+C23</f>
        <v>0</v>
      </c>
      <c r="D25" s="396">
        <f>D24+D23</f>
        <v>0</v>
      </c>
      <c r="E25" s="396">
        <f>E24+E23</f>
        <v>0</v>
      </c>
      <c r="F25" s="396">
        <f>F24+F23</f>
        <v>0</v>
      </c>
    </row>
    <row r="26" spans="1:6" ht="12.75">
      <c r="A26" s="435"/>
      <c r="B26" s="69"/>
      <c r="C26" s="466"/>
      <c r="D26" s="442"/>
      <c r="E26" s="442"/>
      <c r="F26" s="442"/>
    </row>
    <row r="27" spans="1:6" ht="12.75">
      <c r="A27" s="88" t="s">
        <v>261</v>
      </c>
      <c r="B27" s="39">
        <v>0</v>
      </c>
      <c r="C27" s="56">
        <v>0</v>
      </c>
      <c r="D27" s="56">
        <v>0</v>
      </c>
      <c r="E27" s="56">
        <v>0</v>
      </c>
      <c r="F27" s="56">
        <v>0</v>
      </c>
    </row>
    <row r="28" spans="1:6" ht="12.75">
      <c r="A28" s="88" t="s">
        <v>404</v>
      </c>
      <c r="B28" s="58">
        <v>0</v>
      </c>
      <c r="C28" s="56">
        <v>0</v>
      </c>
      <c r="D28" s="56">
        <v>0</v>
      </c>
      <c r="E28" s="56">
        <v>0</v>
      </c>
      <c r="F28" s="56">
        <v>0</v>
      </c>
    </row>
    <row r="29" spans="1:6" ht="30" customHeight="1">
      <c r="A29" s="319" t="s">
        <v>405</v>
      </c>
      <c r="B29" s="396">
        <f>B27+B28</f>
        <v>0</v>
      </c>
      <c r="C29" s="396">
        <f>C27+C28</f>
        <v>0</v>
      </c>
      <c r="D29" s="396">
        <f>D27+D28</f>
        <v>0</v>
      </c>
      <c r="E29" s="396">
        <f>E27+E28</f>
        <v>0</v>
      </c>
      <c r="F29" s="396">
        <f>F27+F28</f>
        <v>0</v>
      </c>
    </row>
    <row r="30" spans="1:6" ht="12.75">
      <c r="A30" s="33"/>
      <c r="B30" s="166"/>
      <c r="C30" s="444"/>
      <c r="D30" s="467"/>
      <c r="E30" s="444"/>
      <c r="F30" s="444"/>
    </row>
    <row r="31" spans="1:6" ht="12.75">
      <c r="A31" s="234" t="s">
        <v>406</v>
      </c>
      <c r="B31" s="40">
        <v>596</v>
      </c>
      <c r="C31" s="39">
        <f>C32+C33</f>
        <v>69</v>
      </c>
      <c r="D31" s="40">
        <v>17304</v>
      </c>
      <c r="E31" s="39">
        <v>2818</v>
      </c>
      <c r="F31" s="39">
        <f>F32+F33</f>
        <v>497</v>
      </c>
    </row>
    <row r="32" spans="1:6" ht="12.75">
      <c r="A32" s="8" t="s">
        <v>407</v>
      </c>
      <c r="B32" s="40">
        <v>596</v>
      </c>
      <c r="C32" s="39">
        <v>69</v>
      </c>
      <c r="D32" s="40">
        <v>16458</v>
      </c>
      <c r="E32" s="39">
        <v>2818</v>
      </c>
      <c r="F32" s="39">
        <v>497</v>
      </c>
    </row>
    <row r="33" spans="1:6" ht="12.75">
      <c r="A33" s="8" t="s">
        <v>408</v>
      </c>
      <c r="B33" s="40">
        <v>0</v>
      </c>
      <c r="C33" s="39">
        <v>0</v>
      </c>
      <c r="D33" s="40">
        <v>846</v>
      </c>
      <c r="E33" s="39">
        <v>0</v>
      </c>
      <c r="F33" s="39">
        <v>0</v>
      </c>
    </row>
    <row r="34" spans="1:6" ht="12.75">
      <c r="A34" s="245"/>
      <c r="B34" s="366"/>
      <c r="C34" s="63"/>
      <c r="D34" s="366"/>
      <c r="E34" s="63"/>
      <c r="F34" s="63"/>
    </row>
    <row r="35" spans="1:6" ht="12.75">
      <c r="A35" s="35" t="s">
        <v>409</v>
      </c>
      <c r="B35" s="396">
        <f>B31</f>
        <v>596</v>
      </c>
      <c r="C35" s="396">
        <f>C31</f>
        <v>69</v>
      </c>
      <c r="D35" s="396">
        <f>D31</f>
        <v>17304</v>
      </c>
      <c r="E35" s="396">
        <f>E31</f>
        <v>2818</v>
      </c>
      <c r="F35" s="396">
        <f>F31</f>
        <v>497</v>
      </c>
    </row>
    <row r="36" spans="1:6" ht="12.75">
      <c r="A36" s="468"/>
      <c r="B36" s="69"/>
      <c r="C36" s="447"/>
      <c r="D36" s="447"/>
      <c r="E36" s="447"/>
      <c r="F36" s="447"/>
    </row>
    <row r="37" spans="1:6" ht="12.75">
      <c r="A37" s="43" t="s">
        <v>410</v>
      </c>
      <c r="B37" s="396">
        <f>B35+B29+B25+B21+B15</f>
        <v>1004</v>
      </c>
      <c r="C37" s="396">
        <f>C35+C29+C25+C21+C15</f>
        <v>69</v>
      </c>
      <c r="D37" s="396">
        <f>D35+D29+D25+D21+D15</f>
        <v>24370</v>
      </c>
      <c r="E37" s="396">
        <f>E35+E29+E25+E21+E15</f>
        <v>6918</v>
      </c>
      <c r="F37" s="396">
        <f>F35+F29+F25+F21+F15</f>
        <v>497</v>
      </c>
    </row>
    <row r="38" spans="1:6" ht="12.75">
      <c r="A38" s="35"/>
      <c r="B38" s="396"/>
      <c r="C38" s="434"/>
      <c r="D38" s="448"/>
      <c r="E38" s="448"/>
      <c r="F38" s="448"/>
    </row>
    <row r="39" spans="1:6" ht="12.75">
      <c r="A39" s="184" t="s">
        <v>268</v>
      </c>
      <c r="B39" s="74">
        <f>B40+B41</f>
        <v>0</v>
      </c>
      <c r="C39" s="74">
        <f>C40+C41</f>
        <v>0</v>
      </c>
      <c r="D39" s="74">
        <f>D40+D41</f>
        <v>0</v>
      </c>
      <c r="E39" s="74">
        <f>E40+E41</f>
        <v>0</v>
      </c>
      <c r="F39" s="74">
        <f>F40+F41</f>
        <v>0</v>
      </c>
    </row>
    <row r="40" spans="1:6" ht="12.75">
      <c r="A40" s="313" t="s">
        <v>269</v>
      </c>
      <c r="B40" s="52">
        <v>0</v>
      </c>
      <c r="C40" s="53">
        <v>0</v>
      </c>
      <c r="D40" s="72">
        <v>0</v>
      </c>
      <c r="E40" s="436">
        <v>0</v>
      </c>
      <c r="F40" s="436">
        <v>0</v>
      </c>
    </row>
    <row r="41" spans="1:6" ht="12.75">
      <c r="A41" s="88" t="s">
        <v>270</v>
      </c>
      <c r="B41" s="39">
        <v>0</v>
      </c>
      <c r="C41" s="56">
        <v>0</v>
      </c>
      <c r="D41" s="40">
        <v>0</v>
      </c>
      <c r="E41" s="333">
        <v>0</v>
      </c>
      <c r="F41" s="333">
        <v>0</v>
      </c>
    </row>
    <row r="42" spans="1:6" ht="12.75">
      <c r="A42" s="446"/>
      <c r="B42" s="64"/>
      <c r="C42" s="469"/>
      <c r="D42" s="450"/>
      <c r="E42" s="451"/>
      <c r="F42" s="451"/>
    </row>
    <row r="43" spans="1:6" ht="12.75">
      <c r="A43" s="90" t="s">
        <v>411</v>
      </c>
      <c r="B43" s="396">
        <v>220185</v>
      </c>
      <c r="C43" s="434">
        <v>185298</v>
      </c>
      <c r="D43" s="434">
        <v>476162</v>
      </c>
      <c r="E43" s="452">
        <v>3448</v>
      </c>
      <c r="F43" s="452">
        <v>41329</v>
      </c>
    </row>
    <row r="44" spans="1:6" ht="12.75">
      <c r="A44" s="468"/>
      <c r="B44" s="69"/>
      <c r="C44" s="447"/>
      <c r="D44" s="447"/>
      <c r="E44" s="447"/>
      <c r="F44" s="447"/>
    </row>
    <row r="45" spans="1:6" ht="12.75">
      <c r="A45" s="43" t="s">
        <v>412</v>
      </c>
      <c r="B45" s="396">
        <f>B37+B39+B43</f>
        <v>221189</v>
      </c>
      <c r="C45" s="396">
        <f>C37+C39+C43</f>
        <v>185367</v>
      </c>
      <c r="D45" s="396">
        <f>D37+D39+D43</f>
        <v>500532</v>
      </c>
      <c r="E45" s="396">
        <f>E37+E39+E43</f>
        <v>10366</v>
      </c>
      <c r="F45" s="396">
        <f>F37+F39+F43</f>
        <v>41826</v>
      </c>
    </row>
    <row r="53" spans="1:6" ht="12.75">
      <c r="A53" s="1020">
        <v>2</v>
      </c>
      <c r="B53" s="1020"/>
      <c r="C53" s="1020"/>
      <c r="D53" s="1020"/>
      <c r="E53" s="1020"/>
      <c r="F53" s="1020"/>
    </row>
    <row r="55" spans="4:5" ht="12.75">
      <c r="D55" s="1036" t="s">
        <v>417</v>
      </c>
      <c r="E55" s="1036"/>
    </row>
    <row r="56" spans="4:5" ht="12.75">
      <c r="D56" s="397"/>
      <c r="E56" s="397"/>
    </row>
    <row r="58" spans="1:6" ht="15.75">
      <c r="A58" s="1014" t="s">
        <v>418</v>
      </c>
      <c r="B58" s="1014"/>
      <c r="C58" s="1014"/>
      <c r="D58" s="1014"/>
      <c r="E58" s="1014"/>
      <c r="F58" s="1014"/>
    </row>
    <row r="59" spans="1:6" ht="15.75">
      <c r="A59" s="1014" t="s">
        <v>419</v>
      </c>
      <c r="B59" s="1014"/>
      <c r="C59" s="1014"/>
      <c r="D59" s="1014"/>
      <c r="E59" s="1014"/>
      <c r="F59" s="1014"/>
    </row>
    <row r="61" spans="4:5" ht="12.75">
      <c r="D61" s="397"/>
      <c r="E61" s="397" t="s">
        <v>33</v>
      </c>
    </row>
    <row r="62" spans="1:6" ht="59.25" customHeight="1">
      <c r="A62" s="411" t="s">
        <v>369</v>
      </c>
      <c r="B62" s="85" t="s">
        <v>115</v>
      </c>
      <c r="C62" s="455" t="s">
        <v>116</v>
      </c>
      <c r="D62" s="85" t="s">
        <v>421</v>
      </c>
      <c r="E62" s="470" t="s">
        <v>422</v>
      </c>
      <c r="F62" s="471" t="s">
        <v>423</v>
      </c>
    </row>
    <row r="63" spans="1:6" ht="12.75">
      <c r="A63" s="321" t="s">
        <v>397</v>
      </c>
      <c r="B63" s="182">
        <v>0</v>
      </c>
      <c r="C63" s="196">
        <v>0</v>
      </c>
      <c r="D63" s="110">
        <v>0</v>
      </c>
      <c r="E63" s="161">
        <v>0</v>
      </c>
      <c r="F63" s="143">
        <f>E63+D63+C63+B63+B10+C10+D10+E10+F10</f>
        <v>0</v>
      </c>
    </row>
    <row r="64" spans="1:6" ht="12.75">
      <c r="A64" s="71" t="s">
        <v>277</v>
      </c>
      <c r="B64" s="333">
        <v>1695</v>
      </c>
      <c r="C64" s="130">
        <v>5500</v>
      </c>
      <c r="D64" s="56">
        <v>23295</v>
      </c>
      <c r="E64" s="147">
        <v>123824</v>
      </c>
      <c r="F64" s="146">
        <f>E64+D64+C64+B64+B11+C11+D11+E11+F11</f>
        <v>160562</v>
      </c>
    </row>
    <row r="65" spans="1:6" ht="12.75">
      <c r="A65" s="88" t="s">
        <v>398</v>
      </c>
      <c r="B65" s="39">
        <v>40</v>
      </c>
      <c r="C65" s="130">
        <v>0</v>
      </c>
      <c r="D65" s="56">
        <v>3000</v>
      </c>
      <c r="E65" s="147">
        <v>24765</v>
      </c>
      <c r="F65" s="146">
        <f>E65+D65+C65+B65+B12+C12+D12+E12+F12</f>
        <v>27864</v>
      </c>
    </row>
    <row r="66" spans="1:6" ht="12.75">
      <c r="A66" s="433" t="s">
        <v>279</v>
      </c>
      <c r="B66" s="64">
        <v>0</v>
      </c>
      <c r="C66" s="130">
        <v>500</v>
      </c>
      <c r="D66" s="56">
        <v>400</v>
      </c>
      <c r="E66" s="147">
        <v>60</v>
      </c>
      <c r="F66" s="167">
        <f>E66+D66+C66+B66+B13+C13+D13+E13+F13</f>
        <v>960</v>
      </c>
    </row>
    <row r="67" spans="1:6" ht="12.75">
      <c r="A67" s="297" t="s">
        <v>399</v>
      </c>
      <c r="B67" s="39">
        <v>0</v>
      </c>
      <c r="C67" s="76">
        <v>0</v>
      </c>
      <c r="D67" s="56">
        <f>'2_a_d_sz_ melléklet'!C20+'2_a_d_sz_ melléklet'!C21</f>
        <v>1050</v>
      </c>
      <c r="E67" s="472">
        <v>0</v>
      </c>
      <c r="F67" s="167">
        <f>E67+D67+C67+B67+B14+C14+D14+E14+F14</f>
        <v>1694</v>
      </c>
    </row>
    <row r="68" spans="1:6" ht="12.75">
      <c r="A68" s="90" t="s">
        <v>400</v>
      </c>
      <c r="B68" s="16">
        <f>SUM(B63:B67)</f>
        <v>1735</v>
      </c>
      <c r="C68" s="16">
        <f>SUM(C63:C67)</f>
        <v>6000</v>
      </c>
      <c r="D68" s="434">
        <f>SUM(D63:D67)</f>
        <v>27745</v>
      </c>
      <c r="E68" s="434">
        <f>SUM(E63:E67)</f>
        <v>148649</v>
      </c>
      <c r="F68" s="473">
        <f>SUM(F63:F67)</f>
        <v>191080</v>
      </c>
    </row>
    <row r="69" spans="1:6" ht="12.75">
      <c r="A69" s="435"/>
      <c r="B69" s="333"/>
      <c r="C69" s="474"/>
      <c r="D69" s="437"/>
      <c r="E69" s="475"/>
      <c r="F69" s="476"/>
    </row>
    <row r="70" spans="1:6" ht="12.75">
      <c r="A70" s="293" t="s">
        <v>249</v>
      </c>
      <c r="B70" s="461">
        <v>0</v>
      </c>
      <c r="C70" s="438">
        <f>'2_f_h_sz_ melléklet'!C79</f>
        <v>850</v>
      </c>
      <c r="D70" s="442">
        <f>'2_f_h_sz_ melléklet'!C80</f>
        <v>6191</v>
      </c>
      <c r="E70" s="161">
        <v>0</v>
      </c>
      <c r="F70" s="167">
        <f>E70+D70+C70+B70+B17+C17+D17+E17+F17</f>
        <v>11664</v>
      </c>
    </row>
    <row r="71" spans="1:6" ht="12.75">
      <c r="A71" s="95" t="s">
        <v>250</v>
      </c>
      <c r="B71" s="462">
        <v>0</v>
      </c>
      <c r="C71" s="477">
        <v>0</v>
      </c>
      <c r="D71" s="432">
        <v>0</v>
      </c>
      <c r="E71" s="89">
        <v>0</v>
      </c>
      <c r="F71" s="167">
        <f>E71+D71+C71+B71+B18+C18+D18+E18+F18</f>
        <v>0</v>
      </c>
    </row>
    <row r="72" spans="1:6" ht="12.75">
      <c r="A72" s="95" t="s">
        <v>251</v>
      </c>
      <c r="B72" s="462">
        <v>0</v>
      </c>
      <c r="C72" s="477">
        <v>0</v>
      </c>
      <c r="D72" s="432">
        <v>0</v>
      </c>
      <c r="E72" s="122">
        <v>0</v>
      </c>
      <c r="F72" s="167">
        <f>E72+D72+C72+B72+B19+C19+D19+E19+F19</f>
        <v>0</v>
      </c>
    </row>
    <row r="73" spans="1:6" ht="12.75">
      <c r="A73" s="294" t="s">
        <v>250</v>
      </c>
      <c r="B73" s="463">
        <v>0</v>
      </c>
      <c r="C73" s="478">
        <v>0</v>
      </c>
      <c r="D73" s="479">
        <v>0</v>
      </c>
      <c r="E73" s="300">
        <v>0</v>
      </c>
      <c r="F73" s="167">
        <f>E73+D73+C73+B73+B20+C20+D20+E20+F20</f>
        <v>0</v>
      </c>
    </row>
    <row r="74" spans="1:6" ht="12.75">
      <c r="A74" s="90" t="s">
        <v>326</v>
      </c>
      <c r="B74" s="16">
        <f>B70+B72</f>
        <v>0</v>
      </c>
      <c r="C74" s="16">
        <f>C70+C72</f>
        <v>850</v>
      </c>
      <c r="D74" s="16">
        <f>D70+D72</f>
        <v>6191</v>
      </c>
      <c r="E74" s="16">
        <f>E70+E72</f>
        <v>0</v>
      </c>
      <c r="F74" s="16">
        <f>F70+F72</f>
        <v>11664</v>
      </c>
    </row>
    <row r="75" spans="1:6" ht="12.75">
      <c r="A75" s="435"/>
      <c r="B75" s="439"/>
      <c r="C75" s="442"/>
      <c r="D75" s="442"/>
      <c r="E75" s="480"/>
      <c r="F75" s="481"/>
    </row>
    <row r="76" spans="1:6" ht="12.75">
      <c r="A76" s="88" t="s">
        <v>401</v>
      </c>
      <c r="B76" s="333">
        <v>0</v>
      </c>
      <c r="C76" s="432">
        <v>0</v>
      </c>
      <c r="D76" s="432">
        <v>0</v>
      </c>
      <c r="E76" s="89">
        <v>0</v>
      </c>
      <c r="F76" s="146">
        <f>E76+D76+C76+B76+B23+C23+D23+E23+F23</f>
        <v>0</v>
      </c>
    </row>
    <row r="77" spans="1:6" ht="12.75">
      <c r="A77" s="89" t="s">
        <v>402</v>
      </c>
      <c r="B77" s="48">
        <v>0</v>
      </c>
      <c r="C77" s="432">
        <f>'2_i_j_sz_ mell_'!D57</f>
        <v>7000</v>
      </c>
      <c r="D77" s="442">
        <v>0</v>
      </c>
      <c r="E77" s="300">
        <v>0</v>
      </c>
      <c r="F77" s="146">
        <f>E77+D77+C77+B77+B24+C24+D24+E24+F24</f>
        <v>7000</v>
      </c>
    </row>
    <row r="78" spans="1:6" ht="12.75">
      <c r="A78" s="90" t="s">
        <v>403</v>
      </c>
      <c r="B78" s="396">
        <f>SUM(B76:B77)</f>
        <v>0</v>
      </c>
      <c r="C78" s="396">
        <f>SUM(C76:C77)</f>
        <v>7000</v>
      </c>
      <c r="D78" s="396">
        <f>SUM(D76:D77)</f>
        <v>0</v>
      </c>
      <c r="E78" s="396">
        <f>SUM(E76:E77)</f>
        <v>0</v>
      </c>
      <c r="F78" s="473">
        <f>SUM(F76:F77)</f>
        <v>7000</v>
      </c>
    </row>
    <row r="79" spans="1:6" ht="12.75">
      <c r="A79" s="435"/>
      <c r="B79" s="443"/>
      <c r="C79" s="442"/>
      <c r="D79" s="442"/>
      <c r="E79" s="480"/>
      <c r="F79" s="481"/>
    </row>
    <row r="80" spans="1:6" ht="12.75">
      <c r="A80" s="88" t="s">
        <v>261</v>
      </c>
      <c r="B80" s="39">
        <v>0</v>
      </c>
      <c r="C80" s="432">
        <v>0</v>
      </c>
      <c r="D80" s="56">
        <v>0</v>
      </c>
      <c r="E80" s="89">
        <v>0</v>
      </c>
      <c r="F80" s="146">
        <f>E80+D80+C80+B80+B27+C27+D27+E27+F27</f>
        <v>0</v>
      </c>
    </row>
    <row r="81" spans="1:6" ht="12.75">
      <c r="A81" s="88" t="s">
        <v>404</v>
      </c>
      <c r="B81" s="39">
        <v>0</v>
      </c>
      <c r="C81" s="432">
        <v>0</v>
      </c>
      <c r="D81" s="56">
        <v>0</v>
      </c>
      <c r="E81" s="300">
        <v>0</v>
      </c>
      <c r="F81" s="146">
        <f>E81+D81+C81+B81+B28+C28+D28+E28+F28</f>
        <v>0</v>
      </c>
    </row>
    <row r="82" spans="1:6" ht="30" customHeight="1">
      <c r="A82" s="309" t="s">
        <v>405</v>
      </c>
      <c r="B82" s="396">
        <f>SUM(B80:B81)</f>
        <v>0</v>
      </c>
      <c r="C82" s="396">
        <f>SUM(C80:C81)</f>
        <v>0</v>
      </c>
      <c r="D82" s="396">
        <f>SUM(D80:D81)</f>
        <v>0</v>
      </c>
      <c r="E82" s="482">
        <f>SUM(F80:F81)</f>
        <v>0</v>
      </c>
      <c r="F82" s="483">
        <f>SUM(G80:G81)</f>
        <v>0</v>
      </c>
    </row>
    <row r="83" spans="1:6" ht="12.75">
      <c r="A83" s="66"/>
      <c r="B83" s="444"/>
      <c r="C83" s="444"/>
      <c r="D83" s="484"/>
      <c r="E83" s="480"/>
      <c r="F83" s="485"/>
    </row>
    <row r="84" spans="1:6" ht="12.75">
      <c r="A84" s="88" t="s">
        <v>406</v>
      </c>
      <c r="B84" s="39">
        <f>B85+B86</f>
        <v>0</v>
      </c>
      <c r="C84" s="39">
        <f>C85+C86</f>
        <v>2856</v>
      </c>
      <c r="D84" s="39">
        <f>D85+D86</f>
        <v>5650</v>
      </c>
      <c r="E84" s="39">
        <f>E85+E86</f>
        <v>1876</v>
      </c>
      <c r="F84" s="39">
        <f>F85+F86</f>
        <v>31666</v>
      </c>
    </row>
    <row r="85" spans="1:6" ht="12.75">
      <c r="A85" s="88" t="s">
        <v>407</v>
      </c>
      <c r="B85" s="39">
        <v>0</v>
      </c>
      <c r="C85" s="39">
        <v>2856</v>
      </c>
      <c r="D85" s="56">
        <v>3676</v>
      </c>
      <c r="E85" s="844">
        <v>1876</v>
      </c>
      <c r="F85" s="146">
        <f>E85+D85+C85+B85+B32+C32+D32+E32+F32</f>
        <v>28846</v>
      </c>
    </row>
    <row r="86" spans="1:6" ht="12.75">
      <c r="A86" s="88" t="s">
        <v>408</v>
      </c>
      <c r="B86" s="39">
        <v>0</v>
      </c>
      <c r="C86" s="39">
        <v>0</v>
      </c>
      <c r="D86" s="56">
        <v>1974</v>
      </c>
      <c r="E86" s="89">
        <v>0</v>
      </c>
      <c r="F86" s="146">
        <f>E86+D86+C86+B86+B33+C33+D33+E33+F33</f>
        <v>2820</v>
      </c>
    </row>
    <row r="87" spans="1:6" ht="12.75">
      <c r="A87" s="373"/>
      <c r="B87" s="63"/>
      <c r="C87" s="63"/>
      <c r="D87" s="202"/>
      <c r="E87" s="300"/>
      <c r="F87" s="486"/>
    </row>
    <row r="88" spans="1:6" ht="12.75">
      <c r="A88" s="101" t="s">
        <v>409</v>
      </c>
      <c r="B88" s="396">
        <f>B84</f>
        <v>0</v>
      </c>
      <c r="C88" s="396">
        <f>C84</f>
        <v>2856</v>
      </c>
      <c r="D88" s="396">
        <f>D84</f>
        <v>5650</v>
      </c>
      <c r="E88" s="396">
        <f>E84</f>
        <v>1876</v>
      </c>
      <c r="F88" s="396">
        <f>F84</f>
        <v>31666</v>
      </c>
    </row>
    <row r="89" spans="1:6" ht="12.75">
      <c r="A89" s="446"/>
      <c r="B89" s="447"/>
      <c r="C89" s="447"/>
      <c r="D89" s="447"/>
      <c r="E89" s="475"/>
      <c r="F89" s="487"/>
    </row>
    <row r="90" spans="1:6" ht="12.75">
      <c r="A90" s="90" t="s">
        <v>410</v>
      </c>
      <c r="B90" s="396">
        <f>B88+B82+B78+B74+B68</f>
        <v>1735</v>
      </c>
      <c r="C90" s="396">
        <f>C88+C82+C78+C74+C68</f>
        <v>16706</v>
      </c>
      <c r="D90" s="396">
        <f>D88+D82+D78+D74+D68</f>
        <v>39586</v>
      </c>
      <c r="E90" s="482">
        <f>E88+E82+E78+E74+E68</f>
        <v>150525</v>
      </c>
      <c r="F90" s="483">
        <f>F88+F82+F78+F74+F68</f>
        <v>241410</v>
      </c>
    </row>
    <row r="91" spans="1:6" ht="12.75">
      <c r="A91" s="101"/>
      <c r="B91" s="396"/>
      <c r="C91" s="448"/>
      <c r="D91" s="448"/>
      <c r="E91" s="300"/>
      <c r="F91" s="488"/>
    </row>
    <row r="92" spans="1:6" ht="12.75">
      <c r="A92" s="184" t="s">
        <v>268</v>
      </c>
      <c r="B92" s="74">
        <f>B93+B94</f>
        <v>0</v>
      </c>
      <c r="C92" s="74">
        <f>C93+C94</f>
        <v>0</v>
      </c>
      <c r="D92" s="74">
        <f>D93+D94</f>
        <v>0</v>
      </c>
      <c r="E92" s="489">
        <f>F93+F94</f>
        <v>0</v>
      </c>
      <c r="F92" s="490">
        <f>G93+G94</f>
        <v>0</v>
      </c>
    </row>
    <row r="93" spans="1:6" ht="12.75">
      <c r="A93" s="313" t="s">
        <v>269</v>
      </c>
      <c r="B93" s="64">
        <v>0</v>
      </c>
      <c r="C93" s="69">
        <v>0</v>
      </c>
      <c r="D93" s="436">
        <v>0</v>
      </c>
      <c r="E93" s="480">
        <v>0</v>
      </c>
      <c r="F93" s="167">
        <f>E93+D93+C93+B93+B40+C40+D40+E40+F40</f>
        <v>0</v>
      </c>
    </row>
    <row r="94" spans="1:6" ht="12.75">
      <c r="A94" s="88" t="s">
        <v>270</v>
      </c>
      <c r="B94" s="39">
        <v>0</v>
      </c>
      <c r="C94" s="39">
        <v>0</v>
      </c>
      <c r="D94" s="333">
        <v>0</v>
      </c>
      <c r="E94" s="89">
        <v>0</v>
      </c>
      <c r="F94" s="167">
        <f>E94+D94+C94+B94+B41+C41+D41+E41+F41</f>
        <v>0</v>
      </c>
    </row>
    <row r="95" spans="1:6" ht="12.75">
      <c r="A95" s="446"/>
      <c r="B95" s="449"/>
      <c r="C95" s="450"/>
      <c r="D95" s="451"/>
      <c r="E95" s="263"/>
      <c r="F95" s="427"/>
    </row>
    <row r="96" spans="1:6" ht="12.75">
      <c r="A96" s="90" t="s">
        <v>411</v>
      </c>
      <c r="B96" s="396">
        <v>1600</v>
      </c>
      <c r="C96" s="434">
        <f>199634+2405+389+557</f>
        <v>202985</v>
      </c>
      <c r="D96" s="452">
        <f>262146+3595+869</f>
        <v>266610</v>
      </c>
      <c r="E96" s="482">
        <f>158876+3770+80</f>
        <v>162726</v>
      </c>
      <c r="F96" s="473">
        <f>E96+D96+C96+B96+F43+E43+D43+C43+B43</f>
        <v>1560343</v>
      </c>
    </row>
    <row r="97" spans="1:6" ht="12.75">
      <c r="A97" s="446"/>
      <c r="B97" s="447"/>
      <c r="C97" s="447"/>
      <c r="D97" s="447"/>
      <c r="E97" s="491"/>
      <c r="F97" s="492"/>
    </row>
    <row r="98" spans="1:6" ht="12.75">
      <c r="A98" s="90" t="s">
        <v>412</v>
      </c>
      <c r="B98" s="396">
        <f>B90+B92+B96</f>
        <v>3335</v>
      </c>
      <c r="C98" s="396">
        <f>C90+C92+C96</f>
        <v>219691</v>
      </c>
      <c r="D98" s="396">
        <f>D90+D92+D96</f>
        <v>306196</v>
      </c>
      <c r="E98" s="482">
        <f>E90+E92+E96</f>
        <v>313251</v>
      </c>
      <c r="F98" s="483">
        <f>F90+F92+F96</f>
        <v>1801753</v>
      </c>
    </row>
    <row r="103" spans="1:6" ht="12.75">
      <c r="A103" s="1020">
        <v>3</v>
      </c>
      <c r="B103" s="1020"/>
      <c r="C103" s="1020"/>
      <c r="D103" s="1020"/>
      <c r="E103" s="1020"/>
      <c r="F103" s="1020"/>
    </row>
    <row r="105" spans="4:5" ht="12.75">
      <c r="D105" s="1036" t="s">
        <v>417</v>
      </c>
      <c r="E105" s="1036"/>
    </row>
    <row r="106" spans="4:5" ht="12.75">
      <c r="D106" s="397"/>
      <c r="E106" s="397"/>
    </row>
    <row r="108" spans="1:6" ht="15.75">
      <c r="A108" s="1014" t="s">
        <v>418</v>
      </c>
      <c r="B108" s="1014"/>
      <c r="C108" s="1014"/>
      <c r="D108" s="1014"/>
      <c r="E108" s="1014"/>
      <c r="F108" s="1014"/>
    </row>
    <row r="109" spans="1:6" ht="15.75">
      <c r="A109" s="1014" t="s">
        <v>419</v>
      </c>
      <c r="B109" s="1014"/>
      <c r="C109" s="1014"/>
      <c r="D109" s="1014"/>
      <c r="E109" s="1014"/>
      <c r="F109" s="1014"/>
    </row>
    <row r="111" spans="4:5" ht="12.75">
      <c r="D111" s="397"/>
      <c r="E111" s="397" t="s">
        <v>33</v>
      </c>
    </row>
    <row r="112" spans="1:3" ht="60" customHeight="1">
      <c r="A112" s="411" t="s">
        <v>369</v>
      </c>
      <c r="B112" s="85" t="s">
        <v>424</v>
      </c>
      <c r="C112" s="455" t="s">
        <v>425</v>
      </c>
    </row>
    <row r="113" spans="1:3" ht="12.75">
      <c r="A113" s="321" t="s">
        <v>397</v>
      </c>
      <c r="B113" s="182">
        <v>0</v>
      </c>
      <c r="C113" s="196">
        <f>B113+F63</f>
        <v>0</v>
      </c>
    </row>
    <row r="114" spans="1:3" ht="12.75">
      <c r="A114" s="71" t="s">
        <v>277</v>
      </c>
      <c r="B114" s="333"/>
      <c r="C114" s="130">
        <f>B114+F64</f>
        <v>160562</v>
      </c>
    </row>
    <row r="115" spans="1:3" ht="12.75">
      <c r="A115" s="88" t="s">
        <v>398</v>
      </c>
      <c r="B115" s="39"/>
      <c r="C115" s="130">
        <f>B115+F65</f>
        <v>27864</v>
      </c>
    </row>
    <row r="116" spans="1:3" ht="12.75">
      <c r="A116" s="433" t="s">
        <v>279</v>
      </c>
      <c r="B116" s="64">
        <v>0</v>
      </c>
      <c r="C116" s="130">
        <f>B116+F66</f>
        <v>960</v>
      </c>
    </row>
    <row r="117" spans="1:3" ht="12.75">
      <c r="A117" s="297" t="s">
        <v>399</v>
      </c>
      <c r="B117" s="39">
        <f>'2_a_d_sz_ melléklet'!B19</f>
        <v>60</v>
      </c>
      <c r="C117" s="76">
        <f>B117+F67</f>
        <v>1754</v>
      </c>
    </row>
    <row r="118" spans="1:3" ht="12.75">
      <c r="A118" s="90" t="s">
        <v>400</v>
      </c>
      <c r="B118" s="16">
        <f>SUM(B113:B117)</f>
        <v>60</v>
      </c>
      <c r="C118" s="16">
        <f>SUM(C113:C117)</f>
        <v>191140</v>
      </c>
    </row>
    <row r="119" spans="1:3" ht="12.75">
      <c r="A119" s="435"/>
      <c r="B119" s="333"/>
      <c r="C119" s="474"/>
    </row>
    <row r="120" spans="1:3" ht="12.75">
      <c r="A120" s="293" t="s">
        <v>249</v>
      </c>
      <c r="B120" s="461">
        <v>0</v>
      </c>
      <c r="C120" s="196">
        <f>B120+F70</f>
        <v>11664</v>
      </c>
    </row>
    <row r="121" spans="1:3" ht="12.75">
      <c r="A121" s="95" t="s">
        <v>250</v>
      </c>
      <c r="B121" s="462">
        <v>0</v>
      </c>
      <c r="C121" s="130">
        <f>B121+F71</f>
        <v>0</v>
      </c>
    </row>
    <row r="122" spans="1:3" ht="12.75">
      <c r="A122" s="95" t="s">
        <v>251</v>
      </c>
      <c r="B122" s="462">
        <v>0</v>
      </c>
      <c r="C122" s="130">
        <f>B122+F72</f>
        <v>0</v>
      </c>
    </row>
    <row r="123" spans="1:3" ht="12.75">
      <c r="A123" s="294" t="s">
        <v>250</v>
      </c>
      <c r="B123" s="463">
        <v>0</v>
      </c>
      <c r="C123" s="76">
        <f>B123+F73</f>
        <v>0</v>
      </c>
    </row>
    <row r="124" spans="1:3" ht="12.75">
      <c r="A124" s="90" t="s">
        <v>326</v>
      </c>
      <c r="B124" s="16">
        <f>B120+B122</f>
        <v>0</v>
      </c>
      <c r="C124" s="16">
        <f>C120+C122</f>
        <v>11664</v>
      </c>
    </row>
    <row r="125" spans="1:3" ht="12.75">
      <c r="A125" s="435"/>
      <c r="B125" s="439"/>
      <c r="C125" s="436"/>
    </row>
    <row r="126" spans="1:3" ht="12.75">
      <c r="A126" s="88" t="s">
        <v>401</v>
      </c>
      <c r="B126" s="333">
        <v>0</v>
      </c>
      <c r="C126" s="76">
        <f>B126+F76</f>
        <v>0</v>
      </c>
    </row>
    <row r="127" spans="1:3" ht="12.75">
      <c r="A127" s="89" t="s">
        <v>402</v>
      </c>
      <c r="B127" s="48">
        <v>0</v>
      </c>
      <c r="C127" s="76">
        <f>B127+F77</f>
        <v>7000</v>
      </c>
    </row>
    <row r="128" spans="1:3" ht="12.75">
      <c r="A128" s="90" t="s">
        <v>403</v>
      </c>
      <c r="B128" s="396">
        <f>SUM(B126:B127)</f>
        <v>0</v>
      </c>
      <c r="C128" s="396">
        <f>SUM(C126:C127)</f>
        <v>7000</v>
      </c>
    </row>
    <row r="129" spans="1:3" ht="12.75">
      <c r="A129" s="435"/>
      <c r="B129" s="443"/>
      <c r="C129" s="436"/>
    </row>
    <row r="130" spans="1:3" ht="12.75">
      <c r="A130" s="88" t="s">
        <v>261</v>
      </c>
      <c r="B130" s="39">
        <v>0</v>
      </c>
      <c r="C130" s="76">
        <f>B130+F80</f>
        <v>0</v>
      </c>
    </row>
    <row r="131" spans="1:3" ht="12.75">
      <c r="A131" s="88" t="s">
        <v>404</v>
      </c>
      <c r="B131" s="39">
        <v>0</v>
      </c>
      <c r="C131" s="76">
        <f>B131+F81</f>
        <v>0</v>
      </c>
    </row>
    <row r="132" spans="1:3" ht="25.5">
      <c r="A132" s="309" t="s">
        <v>405</v>
      </c>
      <c r="B132" s="396">
        <f>SUM(B130:B131)</f>
        <v>0</v>
      </c>
      <c r="C132" s="396">
        <f>SUM(C130:C131)</f>
        <v>0</v>
      </c>
    </row>
    <row r="133" spans="1:3" ht="12.75">
      <c r="A133" s="66"/>
      <c r="B133" s="444"/>
      <c r="C133" s="444"/>
    </row>
    <row r="134" spans="1:3" ht="12.75">
      <c r="A134" s="88" t="s">
        <v>406</v>
      </c>
      <c r="B134" s="39">
        <f>B135+B136</f>
        <v>0</v>
      </c>
      <c r="C134" s="39">
        <f>C135+C136</f>
        <v>31666</v>
      </c>
    </row>
    <row r="135" spans="1:3" ht="12.75">
      <c r="A135" s="88" t="s">
        <v>407</v>
      </c>
      <c r="B135" s="39">
        <v>0</v>
      </c>
      <c r="C135" s="76">
        <f>B135+F85</f>
        <v>28846</v>
      </c>
    </row>
    <row r="136" spans="1:3" ht="12.75">
      <c r="A136" s="88" t="s">
        <v>408</v>
      </c>
      <c r="B136" s="39">
        <v>0</v>
      </c>
      <c r="C136" s="76">
        <f>B136+F86</f>
        <v>2820</v>
      </c>
    </row>
    <row r="137" spans="1:3" ht="12.75">
      <c r="A137" s="373"/>
      <c r="B137" s="63"/>
      <c r="C137" s="63"/>
    </row>
    <row r="138" spans="1:3" ht="12.75">
      <c r="A138" s="101" t="s">
        <v>409</v>
      </c>
      <c r="B138" s="396">
        <f>B134</f>
        <v>0</v>
      </c>
      <c r="C138" s="396">
        <f>C134</f>
        <v>31666</v>
      </c>
    </row>
    <row r="139" spans="1:3" ht="12.75">
      <c r="A139" s="446"/>
      <c r="B139" s="447"/>
      <c r="C139" s="447"/>
    </row>
    <row r="140" spans="1:3" ht="12.75">
      <c r="A140" s="90" t="s">
        <v>410</v>
      </c>
      <c r="B140" s="396">
        <f>B138+B132+B128+B124+B118</f>
        <v>60</v>
      </c>
      <c r="C140" s="396">
        <f>C138+C132+C128+C124+C118</f>
        <v>241470</v>
      </c>
    </row>
    <row r="141" spans="1:3" ht="12.75">
      <c r="A141" s="101"/>
      <c r="B141" s="396"/>
      <c r="C141" s="448"/>
    </row>
    <row r="142" spans="1:3" ht="12.75">
      <c r="A142" s="184" t="s">
        <v>268</v>
      </c>
      <c r="B142" s="74">
        <f>B143+B144</f>
        <v>0</v>
      </c>
      <c r="C142" s="74">
        <f>C143+C144</f>
        <v>0</v>
      </c>
    </row>
    <row r="143" spans="1:3" ht="12.75">
      <c r="A143" s="313" t="s">
        <v>269</v>
      </c>
      <c r="B143" s="64">
        <v>0</v>
      </c>
      <c r="C143" s="196">
        <f>B143+F93</f>
        <v>0</v>
      </c>
    </row>
    <row r="144" spans="1:3" ht="12.75">
      <c r="A144" s="88" t="s">
        <v>270</v>
      </c>
      <c r="B144" s="39">
        <v>0</v>
      </c>
      <c r="C144" s="76">
        <f>B144+F94</f>
        <v>0</v>
      </c>
    </row>
    <row r="145" spans="1:3" ht="12.75">
      <c r="A145" s="446"/>
      <c r="B145" s="449"/>
      <c r="C145" s="493"/>
    </row>
    <row r="146" spans="1:3" ht="12.75">
      <c r="A146" s="90" t="s">
        <v>411</v>
      </c>
      <c r="B146" s="396">
        <v>1344</v>
      </c>
      <c r="C146" s="434">
        <f>B146+F96</f>
        <v>1561687</v>
      </c>
    </row>
    <row r="147" spans="1:3" ht="12.75">
      <c r="A147" s="446"/>
      <c r="B147" s="447"/>
      <c r="C147" s="447"/>
    </row>
    <row r="148" spans="1:3" ht="12.75">
      <c r="A148" s="90" t="s">
        <v>412</v>
      </c>
      <c r="B148" s="396">
        <f>B140+B142+B146</f>
        <v>1404</v>
      </c>
      <c r="C148" s="396">
        <f>C140+C142+C146</f>
        <v>1803157</v>
      </c>
    </row>
  </sheetData>
  <sheetProtection/>
  <mergeCells count="11">
    <mergeCell ref="A59:F59"/>
    <mergeCell ref="A103:F103"/>
    <mergeCell ref="D105:E105"/>
    <mergeCell ref="A108:F108"/>
    <mergeCell ref="A109:F109"/>
    <mergeCell ref="D1:E1"/>
    <mergeCell ref="A4:F4"/>
    <mergeCell ref="A5:F5"/>
    <mergeCell ref="A53:F53"/>
    <mergeCell ref="D55:E55"/>
    <mergeCell ref="A58:F58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B44"/>
  <sheetViews>
    <sheetView zoomScalePageLayoutView="0" workbookViewId="0" topLeftCell="A1">
      <selection activeCell="B44" sqref="A1:B44"/>
    </sheetView>
  </sheetViews>
  <sheetFormatPr defaultColWidth="9.140625" defaultRowHeight="12.75"/>
  <cols>
    <col min="1" max="1" width="52.7109375" style="0" customWidth="1"/>
    <col min="2" max="2" width="25.8515625" style="0" customWidth="1"/>
  </cols>
  <sheetData>
    <row r="2" ht="14.25">
      <c r="B2" s="330" t="s">
        <v>426</v>
      </c>
    </row>
    <row r="3" ht="15.75">
      <c r="A3" s="29"/>
    </row>
    <row r="4" spans="1:2" ht="15.75">
      <c r="A4" s="1014" t="s">
        <v>427</v>
      </c>
      <c r="B4" s="1014"/>
    </row>
    <row r="5" ht="15.75">
      <c r="A5" s="29"/>
    </row>
    <row r="6" ht="12.75">
      <c r="B6" t="s">
        <v>213</v>
      </c>
    </row>
    <row r="7" spans="1:2" ht="15.75">
      <c r="A7" s="32" t="s">
        <v>310</v>
      </c>
      <c r="B7" s="247" t="s">
        <v>215</v>
      </c>
    </row>
    <row r="8" spans="1:2" ht="12.75">
      <c r="A8" s="248"/>
      <c r="B8" s="249" t="s">
        <v>39</v>
      </c>
    </row>
    <row r="9" spans="1:2" ht="12.75">
      <c r="A9" s="5" t="s">
        <v>428</v>
      </c>
      <c r="B9" s="494">
        <f>SUM(B10:B13)</f>
        <v>0</v>
      </c>
    </row>
    <row r="10" spans="1:2" ht="12.75">
      <c r="A10" s="8"/>
      <c r="B10" s="8"/>
    </row>
    <row r="11" spans="1:2" ht="12.75">
      <c r="A11" s="65"/>
      <c r="B11" s="8"/>
    </row>
    <row r="12" spans="1:2" ht="12.75">
      <c r="A12" s="8"/>
      <c r="B12" s="8"/>
    </row>
    <row r="13" spans="1:2" ht="12.75">
      <c r="A13" s="19"/>
      <c r="B13" s="19"/>
    </row>
    <row r="14" spans="1:2" ht="12.75">
      <c r="A14" s="5" t="s">
        <v>429</v>
      </c>
      <c r="B14" s="495">
        <f>SUM(B15:B20)</f>
        <v>0</v>
      </c>
    </row>
    <row r="15" spans="1:2" ht="12.75">
      <c r="A15" s="65" t="s">
        <v>430</v>
      </c>
      <c r="B15" s="65"/>
    </row>
    <row r="16" spans="1:2" ht="12.75">
      <c r="A16" s="8"/>
      <c r="B16" s="8"/>
    </row>
    <row r="17" spans="1:2" ht="12.75">
      <c r="A17" s="8"/>
      <c r="B17" s="8"/>
    </row>
    <row r="18" spans="1:2" ht="12.75">
      <c r="A18" s="8"/>
      <c r="B18" s="8"/>
    </row>
    <row r="19" spans="1:2" ht="12.75">
      <c r="A19" s="8"/>
      <c r="B19" s="8"/>
    </row>
    <row r="20" spans="1:2" ht="12.75">
      <c r="A20" s="248"/>
      <c r="B20" s="248"/>
    </row>
    <row r="21" spans="1:2" ht="12.75">
      <c r="A21" s="43" t="s">
        <v>431</v>
      </c>
      <c r="B21" s="15">
        <f>B14+B9</f>
        <v>0</v>
      </c>
    </row>
    <row r="24" ht="14.25">
      <c r="B24" s="26" t="s">
        <v>432</v>
      </c>
    </row>
    <row r="25" ht="15.75">
      <c r="A25" s="29"/>
    </row>
    <row r="26" spans="1:2" ht="15.75">
      <c r="A26" s="1014" t="s">
        <v>433</v>
      </c>
      <c r="B26" s="1014"/>
    </row>
    <row r="27" ht="15.75">
      <c r="A27" s="29"/>
    </row>
    <row r="28" ht="12.75">
      <c r="B28" t="s">
        <v>213</v>
      </c>
    </row>
    <row r="29" spans="1:2" ht="15.75">
      <c r="A29" s="32" t="s">
        <v>310</v>
      </c>
      <c r="B29" s="247" t="s">
        <v>215</v>
      </c>
    </row>
    <row r="30" spans="1:2" ht="12.75">
      <c r="A30" s="248"/>
      <c r="B30" s="249" t="s">
        <v>39</v>
      </c>
    </row>
    <row r="31" spans="1:2" ht="12.75">
      <c r="A31" s="250" t="s">
        <v>434</v>
      </c>
      <c r="B31" s="494">
        <v>0</v>
      </c>
    </row>
    <row r="32" spans="1:2" ht="12.75">
      <c r="A32" s="88"/>
      <c r="B32" s="8"/>
    </row>
    <row r="33" spans="1:2" ht="12.75">
      <c r="A33" s="88"/>
      <c r="B33" s="8"/>
    </row>
    <row r="34" spans="1:2" ht="12.75">
      <c r="A34" s="194"/>
      <c r="B34" s="8"/>
    </row>
    <row r="35" spans="1:2" ht="12.75">
      <c r="A35" s="88"/>
      <c r="B35" s="8"/>
    </row>
    <row r="36" spans="1:2" ht="12.75">
      <c r="A36" s="87"/>
      <c r="B36" s="8"/>
    </row>
    <row r="37" spans="1:2" ht="12.75">
      <c r="A37" s="250" t="s">
        <v>435</v>
      </c>
      <c r="B37" s="6">
        <f>B38+B39+B40+B41</f>
        <v>4500</v>
      </c>
    </row>
    <row r="38" spans="1:2" ht="12.75">
      <c r="A38" s="88" t="s">
        <v>436</v>
      </c>
      <c r="B38" s="39">
        <v>2000</v>
      </c>
    </row>
    <row r="39" spans="1:2" ht="12.75">
      <c r="A39" s="88" t="s">
        <v>437</v>
      </c>
      <c r="B39" s="39">
        <v>250</v>
      </c>
    </row>
    <row r="40" spans="1:2" ht="12.75">
      <c r="A40" s="194" t="s">
        <v>438</v>
      </c>
      <c r="B40" s="39">
        <v>50</v>
      </c>
    </row>
    <row r="41" spans="1:2" ht="12.75">
      <c r="A41" s="88" t="s">
        <v>439</v>
      </c>
      <c r="B41" s="39">
        <v>2200</v>
      </c>
    </row>
    <row r="42" spans="1:2" ht="12.75">
      <c r="A42" s="88"/>
      <c r="B42" s="39"/>
    </row>
    <row r="43" spans="1:2" ht="12.75">
      <c r="A43" s="251"/>
      <c r="B43" s="78"/>
    </row>
    <row r="44" spans="1:2" ht="12.75">
      <c r="A44" s="43" t="s">
        <v>440</v>
      </c>
      <c r="B44" s="16">
        <f>B37+B31</f>
        <v>4500</v>
      </c>
    </row>
  </sheetData>
  <sheetProtection/>
  <mergeCells count="2">
    <mergeCell ref="A4:B4"/>
    <mergeCell ref="A26:B26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47"/>
  <sheetViews>
    <sheetView zoomScalePageLayoutView="0" workbookViewId="0" topLeftCell="A13">
      <selection activeCell="B45" sqref="B45"/>
    </sheetView>
  </sheetViews>
  <sheetFormatPr defaultColWidth="9.140625" defaultRowHeight="12.75"/>
  <cols>
    <col min="1" max="1" width="56.57421875" style="0" customWidth="1"/>
    <col min="2" max="2" width="23.28125" style="0" customWidth="1"/>
  </cols>
  <sheetData>
    <row r="1" ht="12.75">
      <c r="B1" s="496" t="s">
        <v>441</v>
      </c>
    </row>
    <row r="2" ht="12.75">
      <c r="B2" s="496"/>
    </row>
    <row r="3" ht="12.75">
      <c r="B3" s="496"/>
    </row>
    <row r="4" spans="1:2" ht="15.75">
      <c r="A4" s="1051" t="s">
        <v>442</v>
      </c>
      <c r="B4" s="1051"/>
    </row>
    <row r="5" spans="1:2" ht="15.75">
      <c r="A5" s="1051" t="s">
        <v>443</v>
      </c>
      <c r="B5" s="1051"/>
    </row>
    <row r="6" spans="1:2" ht="15.75">
      <c r="A6" s="497"/>
      <c r="B6" s="497"/>
    </row>
    <row r="7" ht="12.75">
      <c r="B7" s="397" t="s">
        <v>33</v>
      </c>
    </row>
    <row r="8" ht="12.75">
      <c r="B8" s="397"/>
    </row>
    <row r="9" spans="1:2" ht="32.25" thickBot="1">
      <c r="A9" s="856" t="s">
        <v>444</v>
      </c>
      <c r="B9" s="857" t="s">
        <v>445</v>
      </c>
    </row>
    <row r="10" spans="1:2" ht="15.75">
      <c r="A10" s="858" t="s">
        <v>1132</v>
      </c>
      <c r="B10" s="859"/>
    </row>
    <row r="11" spans="1:2" ht="15.75">
      <c r="A11" s="860" t="s">
        <v>83</v>
      </c>
      <c r="B11" s="861"/>
    </row>
    <row r="12" spans="1:2" ht="15.75" thickBot="1">
      <c r="A12" s="862" t="s">
        <v>1141</v>
      </c>
      <c r="B12" s="863">
        <v>4908</v>
      </c>
    </row>
    <row r="13" spans="1:2" ht="16.5" thickBot="1">
      <c r="A13" s="853" t="s">
        <v>1131</v>
      </c>
      <c r="B13" s="854">
        <v>4908</v>
      </c>
    </row>
    <row r="14" spans="1:2" ht="15.75">
      <c r="A14" s="864"/>
      <c r="B14" s="865"/>
    </row>
    <row r="15" spans="1:2" ht="15.75">
      <c r="A15" s="860" t="s">
        <v>462</v>
      </c>
      <c r="B15" s="861"/>
    </row>
    <row r="16" spans="1:2" ht="15.75" thickBot="1">
      <c r="A16" s="862" t="s">
        <v>1142</v>
      </c>
      <c r="B16" s="863">
        <v>4118</v>
      </c>
    </row>
    <row r="17" spans="1:2" ht="16.5" thickBot="1">
      <c r="A17" s="853" t="s">
        <v>1134</v>
      </c>
      <c r="B17" s="854">
        <f>B16</f>
        <v>4118</v>
      </c>
    </row>
    <row r="18" spans="1:2" ht="16.5" thickBot="1">
      <c r="A18" s="866"/>
      <c r="B18" s="863"/>
    </row>
    <row r="19" spans="1:2" ht="16.5" thickBot="1">
      <c r="A19" s="855" t="s">
        <v>1133</v>
      </c>
      <c r="B19" s="854">
        <f>B13+B17</f>
        <v>9026</v>
      </c>
    </row>
    <row r="20" spans="1:2" ht="15.75">
      <c r="A20" s="864"/>
      <c r="B20" s="865"/>
    </row>
    <row r="21" spans="1:2" ht="15.75">
      <c r="A21" s="867" t="s">
        <v>1114</v>
      </c>
      <c r="B21" s="868"/>
    </row>
    <row r="22" spans="1:2" ht="15">
      <c r="A22" s="869" t="s">
        <v>446</v>
      </c>
      <c r="B22" s="863">
        <v>2400</v>
      </c>
    </row>
    <row r="23" spans="1:2" ht="15">
      <c r="A23" s="870"/>
      <c r="B23" s="871">
        <v>0</v>
      </c>
    </row>
    <row r="24" spans="1:2" s="18" customFormat="1" ht="15.75">
      <c r="A24" s="872" t="s">
        <v>447</v>
      </c>
      <c r="B24" s="873">
        <f>SUM(B22:B23)</f>
        <v>2400</v>
      </c>
    </row>
    <row r="25" spans="1:2" s="18" customFormat="1" ht="15.75">
      <c r="A25" s="866"/>
      <c r="B25" s="874"/>
    </row>
    <row r="26" spans="1:2" s="91" customFormat="1" ht="16.5" thickBot="1">
      <c r="A26" s="875" t="s">
        <v>1115</v>
      </c>
      <c r="B26" s="873">
        <f>B24</f>
        <v>2400</v>
      </c>
    </row>
    <row r="27" spans="1:2" s="91" customFormat="1" ht="15.75">
      <c r="A27" s="876"/>
      <c r="B27" s="874"/>
    </row>
    <row r="28" spans="1:2" ht="15.75">
      <c r="A28" s="877" t="s">
        <v>178</v>
      </c>
      <c r="B28" s="878"/>
    </row>
    <row r="29" spans="1:2" ht="15">
      <c r="A29" s="879" t="s">
        <v>448</v>
      </c>
      <c r="B29" s="880">
        <v>10433</v>
      </c>
    </row>
    <row r="30" spans="1:2" ht="15">
      <c r="A30" s="881" t="s">
        <v>449</v>
      </c>
      <c r="B30" s="880">
        <v>13100</v>
      </c>
    </row>
    <row r="31" spans="1:2" ht="15">
      <c r="A31" s="881" t="s">
        <v>450</v>
      </c>
      <c r="B31" s="880">
        <v>9200</v>
      </c>
    </row>
    <row r="32" spans="1:2" ht="15.75">
      <c r="A32" s="882" t="s">
        <v>451</v>
      </c>
      <c r="B32" s="883">
        <f>SUM(B29:B31)</f>
        <v>32733</v>
      </c>
    </row>
    <row r="33" spans="1:2" ht="15.75">
      <c r="A33" s="882"/>
      <c r="B33" s="883"/>
    </row>
    <row r="34" spans="1:2" ht="15">
      <c r="A34" s="881"/>
      <c r="B34" s="880"/>
    </row>
    <row r="35" spans="1:2" ht="15.75">
      <c r="A35" s="882" t="s">
        <v>1103</v>
      </c>
      <c r="B35" s="883">
        <f>SUM(B34)</f>
        <v>0</v>
      </c>
    </row>
    <row r="36" spans="1:2" ht="15">
      <c r="A36" s="881"/>
      <c r="B36" s="880"/>
    </row>
    <row r="37" spans="1:2" ht="15">
      <c r="A37" s="881" t="s">
        <v>452</v>
      </c>
      <c r="B37" s="880">
        <v>1500</v>
      </c>
    </row>
    <row r="38" spans="1:2" s="91" customFormat="1" ht="15.75">
      <c r="A38" s="882" t="s">
        <v>1102</v>
      </c>
      <c r="B38" s="884">
        <f>SUM(B36:B37)</f>
        <v>1500</v>
      </c>
    </row>
    <row r="39" spans="1:2" s="91" customFormat="1" ht="15.75">
      <c r="A39" s="885"/>
      <c r="B39" s="884"/>
    </row>
    <row r="40" spans="1:2" ht="15">
      <c r="A40" s="881" t="s">
        <v>454</v>
      </c>
      <c r="B40" s="880">
        <v>15000</v>
      </c>
    </row>
    <row r="41" spans="1:2" s="91" customFormat="1" ht="15.75">
      <c r="A41" s="882" t="s">
        <v>455</v>
      </c>
      <c r="B41" s="883">
        <f>SUM(B40)</f>
        <v>15000</v>
      </c>
    </row>
    <row r="42" spans="1:2" s="91" customFormat="1" ht="15.75">
      <c r="A42" s="876"/>
      <c r="B42" s="886"/>
    </row>
    <row r="43" spans="1:2" ht="15.75">
      <c r="A43" s="875" t="s">
        <v>456</v>
      </c>
      <c r="B43" s="887">
        <f>B32+B38+B41+B35</f>
        <v>49233</v>
      </c>
    </row>
    <row r="44" spans="1:2" ht="15.75">
      <c r="A44" s="888"/>
      <c r="B44" s="889"/>
    </row>
    <row r="45" spans="1:2" ht="15.75">
      <c r="A45" s="890" t="s">
        <v>457</v>
      </c>
      <c r="B45" s="891">
        <f>SUM(B26+B43+B19)</f>
        <v>60659</v>
      </c>
    </row>
    <row r="46" spans="1:2" ht="15.75">
      <c r="A46" s="504"/>
      <c r="B46" s="505"/>
    </row>
    <row r="47" spans="1:2" ht="15.75">
      <c r="A47" s="504"/>
      <c r="B47" s="505"/>
    </row>
  </sheetData>
  <sheetProtection/>
  <mergeCells count="2">
    <mergeCell ref="A4:B4"/>
    <mergeCell ref="A5:B5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77"/>
  <sheetViews>
    <sheetView zoomScalePageLayoutView="0" workbookViewId="0" topLeftCell="A29">
      <selection activeCell="C41" sqref="C41"/>
    </sheetView>
  </sheetViews>
  <sheetFormatPr defaultColWidth="9.140625" defaultRowHeight="12.75"/>
  <cols>
    <col min="1" max="1" width="61.00390625" style="0" customWidth="1"/>
    <col min="2" max="2" width="18.28125" style="0" customWidth="1"/>
  </cols>
  <sheetData>
    <row r="1" ht="12.75">
      <c r="B1" s="506" t="s">
        <v>458</v>
      </c>
    </row>
    <row r="2" spans="1:2" ht="15.75">
      <c r="A2" s="1051" t="s">
        <v>459</v>
      </c>
      <c r="B2" s="1051"/>
    </row>
    <row r="3" spans="1:2" ht="15.75">
      <c r="A3" s="1051" t="s">
        <v>460</v>
      </c>
      <c r="B3" s="1051"/>
    </row>
    <row r="4" spans="1:2" ht="15.75">
      <c r="A4" s="497"/>
      <c r="B4" s="497"/>
    </row>
    <row r="5" spans="1:2" ht="13.5" thickBot="1">
      <c r="A5" s="496"/>
      <c r="B5" s="397" t="s">
        <v>33</v>
      </c>
    </row>
    <row r="6" spans="1:2" ht="26.25" thickBot="1">
      <c r="A6" s="964" t="s">
        <v>461</v>
      </c>
      <c r="B6" s="965" t="s">
        <v>445</v>
      </c>
    </row>
    <row r="7" spans="1:2" ht="12.75" customHeight="1">
      <c r="A7" s="966" t="s">
        <v>462</v>
      </c>
      <c r="B7" s="967"/>
    </row>
    <row r="8" spans="1:2" ht="12.75" customHeight="1">
      <c r="A8" s="968" t="s">
        <v>1139</v>
      </c>
      <c r="B8" s="969">
        <v>550</v>
      </c>
    </row>
    <row r="9" spans="1:2" ht="12.75" customHeight="1" thickBot="1">
      <c r="A9" s="970" t="s">
        <v>1140</v>
      </c>
      <c r="B9" s="971">
        <v>600</v>
      </c>
    </row>
    <row r="10" spans="1:2" ht="12.75" customHeight="1" thickBot="1">
      <c r="A10" s="910" t="s">
        <v>463</v>
      </c>
      <c r="B10" s="972">
        <f>SUM(B8:B9)</f>
        <v>1150</v>
      </c>
    </row>
    <row r="11" spans="1:2" ht="12.75" customHeight="1">
      <c r="A11" s="973"/>
      <c r="B11" s="974"/>
    </row>
    <row r="12" spans="1:2" ht="12.75" customHeight="1">
      <c r="A12" s="975" t="s">
        <v>83</v>
      </c>
      <c r="B12" s="976"/>
    </row>
    <row r="13" spans="1:2" ht="12.75" customHeight="1">
      <c r="A13" s="977" t="s">
        <v>1135</v>
      </c>
      <c r="B13" s="978">
        <v>140</v>
      </c>
    </row>
    <row r="14" spans="1:2" ht="12.75" customHeight="1">
      <c r="A14" s="977" t="s">
        <v>1136</v>
      </c>
      <c r="B14" s="978">
        <v>199</v>
      </c>
    </row>
    <row r="15" spans="1:2" ht="12.75" customHeight="1">
      <c r="A15" s="977" t="s">
        <v>1137</v>
      </c>
      <c r="B15" s="978">
        <v>624</v>
      </c>
    </row>
    <row r="16" spans="1:2" ht="12.75" customHeight="1" thickBot="1">
      <c r="A16" s="977" t="s">
        <v>1138</v>
      </c>
      <c r="B16" s="979">
        <v>127</v>
      </c>
    </row>
    <row r="17" spans="1:2" ht="12.75" customHeight="1" thickBot="1">
      <c r="A17" s="910" t="s">
        <v>463</v>
      </c>
      <c r="B17" s="892">
        <f>SUM(B13:B16)</f>
        <v>1090</v>
      </c>
    </row>
    <row r="18" spans="1:2" ht="12.75" customHeight="1" thickBot="1">
      <c r="A18" s="980"/>
      <c r="B18" s="981"/>
    </row>
    <row r="19" spans="1:2" ht="12.75" customHeight="1" thickBot="1">
      <c r="A19" s="910" t="s">
        <v>1108</v>
      </c>
      <c r="B19" s="972">
        <f>B10+B17</f>
        <v>2240</v>
      </c>
    </row>
    <row r="20" spans="1:2" ht="12.75" customHeight="1">
      <c r="A20" s="982"/>
      <c r="B20" s="983"/>
    </row>
    <row r="21" spans="1:2" ht="12.75" customHeight="1">
      <c r="A21" s="982"/>
      <c r="B21" s="983"/>
    </row>
    <row r="22" spans="1:2" ht="12.75" customHeight="1">
      <c r="A22" s="984" t="s">
        <v>1109</v>
      </c>
      <c r="B22" s="983"/>
    </row>
    <row r="23" spans="1:2" ht="12.75" customHeight="1">
      <c r="A23" s="984"/>
      <c r="B23" s="983"/>
    </row>
    <row r="24" spans="1:2" ht="12.75" customHeight="1">
      <c r="A24" s="985" t="s">
        <v>1116</v>
      </c>
      <c r="B24" s="983"/>
    </row>
    <row r="25" spans="1:2" ht="12.75" customHeight="1">
      <c r="A25" s="968" t="s">
        <v>1117</v>
      </c>
      <c r="B25" s="978">
        <v>396</v>
      </c>
    </row>
    <row r="26" spans="1:2" ht="12.75" customHeight="1">
      <c r="A26" s="968" t="s">
        <v>1118</v>
      </c>
      <c r="B26" s="978">
        <v>274</v>
      </c>
    </row>
    <row r="27" spans="1:2" ht="12.75" customHeight="1">
      <c r="A27" s="968" t="s">
        <v>1119</v>
      </c>
      <c r="B27" s="978">
        <v>176</v>
      </c>
    </row>
    <row r="28" spans="1:2" ht="12.75" customHeight="1" thickBot="1">
      <c r="A28" s="986"/>
      <c r="B28" s="979"/>
    </row>
    <row r="29" spans="1:2" ht="12.75" customHeight="1" thickBot="1">
      <c r="A29" s="845" t="s">
        <v>1120</v>
      </c>
      <c r="B29" s="846">
        <v>846</v>
      </c>
    </row>
    <row r="30" spans="1:2" ht="12.75" customHeight="1">
      <c r="A30" s="984"/>
      <c r="B30" s="983"/>
    </row>
    <row r="31" spans="1:2" ht="12.75">
      <c r="A31" s="987" t="s">
        <v>464</v>
      </c>
      <c r="B31" s="988"/>
    </row>
    <row r="32" spans="1:2" ht="12.75">
      <c r="A32" s="907" t="s">
        <v>465</v>
      </c>
      <c r="B32" s="989">
        <v>3600</v>
      </c>
    </row>
    <row r="33" spans="1:2" ht="12.75" customHeight="1">
      <c r="A33" s="907" t="s">
        <v>466</v>
      </c>
      <c r="B33" s="989">
        <v>1000</v>
      </c>
    </row>
    <row r="34" spans="1:2" ht="13.5" thickBot="1">
      <c r="A34" s="908"/>
      <c r="B34" s="990"/>
    </row>
    <row r="35" spans="1:2" ht="13.5" thickBot="1">
      <c r="A35" s="910" t="s">
        <v>1110</v>
      </c>
      <c r="B35" s="991">
        <f>SUM(B32:B34)</f>
        <v>4600</v>
      </c>
    </row>
    <row r="36" spans="1:2" ht="12.75">
      <c r="A36" s="992"/>
      <c r="B36" s="993"/>
    </row>
    <row r="37" spans="1:2" ht="12.75">
      <c r="A37" s="994" t="s">
        <v>467</v>
      </c>
      <c r="B37" s="989"/>
    </row>
    <row r="38" spans="1:2" ht="12.75">
      <c r="A38" s="995" t="s">
        <v>1106</v>
      </c>
      <c r="B38" s="990">
        <v>120</v>
      </c>
    </row>
    <row r="39" spans="1:2" ht="13.5" thickBot="1">
      <c r="A39" s="996" t="s">
        <v>1107</v>
      </c>
      <c r="B39" s="997">
        <v>1854</v>
      </c>
    </row>
    <row r="40" spans="1:2" ht="13.5" thickBot="1">
      <c r="A40" s="910" t="s">
        <v>1111</v>
      </c>
      <c r="B40" s="991">
        <f>SUM(B38:B39)</f>
        <v>1974</v>
      </c>
    </row>
    <row r="41" spans="1:2" ht="13.5" thickBot="1">
      <c r="A41" s="953"/>
      <c r="B41" s="998"/>
    </row>
    <row r="42" spans="1:2" ht="13.5" thickBot="1">
      <c r="A42" s="910" t="s">
        <v>225</v>
      </c>
      <c r="B42" s="999">
        <f>B35+B40+B10+B17+B29</f>
        <v>9660</v>
      </c>
    </row>
    <row r="43" spans="1:2" ht="12.75">
      <c r="A43" s="992"/>
      <c r="B43" s="1000"/>
    </row>
    <row r="44" spans="1:2" ht="12.75">
      <c r="A44" s="987" t="s">
        <v>468</v>
      </c>
      <c r="B44" s="1001"/>
    </row>
    <row r="45" spans="1:2" ht="12.75">
      <c r="A45" s="1002"/>
      <c r="B45" s="1003"/>
    </row>
    <row r="46" spans="1:2" ht="12.75">
      <c r="A46" s="1004" t="s">
        <v>469</v>
      </c>
      <c r="B46" s="1003">
        <v>132</v>
      </c>
    </row>
    <row r="47" spans="1:2" ht="12.75">
      <c r="A47" s="1004" t="s">
        <v>470</v>
      </c>
      <c r="B47" s="1003">
        <v>22080</v>
      </c>
    </row>
    <row r="48" spans="1:2" ht="12.75">
      <c r="A48" s="1004" t="s">
        <v>471</v>
      </c>
      <c r="B48" s="1003">
        <v>11100</v>
      </c>
    </row>
    <row r="49" spans="1:2" ht="12.75">
      <c r="A49" s="1004" t="s">
        <v>472</v>
      </c>
      <c r="B49" s="1003">
        <v>22200</v>
      </c>
    </row>
    <row r="50" spans="1:2" ht="12.75">
      <c r="A50" s="1004" t="s">
        <v>473</v>
      </c>
      <c r="B50" s="1003">
        <v>22200</v>
      </c>
    </row>
    <row r="51" spans="1:2" ht="12.75">
      <c r="A51" s="1004" t="s">
        <v>474</v>
      </c>
      <c r="B51" s="1003">
        <v>11040</v>
      </c>
    </row>
    <row r="52" spans="1:2" ht="12.75">
      <c r="A52" s="1004" t="s">
        <v>475</v>
      </c>
      <c r="B52" s="1003">
        <v>0</v>
      </c>
    </row>
    <row r="53" spans="1:2" ht="12.75">
      <c r="A53" s="1005"/>
      <c r="B53" s="1006"/>
    </row>
    <row r="54" spans="1:2" s="91" customFormat="1" ht="13.5" thickBot="1">
      <c r="A54" s="1007" t="s">
        <v>476</v>
      </c>
      <c r="B54" s="1008">
        <f>SUM(B45:B53)</f>
        <v>88752</v>
      </c>
    </row>
    <row r="55" spans="1:2" s="91" customFormat="1" ht="12.75">
      <c r="A55" s="325"/>
      <c r="B55" s="963"/>
    </row>
    <row r="56" spans="1:2" s="91" customFormat="1" ht="12.75">
      <c r="A56" s="1052">
        <v>2</v>
      </c>
      <c r="B56" s="1052"/>
    </row>
    <row r="57" spans="1:2" ht="15.75">
      <c r="A57" s="497"/>
      <c r="B57" s="497"/>
    </row>
    <row r="58" spans="1:2" ht="13.5" thickBot="1">
      <c r="A58" s="496"/>
      <c r="B58" s="397" t="s">
        <v>33</v>
      </c>
    </row>
    <row r="59" spans="1:2" ht="26.25" thickBot="1">
      <c r="A59" s="507" t="s">
        <v>461</v>
      </c>
      <c r="B59" s="119" t="s">
        <v>445</v>
      </c>
    </row>
    <row r="60" spans="1:2" ht="12.75">
      <c r="A60" s="71" t="s">
        <v>477</v>
      </c>
      <c r="B60" s="510">
        <v>3500</v>
      </c>
    </row>
    <row r="61" spans="1:2" s="91" customFormat="1" ht="12.75">
      <c r="A61" s="103" t="s">
        <v>478</v>
      </c>
      <c r="B61" s="512">
        <f>SUM(B60)</f>
        <v>3500</v>
      </c>
    </row>
    <row r="62" spans="1:2" ht="12.75">
      <c r="A62" s="513"/>
      <c r="B62" s="510"/>
    </row>
    <row r="63" spans="1:2" ht="12.75">
      <c r="A63" s="513" t="s">
        <v>479</v>
      </c>
      <c r="B63" s="510">
        <v>30000</v>
      </c>
    </row>
    <row r="64" spans="1:2" ht="12.75">
      <c r="A64" s="513" t="s">
        <v>480</v>
      </c>
      <c r="B64" s="510">
        <v>685</v>
      </c>
    </row>
    <row r="65" spans="1:2" s="91" customFormat="1" ht="12.75">
      <c r="A65" s="103" t="s">
        <v>1104</v>
      </c>
      <c r="B65" s="512">
        <f>SUM(B63:B64)</f>
        <v>30685</v>
      </c>
    </row>
    <row r="66" spans="1:2" ht="12.75">
      <c r="A66" s="514"/>
      <c r="B66" s="511"/>
    </row>
    <row r="67" spans="1:2" ht="12.75">
      <c r="A67" s="71" t="s">
        <v>453</v>
      </c>
      <c r="B67" s="510">
        <v>33955</v>
      </c>
    </row>
    <row r="68" spans="1:2" s="91" customFormat="1" ht="12.75">
      <c r="A68" s="103" t="s">
        <v>1105</v>
      </c>
      <c r="B68" s="512">
        <f>SUM(B67)</f>
        <v>33955</v>
      </c>
    </row>
    <row r="69" spans="1:2" ht="12.75">
      <c r="A69" s="514"/>
      <c r="B69" s="511"/>
    </row>
    <row r="70" spans="1:2" ht="12.75">
      <c r="A70" s="514" t="s">
        <v>481</v>
      </c>
      <c r="B70" s="511">
        <v>90000</v>
      </c>
    </row>
    <row r="71" spans="1:2" s="91" customFormat="1" ht="12.75">
      <c r="A71" s="515" t="s">
        <v>482</v>
      </c>
      <c r="B71" s="509">
        <f>SUM(B70)</f>
        <v>90000</v>
      </c>
    </row>
    <row r="72" spans="1:2" ht="12.75">
      <c r="A72" s="514"/>
      <c r="B72" s="511"/>
    </row>
    <row r="73" spans="1:2" ht="12.75">
      <c r="A73" s="514"/>
      <c r="B73" s="511"/>
    </row>
    <row r="74" spans="1:2" ht="12.75">
      <c r="A74" s="508"/>
      <c r="B74" s="516"/>
    </row>
    <row r="75" spans="1:2" ht="12.75">
      <c r="A75" s="411" t="s">
        <v>386</v>
      </c>
      <c r="B75" s="517">
        <f>B54+B61+B65+B68+B71</f>
        <v>246892</v>
      </c>
    </row>
    <row r="76" spans="1:2" ht="12.75">
      <c r="A76" s="518"/>
      <c r="B76" s="519"/>
    </row>
    <row r="77" spans="1:2" ht="12.75">
      <c r="A77" s="411" t="s">
        <v>483</v>
      </c>
      <c r="B77" s="520">
        <f>B42+B75</f>
        <v>256552</v>
      </c>
    </row>
  </sheetData>
  <sheetProtection/>
  <mergeCells count="3">
    <mergeCell ref="A2:B2"/>
    <mergeCell ref="A3:B3"/>
    <mergeCell ref="A56:B56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B26" sqref="A1:B26"/>
    </sheetView>
  </sheetViews>
  <sheetFormatPr defaultColWidth="9.140625" defaultRowHeight="12.75"/>
  <cols>
    <col min="1" max="1" width="64.00390625" style="0" customWidth="1"/>
    <col min="2" max="2" width="18.421875" style="0" customWidth="1"/>
  </cols>
  <sheetData>
    <row r="1" spans="1:2" ht="12.75">
      <c r="A1" s="1053" t="s">
        <v>484</v>
      </c>
      <c r="B1" s="1053"/>
    </row>
    <row r="2" spans="1:2" ht="15.75">
      <c r="A2" s="1051" t="s">
        <v>485</v>
      </c>
      <c r="B2" s="1051"/>
    </row>
    <row r="3" spans="1:2" ht="15.75">
      <c r="A3" s="1051" t="s">
        <v>2</v>
      </c>
      <c r="B3" s="1051"/>
    </row>
    <row r="4" spans="1:2" ht="15.75">
      <c r="A4" s="497"/>
      <c r="B4" s="497"/>
    </row>
    <row r="5" ht="12.75">
      <c r="B5" s="397" t="s">
        <v>33</v>
      </c>
    </row>
    <row r="6" spans="1:2" ht="31.5">
      <c r="A6" s="498" t="s">
        <v>486</v>
      </c>
      <c r="B6" s="521" t="s">
        <v>487</v>
      </c>
    </row>
    <row r="7" spans="1:2" ht="15.75">
      <c r="A7" s="522" t="s">
        <v>488</v>
      </c>
      <c r="B7" s="523"/>
    </row>
    <row r="8" spans="1:2" ht="15">
      <c r="A8" s="524" t="s">
        <v>489</v>
      </c>
      <c r="B8" s="525">
        <v>18000</v>
      </c>
    </row>
    <row r="9" spans="1:2" ht="15">
      <c r="A9" s="526" t="s">
        <v>490</v>
      </c>
      <c r="B9" s="527">
        <v>1000</v>
      </c>
    </row>
    <row r="10" spans="1:2" ht="15" customHeight="1">
      <c r="A10" s="526" t="s">
        <v>491</v>
      </c>
      <c r="B10" s="528">
        <v>20000</v>
      </c>
    </row>
    <row r="11" spans="1:2" ht="15">
      <c r="A11" s="529" t="s">
        <v>492</v>
      </c>
      <c r="B11" s="528">
        <v>19000</v>
      </c>
    </row>
    <row r="12" spans="1:2" ht="15">
      <c r="A12" s="526" t="s">
        <v>493</v>
      </c>
      <c r="B12" s="527">
        <v>13000</v>
      </c>
    </row>
    <row r="13" spans="1:2" ht="15">
      <c r="A13" s="529"/>
      <c r="B13" s="530"/>
    </row>
    <row r="14" spans="1:2" ht="26.25" customHeight="1">
      <c r="A14" s="531" t="s">
        <v>494</v>
      </c>
      <c r="B14" s="532">
        <f>SUM(B8:B12)</f>
        <v>71000</v>
      </c>
    </row>
    <row r="15" spans="1:2" ht="15">
      <c r="A15" s="533"/>
      <c r="B15" s="534"/>
    </row>
    <row r="16" spans="1:2" ht="15.75">
      <c r="A16" s="535" t="s">
        <v>495</v>
      </c>
      <c r="B16" s="536"/>
    </row>
    <row r="17" spans="1:2" ht="15">
      <c r="A17" s="526" t="s">
        <v>496</v>
      </c>
      <c r="B17" s="527">
        <v>3885</v>
      </c>
    </row>
    <row r="18" spans="1:2" ht="15">
      <c r="A18" s="526" t="s">
        <v>497</v>
      </c>
      <c r="B18" s="527">
        <v>25000</v>
      </c>
    </row>
    <row r="19" spans="1:2" ht="15">
      <c r="A19" s="526" t="s">
        <v>498</v>
      </c>
      <c r="B19" s="527">
        <v>17229</v>
      </c>
    </row>
    <row r="20" spans="1:2" ht="15">
      <c r="A20" s="526" t="s">
        <v>499</v>
      </c>
      <c r="B20" s="527">
        <v>140000</v>
      </c>
    </row>
    <row r="21" spans="1:2" ht="15">
      <c r="A21" s="526"/>
      <c r="B21" s="527"/>
    </row>
    <row r="22" spans="1:2" ht="21" customHeight="1">
      <c r="A22" s="526"/>
      <c r="B22" s="527"/>
    </row>
    <row r="23" spans="1:2" ht="15">
      <c r="A23" s="529"/>
      <c r="B23" s="530"/>
    </row>
    <row r="24" spans="1:2" ht="15.75">
      <c r="A24" s="84" t="s">
        <v>500</v>
      </c>
      <c r="B24" s="537">
        <f>SUM(B17:B23)</f>
        <v>186114</v>
      </c>
    </row>
    <row r="25" spans="1:2" ht="15.75">
      <c r="A25" s="84"/>
      <c r="B25" s="537"/>
    </row>
    <row r="26" spans="1:2" ht="15.75">
      <c r="A26" s="84" t="s">
        <v>501</v>
      </c>
      <c r="B26" s="537">
        <f>B14+B24</f>
        <v>257114</v>
      </c>
    </row>
    <row r="33" ht="47.25">
      <c r="A33" s="538" t="s">
        <v>502</v>
      </c>
    </row>
  </sheetData>
  <sheetProtection/>
  <mergeCells count="3">
    <mergeCell ref="A1:B1"/>
    <mergeCell ref="A2:B2"/>
    <mergeCell ref="A3:B3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0">
      <selection activeCell="A24" sqref="A1:B27"/>
    </sheetView>
  </sheetViews>
  <sheetFormatPr defaultColWidth="9.140625" defaultRowHeight="12.75"/>
  <cols>
    <col min="1" max="1" width="55.421875" style="0" customWidth="1"/>
    <col min="2" max="2" width="22.8515625" style="0" customWidth="1"/>
  </cols>
  <sheetData>
    <row r="1" ht="12.75">
      <c r="B1" s="397" t="s">
        <v>503</v>
      </c>
    </row>
    <row r="3" spans="1:2" ht="15.75">
      <c r="A3" s="1051" t="s">
        <v>504</v>
      </c>
      <c r="B3" s="1051"/>
    </row>
    <row r="4" spans="1:2" ht="15.75">
      <c r="A4" s="497"/>
      <c r="B4" s="497"/>
    </row>
    <row r="5" spans="1:2" ht="15.75">
      <c r="A5" s="497"/>
      <c r="B5" s="497"/>
    </row>
    <row r="7" spans="1:2" ht="15.75">
      <c r="A7" s="507" t="s">
        <v>505</v>
      </c>
      <c r="B7" s="539" t="s">
        <v>506</v>
      </c>
    </row>
    <row r="8" spans="1:2" ht="15">
      <c r="A8" s="540" t="s">
        <v>507</v>
      </c>
      <c r="B8" s="541">
        <v>68</v>
      </c>
    </row>
    <row r="9" spans="1:2" ht="15">
      <c r="A9" s="540" t="s">
        <v>508</v>
      </c>
      <c r="B9" s="541">
        <v>51</v>
      </c>
    </row>
    <row r="10" spans="1:2" ht="15">
      <c r="A10" s="540" t="s">
        <v>467</v>
      </c>
      <c r="B10" s="541">
        <v>77</v>
      </c>
    </row>
    <row r="11" spans="1:2" ht="15">
      <c r="A11" s="540" t="s">
        <v>464</v>
      </c>
      <c r="B11" s="541">
        <v>50</v>
      </c>
    </row>
    <row r="12" spans="1:2" ht="15">
      <c r="A12" s="540" t="s">
        <v>178</v>
      </c>
      <c r="B12" s="541">
        <v>82</v>
      </c>
    </row>
    <row r="13" spans="1:2" ht="15">
      <c r="A13" s="540" t="s">
        <v>509</v>
      </c>
      <c r="B13" s="541">
        <v>150</v>
      </c>
    </row>
    <row r="14" spans="1:2" ht="15">
      <c r="A14" s="540" t="s">
        <v>510</v>
      </c>
      <c r="B14" s="541">
        <v>81</v>
      </c>
    </row>
    <row r="15" spans="1:2" ht="15">
      <c r="A15" s="540" t="s">
        <v>511</v>
      </c>
      <c r="B15" s="541">
        <v>1</v>
      </c>
    </row>
    <row r="16" spans="1:2" ht="15">
      <c r="A16" s="540" t="s">
        <v>512</v>
      </c>
      <c r="B16" s="541">
        <v>63.5</v>
      </c>
    </row>
    <row r="17" spans="1:2" ht="15">
      <c r="A17" s="540" t="s">
        <v>107</v>
      </c>
      <c r="B17" s="541">
        <v>63</v>
      </c>
    </row>
    <row r="18" spans="1:2" ht="15">
      <c r="A18" s="540" t="s">
        <v>108</v>
      </c>
      <c r="B18" s="541">
        <v>143.2</v>
      </c>
    </row>
    <row r="19" spans="1:2" ht="15">
      <c r="A19" s="540" t="s">
        <v>109</v>
      </c>
      <c r="B19" s="541">
        <v>6.8</v>
      </c>
    </row>
    <row r="20" spans="1:2" ht="15">
      <c r="A20" s="540" t="s">
        <v>513</v>
      </c>
      <c r="B20" s="541">
        <v>21</v>
      </c>
    </row>
    <row r="21" spans="1:2" ht="15">
      <c r="A21" s="542" t="s">
        <v>514</v>
      </c>
      <c r="B21" s="543">
        <v>2</v>
      </c>
    </row>
    <row r="22" spans="1:2" ht="15.75">
      <c r="A22" s="326" t="s">
        <v>515</v>
      </c>
      <c r="B22" s="544">
        <f>SUM(B8:B21)</f>
        <v>859.5</v>
      </c>
    </row>
    <row r="24" spans="1:6" s="851" customFormat="1" ht="12.75" customHeight="1">
      <c r="A24" s="1054" t="s">
        <v>1130</v>
      </c>
      <c r="B24" s="1054"/>
      <c r="C24" s="852"/>
      <c r="D24" s="852"/>
      <c r="E24" s="852"/>
      <c r="F24" s="852"/>
    </row>
    <row r="25" spans="1:6" s="850" customFormat="1" ht="12.75" customHeight="1">
      <c r="A25" s="1054"/>
      <c r="B25" s="1054"/>
      <c r="C25" s="852"/>
      <c r="D25" s="852"/>
      <c r="E25" s="852"/>
      <c r="F25" s="852"/>
    </row>
    <row r="26" spans="1:2" s="850" customFormat="1" ht="12.75" customHeight="1">
      <c r="A26" s="1054"/>
      <c r="B26" s="1054"/>
    </row>
    <row r="27" spans="1:2" s="850" customFormat="1" ht="12.75" customHeight="1">
      <c r="A27" s="1054"/>
      <c r="B27" s="1054"/>
    </row>
  </sheetData>
  <sheetProtection/>
  <mergeCells count="2">
    <mergeCell ref="A3:B3"/>
    <mergeCell ref="A24:B27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1">
      <selection activeCell="B40" sqref="B40"/>
    </sheetView>
  </sheetViews>
  <sheetFormatPr defaultColWidth="9.140625" defaultRowHeight="12.75"/>
  <cols>
    <col min="1" max="1" width="28.57421875" style="0" customWidth="1"/>
    <col min="2" max="2" width="11.8515625" style="0" customWidth="1"/>
    <col min="3" max="3" width="27.421875" style="0" customWidth="1"/>
    <col min="4" max="4" width="13.00390625" style="0" customWidth="1"/>
  </cols>
  <sheetData>
    <row r="1" spans="1:4" ht="12.75">
      <c r="A1" s="545"/>
      <c r="B1" s="545"/>
      <c r="C1" s="1057" t="s">
        <v>516</v>
      </c>
      <c r="D1" s="1057"/>
    </row>
    <row r="2" spans="1:4" ht="15.75">
      <c r="A2" s="1058" t="s">
        <v>517</v>
      </c>
      <c r="B2" s="1058"/>
      <c r="C2" s="1058"/>
      <c r="D2" s="1058"/>
    </row>
    <row r="3" spans="1:4" ht="9" customHeight="1">
      <c r="A3" s="545"/>
      <c r="B3" s="545"/>
      <c r="C3" s="545"/>
      <c r="D3" s="545"/>
    </row>
    <row r="4" spans="1:4" ht="12.75">
      <c r="A4" s="545"/>
      <c r="B4" s="545"/>
      <c r="C4" s="1055" t="s">
        <v>33</v>
      </c>
      <c r="D4" s="1055"/>
    </row>
    <row r="5" spans="1:4" ht="12.75">
      <c r="A5" s="1056" t="s">
        <v>357</v>
      </c>
      <c r="B5" s="1056"/>
      <c r="C5" s="1056" t="s">
        <v>518</v>
      </c>
      <c r="D5" s="1056"/>
    </row>
    <row r="6" spans="1:4" ht="22.5" customHeight="1">
      <c r="A6" s="546" t="s">
        <v>486</v>
      </c>
      <c r="B6" s="547" t="s">
        <v>519</v>
      </c>
      <c r="C6" s="546" t="s">
        <v>486</v>
      </c>
      <c r="D6" s="548" t="s">
        <v>520</v>
      </c>
    </row>
    <row r="7" spans="1:4" ht="12.75">
      <c r="A7" s="549" t="s">
        <v>521</v>
      </c>
      <c r="B7" s="550">
        <f>'2_sz_ melléklet'!D6</f>
        <v>1452438</v>
      </c>
      <c r="C7" s="549" t="s">
        <v>522</v>
      </c>
      <c r="D7" s="551">
        <f>'1_a_sz_ melléklet'!D8</f>
        <v>1837479</v>
      </c>
    </row>
    <row r="8" spans="1:4" ht="12.75">
      <c r="A8" s="549" t="s">
        <v>523</v>
      </c>
      <c r="B8" s="550"/>
      <c r="C8" s="549" t="s">
        <v>524</v>
      </c>
      <c r="D8" s="551">
        <f>'1_a_sz_ melléklet'!D9</f>
        <v>584854</v>
      </c>
    </row>
    <row r="9" spans="1:4" ht="12.75">
      <c r="A9" s="549" t="s">
        <v>525</v>
      </c>
      <c r="B9" s="552">
        <v>0</v>
      </c>
      <c r="C9" s="549" t="s">
        <v>526</v>
      </c>
      <c r="D9" s="551">
        <f>'1_a_sz_ melléklet'!D10</f>
        <v>1039809</v>
      </c>
    </row>
    <row r="10" spans="1:4" ht="12.75">
      <c r="A10" s="549" t="s">
        <v>527</v>
      </c>
      <c r="B10" s="552">
        <v>-5285</v>
      </c>
      <c r="C10" s="549" t="s">
        <v>528</v>
      </c>
      <c r="D10" s="551">
        <v>15097</v>
      </c>
    </row>
    <row r="11" spans="1:4" ht="12.75">
      <c r="A11" s="549" t="s">
        <v>529</v>
      </c>
      <c r="B11" s="550">
        <f>'2_sz_ melléklet'!D13</f>
        <v>2370156.137</v>
      </c>
      <c r="C11" s="549" t="s">
        <v>530</v>
      </c>
      <c r="D11" s="551">
        <f>-'1_a_sz_ melléklet'!D21</f>
        <v>-120152</v>
      </c>
    </row>
    <row r="12" spans="1:4" ht="12.75">
      <c r="A12" s="553" t="s">
        <v>531</v>
      </c>
      <c r="B12" s="552">
        <v>-27593</v>
      </c>
      <c r="C12" s="549" t="s">
        <v>532</v>
      </c>
      <c r="D12" s="551">
        <v>0</v>
      </c>
    </row>
    <row r="13" spans="1:4" ht="12.75">
      <c r="A13" s="554" t="s">
        <v>533</v>
      </c>
      <c r="B13" s="550">
        <f>-('2_sz_ melléklet'!D19+'2_sz_ melléklet'!D24)+(-'2_f_h_sz_ melléklet'!D14-'2_f_h_sz_ melléklet'!D16)</f>
        <v>-186308</v>
      </c>
      <c r="C13" s="549" t="s">
        <v>534</v>
      </c>
      <c r="D13" s="551">
        <f>'1_a_sz_ melléklet'!D13</f>
        <v>258002</v>
      </c>
    </row>
    <row r="14" spans="1:4" ht="12.75">
      <c r="A14" s="554" t="s">
        <v>535</v>
      </c>
      <c r="B14" s="550">
        <f>'2_sz_ melléklet'!D35</f>
        <v>0</v>
      </c>
      <c r="C14" s="554" t="s">
        <v>536</v>
      </c>
      <c r="D14" s="551">
        <f>'1_a_sz_ melléklet'!D14</f>
        <v>258002</v>
      </c>
    </row>
    <row r="15" spans="1:4" ht="12.75">
      <c r="A15" s="554" t="s">
        <v>537</v>
      </c>
      <c r="B15" s="550">
        <f>'2_sz_ melléklet'!D40</f>
        <v>76042</v>
      </c>
      <c r="C15" s="554" t="s">
        <v>538</v>
      </c>
      <c r="D15" s="551">
        <f>'1_a_sz_ melléklet'!D12</f>
        <v>358</v>
      </c>
    </row>
    <row r="16" spans="1:4" ht="12.75">
      <c r="A16" s="554" t="s">
        <v>539</v>
      </c>
      <c r="B16" s="550"/>
      <c r="C16" s="554" t="s">
        <v>540</v>
      </c>
      <c r="D16" s="551">
        <f>'1_a_sz_ melléklet'!D25</f>
        <v>36940</v>
      </c>
    </row>
    <row r="17" spans="1:4" ht="12.75">
      <c r="A17" s="554"/>
      <c r="B17" s="550"/>
      <c r="C17" s="554" t="s">
        <v>541</v>
      </c>
      <c r="D17" s="551">
        <f>'1_a_sz_ melléklet'!D35</f>
        <v>1000</v>
      </c>
    </row>
    <row r="18" spans="1:4" ht="12.75">
      <c r="A18" s="554"/>
      <c r="B18" s="550"/>
      <c r="C18" s="555" t="s">
        <v>542</v>
      </c>
      <c r="D18" s="551">
        <f>'1_a_sz_ melléklet'!D30</f>
        <v>169624</v>
      </c>
    </row>
    <row r="19" spans="1:4" ht="12.75">
      <c r="A19" s="554"/>
      <c r="B19" s="550"/>
      <c r="C19" s="554" t="s">
        <v>543</v>
      </c>
      <c r="D19" s="551">
        <f>D20+D21</f>
        <v>79314</v>
      </c>
    </row>
    <row r="20" spans="1:4" ht="12.75">
      <c r="A20" s="554"/>
      <c r="B20" s="550"/>
      <c r="C20" s="554" t="s">
        <v>544</v>
      </c>
      <c r="D20" s="551">
        <f>'1_a_sz_ melléklet'!D40</f>
        <v>8314</v>
      </c>
    </row>
    <row r="21" spans="1:4" ht="12.75">
      <c r="A21" s="554"/>
      <c r="B21" s="550"/>
      <c r="C21" s="554" t="s">
        <v>545</v>
      </c>
      <c r="D21" s="556">
        <f>'5_sz_ melléklet'!B14</f>
        <v>71000</v>
      </c>
    </row>
    <row r="22" spans="1:4" ht="12.75">
      <c r="A22" s="557" t="s">
        <v>546</v>
      </c>
      <c r="B22" s="558">
        <f>SUM(B7:B20)</f>
        <v>3679450.137</v>
      </c>
      <c r="C22" s="557" t="s">
        <v>547</v>
      </c>
      <c r="D22" s="559">
        <f>D7+D8+D9+D12+D13+D15+D18+D11+D16+D17+D19</f>
        <v>3887228</v>
      </c>
    </row>
    <row r="23" spans="1:4" ht="6.75" customHeight="1">
      <c r="A23" s="560"/>
      <c r="B23" s="561"/>
      <c r="C23" s="562"/>
      <c r="D23" s="563"/>
    </row>
    <row r="24" spans="1:4" ht="7.5" customHeight="1">
      <c r="A24" s="564"/>
      <c r="B24" s="565"/>
      <c r="C24" s="564"/>
      <c r="D24" s="564"/>
    </row>
    <row r="25" spans="1:4" ht="12.75">
      <c r="A25" s="554" t="s">
        <v>548</v>
      </c>
      <c r="B25" s="550">
        <f>D22+D25-B22</f>
        <v>207777.8629999999</v>
      </c>
      <c r="C25" s="554" t="s">
        <v>549</v>
      </c>
      <c r="D25" s="552">
        <f>'1_a_sz_ melléklet'!D47</f>
        <v>0</v>
      </c>
    </row>
    <row r="26" spans="1:4" ht="12.75">
      <c r="A26" s="554" t="s">
        <v>550</v>
      </c>
      <c r="B26" s="550"/>
      <c r="C26" s="554"/>
      <c r="D26" s="550"/>
    </row>
    <row r="27" spans="1:4" ht="12.75">
      <c r="A27" s="554" t="s">
        <v>551</v>
      </c>
      <c r="B27" s="550"/>
      <c r="C27" s="554"/>
      <c r="D27" s="550"/>
    </row>
    <row r="28" spans="1:4" ht="12.75">
      <c r="A28" s="566" t="s">
        <v>552</v>
      </c>
      <c r="B28" s="567">
        <f>B22+B25</f>
        <v>3887228</v>
      </c>
      <c r="C28" s="566" t="s">
        <v>553</v>
      </c>
      <c r="D28" s="567">
        <f>D22+D24+D25</f>
        <v>3887228</v>
      </c>
    </row>
    <row r="29" spans="1:4" ht="8.25" customHeight="1">
      <c r="A29" s="545"/>
      <c r="B29" s="545"/>
      <c r="C29" s="545"/>
      <c r="D29" s="545"/>
    </row>
    <row r="30" spans="1:4" ht="15.75">
      <c r="A30" s="1058" t="s">
        <v>554</v>
      </c>
      <c r="B30" s="1058"/>
      <c r="C30" s="1058"/>
      <c r="D30" s="1058"/>
    </row>
    <row r="31" spans="1:4" ht="9.75" customHeight="1">
      <c r="A31" s="545"/>
      <c r="B31" s="545"/>
      <c r="C31" s="545"/>
      <c r="D31" s="545"/>
    </row>
    <row r="32" spans="1:4" ht="12.75">
      <c r="A32" s="545"/>
      <c r="B32" s="545"/>
      <c r="C32" s="1055" t="s">
        <v>33</v>
      </c>
      <c r="D32" s="1055"/>
    </row>
    <row r="33" spans="1:4" ht="12.75">
      <c r="A33" s="1056" t="s">
        <v>357</v>
      </c>
      <c r="B33" s="1056"/>
      <c r="C33" s="1056" t="s">
        <v>518</v>
      </c>
      <c r="D33" s="1056"/>
    </row>
    <row r="34" spans="1:4" ht="25.5">
      <c r="A34" s="568" t="s">
        <v>486</v>
      </c>
      <c r="B34" s="569" t="s">
        <v>519</v>
      </c>
      <c r="C34" s="568" t="s">
        <v>486</v>
      </c>
      <c r="D34" s="569" t="s">
        <v>520</v>
      </c>
    </row>
    <row r="35" spans="1:4" ht="12.75">
      <c r="A35" s="549" t="s">
        <v>555</v>
      </c>
      <c r="B35" s="552">
        <f>'2_sz_ melléklet'!D27</f>
        <v>450600</v>
      </c>
      <c r="C35" s="570" t="s">
        <v>556</v>
      </c>
      <c r="D35" s="551">
        <f>'1_a_sz_ melléklet'!D18</f>
        <v>256552</v>
      </c>
    </row>
    <row r="36" spans="1:4" ht="12.75">
      <c r="A36" s="549" t="s">
        <v>557</v>
      </c>
      <c r="B36" s="550">
        <f>'2_f_h_sz_ melléklet'!D14+'2_f_h_sz_ melléklet'!D16</f>
        <v>24475</v>
      </c>
      <c r="C36" s="570" t="s">
        <v>558</v>
      </c>
      <c r="D36" s="556">
        <f>'1_a_sz_ melléklet'!D19</f>
        <v>60659</v>
      </c>
    </row>
    <row r="37" spans="1:4" ht="12.75">
      <c r="A37" s="322" t="s">
        <v>559</v>
      </c>
      <c r="B37" s="550">
        <f>'2_sz_ melléklet'!D24</f>
        <v>161833</v>
      </c>
      <c r="C37" s="571" t="s">
        <v>560</v>
      </c>
      <c r="D37" s="556">
        <f>'1_a_sz_ melléklet'!D20</f>
        <v>1500</v>
      </c>
    </row>
    <row r="38" spans="1:4" ht="12.75">
      <c r="A38" s="554" t="s">
        <v>561</v>
      </c>
      <c r="B38" s="550"/>
      <c r="C38" s="571" t="s">
        <v>562</v>
      </c>
      <c r="D38" s="556">
        <f>'1_a_sz_ melléklet'!D31</f>
        <v>70276</v>
      </c>
    </row>
    <row r="39" spans="1:4" ht="12.75">
      <c r="A39" s="554" t="s">
        <v>563</v>
      </c>
      <c r="B39" s="550">
        <f>'2_sz_ melléklet'!D41</f>
        <v>9368</v>
      </c>
      <c r="C39" s="571" t="s">
        <v>541</v>
      </c>
      <c r="D39" s="556">
        <f>'1_a_sz_ melléklet'!D36</f>
        <v>5000</v>
      </c>
    </row>
    <row r="40" spans="1:4" ht="12.75">
      <c r="A40" s="554" t="s">
        <v>564</v>
      </c>
      <c r="B40" s="550">
        <f>'2_sz_ melléklet'!D36</f>
        <v>4500</v>
      </c>
      <c r="C40" s="571" t="s">
        <v>565</v>
      </c>
      <c r="D40" s="556">
        <f>-D11</f>
        <v>120152</v>
      </c>
    </row>
    <row r="41" spans="1:4" ht="12.75">
      <c r="A41" s="554" t="s">
        <v>566</v>
      </c>
      <c r="B41" s="550">
        <f>B42</f>
        <v>27593</v>
      </c>
      <c r="C41" s="571" t="s">
        <v>543</v>
      </c>
      <c r="D41" s="556">
        <f>D42+D43</f>
        <v>186114</v>
      </c>
    </row>
    <row r="42" spans="1:4" ht="25.5">
      <c r="A42" s="572" t="s">
        <v>567</v>
      </c>
      <c r="B42" s="550">
        <f>-B12</f>
        <v>27593</v>
      </c>
      <c r="C42" s="571" t="s">
        <v>568</v>
      </c>
      <c r="D42" s="556"/>
    </row>
    <row r="43" spans="1:4" ht="15.75" customHeight="1">
      <c r="A43" s="554" t="s">
        <v>569</v>
      </c>
      <c r="B43" s="550">
        <f>-B9</f>
        <v>0</v>
      </c>
      <c r="C43" s="571" t="s">
        <v>570</v>
      </c>
      <c r="D43" s="556">
        <f>'5_sz_ melléklet'!B24</f>
        <v>186114</v>
      </c>
    </row>
    <row r="44" spans="1:4" ht="15" customHeight="1">
      <c r="A44" s="554" t="s">
        <v>571</v>
      </c>
      <c r="B44" s="39">
        <f>-B10</f>
        <v>5285</v>
      </c>
      <c r="C44" s="571" t="s">
        <v>572</v>
      </c>
      <c r="D44" s="556">
        <f>-D12</f>
        <v>0</v>
      </c>
    </row>
    <row r="45" spans="1:4" ht="12.75">
      <c r="A45" s="573" t="s">
        <v>539</v>
      </c>
      <c r="B45" s="550"/>
      <c r="C45" s="571" t="s">
        <v>573</v>
      </c>
      <c r="D45" s="556">
        <f>'1_a_sz_ melléklet'!D26</f>
        <v>0</v>
      </c>
    </row>
    <row r="46" spans="1:4" ht="12.75">
      <c r="A46" s="573" t="s">
        <v>574</v>
      </c>
      <c r="B46" s="550">
        <f>-B8</f>
        <v>0</v>
      </c>
      <c r="C46" s="571"/>
      <c r="D46" s="556"/>
    </row>
    <row r="47" spans="1:4" ht="12.75">
      <c r="A47" s="574" t="s">
        <v>575</v>
      </c>
      <c r="B47" s="575">
        <f>B35+B36+B37+B38+B39+B40+B41+B43+B44+B45+B46</f>
        <v>683654</v>
      </c>
      <c r="C47" s="576" t="s">
        <v>576</v>
      </c>
      <c r="D47" s="563">
        <f>SUM(D35:D41)+D44+D45</f>
        <v>700253</v>
      </c>
    </row>
    <row r="48" spans="1:4" ht="6.75" customHeight="1">
      <c r="A48" s="574"/>
      <c r="B48" s="575"/>
      <c r="C48" s="576"/>
      <c r="D48" s="563"/>
    </row>
    <row r="49" spans="1:4" ht="12.75">
      <c r="A49" s="577" t="s">
        <v>577</v>
      </c>
      <c r="B49" s="578">
        <f>D50-B47</f>
        <v>30327</v>
      </c>
      <c r="C49" s="579" t="s">
        <v>549</v>
      </c>
      <c r="D49" s="580">
        <f>'1_a_sz_ melléklet'!D48</f>
        <v>13728</v>
      </c>
    </row>
    <row r="50" spans="1:4" ht="12.75">
      <c r="A50" s="574" t="s">
        <v>578</v>
      </c>
      <c r="B50" s="575">
        <f>SUM(B47:B49)</f>
        <v>713981</v>
      </c>
      <c r="C50" s="576" t="s">
        <v>579</v>
      </c>
      <c r="D50" s="563">
        <f>SUM(D47:D49)</f>
        <v>713981</v>
      </c>
    </row>
    <row r="51" spans="1:4" ht="4.5" customHeight="1">
      <c r="A51" s="581"/>
      <c r="B51" s="582"/>
      <c r="C51" s="583"/>
      <c r="D51" s="584"/>
    </row>
    <row r="52" spans="1:4" ht="12.75">
      <c r="A52" s="585" t="s">
        <v>580</v>
      </c>
      <c r="B52" s="586">
        <f>B22+B47</f>
        <v>4363104.137</v>
      </c>
      <c r="C52" s="587" t="s">
        <v>581</v>
      </c>
      <c r="D52" s="588">
        <f>D22+D47</f>
        <v>4587481</v>
      </c>
    </row>
    <row r="53" spans="1:4" ht="12.75">
      <c r="A53" s="589" t="s">
        <v>548</v>
      </c>
      <c r="B53" s="590">
        <f>B49+B25</f>
        <v>238104.8629999999</v>
      </c>
      <c r="C53" s="591" t="s">
        <v>582</v>
      </c>
      <c r="D53" s="592">
        <f>D25+D49</f>
        <v>13728</v>
      </c>
    </row>
    <row r="54" spans="1:4" ht="12.75">
      <c r="A54" s="593" t="s">
        <v>583</v>
      </c>
      <c r="B54" s="567">
        <f>SUM(B52:B53)</f>
        <v>4601209</v>
      </c>
      <c r="C54" s="566" t="s">
        <v>584</v>
      </c>
      <c r="D54" s="594">
        <f>SUM(D52:D53)</f>
        <v>4601209</v>
      </c>
    </row>
  </sheetData>
  <sheetProtection/>
  <mergeCells count="9">
    <mergeCell ref="C32:D32"/>
    <mergeCell ref="A33:B33"/>
    <mergeCell ref="C33:D33"/>
    <mergeCell ref="C1:D1"/>
    <mergeCell ref="A2:D2"/>
    <mergeCell ref="C4:D4"/>
    <mergeCell ref="A5:B5"/>
    <mergeCell ref="C5:D5"/>
    <mergeCell ref="A30:D30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1">
      <selection activeCell="A51" sqref="A1:D51"/>
    </sheetView>
  </sheetViews>
  <sheetFormatPr defaultColWidth="9.140625" defaultRowHeight="12.75"/>
  <cols>
    <col min="1" max="1" width="35.8515625" style="0" customWidth="1"/>
    <col min="2" max="2" width="15.00390625" style="0" customWidth="1"/>
    <col min="3" max="3" width="15.57421875" style="0" customWidth="1"/>
    <col min="4" max="4" width="17.140625" style="0" customWidth="1"/>
  </cols>
  <sheetData>
    <row r="1" ht="14.25">
      <c r="D1" s="26" t="s">
        <v>31</v>
      </c>
    </row>
    <row r="2" spans="1:4" ht="15.75">
      <c r="A2" s="1014" t="s">
        <v>32</v>
      </c>
      <c r="B2" s="1014"/>
      <c r="C2" s="1014"/>
      <c r="D2" s="1014"/>
    </row>
    <row r="3" spans="1:4" ht="6.75" customHeight="1">
      <c r="A3" s="27"/>
      <c r="B3" s="28"/>
      <c r="C3" s="28"/>
      <c r="D3" s="28"/>
    </row>
    <row r="4" spans="1:4" ht="15.75">
      <c r="A4" s="29"/>
      <c r="B4" s="30"/>
      <c r="D4" s="31" t="s">
        <v>33</v>
      </c>
    </row>
    <row r="5" spans="1:4" ht="15.75">
      <c r="A5" s="32" t="s">
        <v>34</v>
      </c>
      <c r="B5" s="33" t="s">
        <v>35</v>
      </c>
      <c r="C5" s="33" t="s">
        <v>36</v>
      </c>
      <c r="D5" s="33" t="s">
        <v>37</v>
      </c>
    </row>
    <row r="6" spans="1:4" ht="15.75">
      <c r="A6" s="34" t="s">
        <v>38</v>
      </c>
      <c r="B6" s="35" t="s">
        <v>39</v>
      </c>
      <c r="C6" s="35" t="s">
        <v>40</v>
      </c>
      <c r="D6" s="35" t="s">
        <v>41</v>
      </c>
    </row>
    <row r="7" spans="1:4" ht="12.75">
      <c r="A7" s="33" t="s">
        <v>42</v>
      </c>
      <c r="B7" s="36"/>
      <c r="C7" s="37"/>
      <c r="D7" s="36"/>
    </row>
    <row r="8" spans="1:4" ht="12.75">
      <c r="A8" s="38" t="s">
        <v>43</v>
      </c>
      <c r="B8" s="39">
        <f>1_b_sz_melléklet!D8</f>
        <v>384521</v>
      </c>
      <c r="C8" s="40">
        <f>1_d_sz_melléklet!F325</f>
        <v>1452958</v>
      </c>
      <c r="D8" s="39">
        <f>B8+C8</f>
        <v>1837479</v>
      </c>
    </row>
    <row r="9" spans="1:4" ht="12.75">
      <c r="A9" s="19" t="s">
        <v>44</v>
      </c>
      <c r="B9" s="39">
        <f>1_b_sz_melléklet!D9</f>
        <v>114923</v>
      </c>
      <c r="C9" s="40">
        <f>1_d_sz_melléklet!F326</f>
        <v>469931</v>
      </c>
      <c r="D9" s="39">
        <f aca="true" t="shared" si="0" ref="D9:D14">B9+C9</f>
        <v>584854</v>
      </c>
    </row>
    <row r="10" spans="1:4" ht="12.75">
      <c r="A10" s="19" t="s">
        <v>45</v>
      </c>
      <c r="B10" s="39">
        <f>1_b_sz_melléklet!D10</f>
        <v>160866</v>
      </c>
      <c r="C10" s="40">
        <f>1_d_sz_melléklet!F327</f>
        <v>878943</v>
      </c>
      <c r="D10" s="39">
        <f t="shared" si="0"/>
        <v>1039809</v>
      </c>
    </row>
    <row r="11" spans="1:4" ht="12.75">
      <c r="A11" s="19" t="s">
        <v>46</v>
      </c>
      <c r="B11" s="39">
        <f>1_b_sz_melléklet!D11</f>
        <v>0</v>
      </c>
      <c r="C11" s="40">
        <f>1_d_sz_melléklet!D328</f>
        <v>-120152</v>
      </c>
      <c r="D11" s="39">
        <f t="shared" si="0"/>
        <v>-120152</v>
      </c>
    </row>
    <row r="12" spans="1:4" ht="12.75">
      <c r="A12" s="19" t="s">
        <v>47</v>
      </c>
      <c r="B12" s="39">
        <f>1_b_sz_melléklet!D12</f>
        <v>0</v>
      </c>
      <c r="C12" s="40">
        <f>1_d_sz_melléklet!F329</f>
        <v>358</v>
      </c>
      <c r="D12" s="39">
        <f t="shared" si="0"/>
        <v>358</v>
      </c>
    </row>
    <row r="13" spans="1:4" ht="12.75">
      <c r="A13" s="19" t="s">
        <v>48</v>
      </c>
      <c r="B13" s="39">
        <f>1_b_sz_melléklet!D13</f>
        <v>0</v>
      </c>
      <c r="C13" s="40">
        <f>1_d_sz_melléklet!F330</f>
        <v>258002</v>
      </c>
      <c r="D13" s="39">
        <f t="shared" si="0"/>
        <v>258002</v>
      </c>
    </row>
    <row r="14" spans="1:4" ht="12.75">
      <c r="A14" s="41" t="s">
        <v>49</v>
      </c>
      <c r="B14" s="39">
        <f>1_b_sz_melléklet!D14</f>
        <v>0</v>
      </c>
      <c r="C14" s="42">
        <f>1_d_sz_melléklet!F331</f>
        <v>258002</v>
      </c>
      <c r="D14" s="39">
        <f t="shared" si="0"/>
        <v>258002</v>
      </c>
    </row>
    <row r="15" spans="1:4" ht="12.75">
      <c r="A15" s="43" t="s">
        <v>50</v>
      </c>
      <c r="B15" s="16">
        <f>SUM(B8:B13)</f>
        <v>660310</v>
      </c>
      <c r="C15" s="16">
        <f>1_d_sz_melléklet!F332</f>
        <v>2940040</v>
      </c>
      <c r="D15" s="16">
        <f>C15+B15</f>
        <v>3600350</v>
      </c>
    </row>
    <row r="16" spans="1:4" ht="12.75">
      <c r="A16" s="44"/>
      <c r="B16" s="45"/>
      <c r="C16" s="46"/>
      <c r="D16" s="45"/>
    </row>
    <row r="17" spans="1:4" ht="12.75">
      <c r="A17" s="47" t="s">
        <v>51</v>
      </c>
      <c r="B17" s="48"/>
      <c r="C17" s="49"/>
      <c r="D17" s="19"/>
    </row>
    <row r="18" spans="1:4" ht="12.75">
      <c r="A18" s="19" t="s">
        <v>52</v>
      </c>
      <c r="B18" s="48">
        <f>1_b_sz_melléklet!D19</f>
        <v>2240</v>
      </c>
      <c r="C18" s="40">
        <f>1_d_sz_melléklet!F335</f>
        <v>254312</v>
      </c>
      <c r="D18" s="39">
        <f>B18+C18</f>
        <v>256552</v>
      </c>
    </row>
    <row r="19" spans="1:4" ht="12.75">
      <c r="A19" s="19" t="s">
        <v>53</v>
      </c>
      <c r="B19" s="48">
        <f>1_b_sz_melléklet!D20</f>
        <v>9026</v>
      </c>
      <c r="C19" s="40">
        <f>1_d_sz_melléklet!F336</f>
        <v>51633</v>
      </c>
      <c r="D19" s="39">
        <f>B19+C19</f>
        <v>60659</v>
      </c>
    </row>
    <row r="20" spans="1:4" ht="12.75">
      <c r="A20" s="19" t="s">
        <v>54</v>
      </c>
      <c r="B20" s="48">
        <f>1_b_sz_melléklet!D21</f>
        <v>0</v>
      </c>
      <c r="C20" s="40">
        <f>1_d_sz_melléklet!F337</f>
        <v>1500</v>
      </c>
      <c r="D20" s="39">
        <f>B20+C20</f>
        <v>1500</v>
      </c>
    </row>
    <row r="21" spans="1:4" ht="12.75">
      <c r="A21" s="19" t="s">
        <v>55</v>
      </c>
      <c r="B21" s="48">
        <f>1_b_sz_melléklet!D22</f>
        <v>0</v>
      </c>
      <c r="C21" s="40">
        <f>1_d_sz_melléklet!F338</f>
        <v>120152</v>
      </c>
      <c r="D21" s="39">
        <f>B21+C21</f>
        <v>120152</v>
      </c>
    </row>
    <row r="22" spans="1:4" ht="12.75">
      <c r="A22" s="43" t="s">
        <v>56</v>
      </c>
      <c r="B22" s="16">
        <f>SUM(B18:B21)</f>
        <v>11266</v>
      </c>
      <c r="C22" s="16">
        <f>1_d_sz_melléklet!F340</f>
        <v>427597</v>
      </c>
      <c r="D22" s="16">
        <f>B22+C22</f>
        <v>438863</v>
      </c>
    </row>
    <row r="23" spans="1:4" ht="12.75">
      <c r="A23" s="50"/>
      <c r="B23" s="51"/>
      <c r="C23" s="52"/>
      <c r="D23" s="53"/>
    </row>
    <row r="24" spans="1:4" ht="12.75">
      <c r="A24" s="50" t="s">
        <v>57</v>
      </c>
      <c r="B24" s="51"/>
      <c r="C24" s="48"/>
      <c r="D24" s="53"/>
    </row>
    <row r="25" spans="1:4" ht="12.75">
      <c r="A25" s="54" t="s">
        <v>58</v>
      </c>
      <c r="B25" s="55">
        <f>1_b_sz_melléklet!D26</f>
        <v>0</v>
      </c>
      <c r="C25" s="39">
        <f>1_d_sz_melléklet!F343</f>
        <v>36940</v>
      </c>
      <c r="D25" s="56">
        <f>B25+C25</f>
        <v>36940</v>
      </c>
    </row>
    <row r="26" spans="1:4" ht="12.75">
      <c r="A26" s="57" t="s">
        <v>59</v>
      </c>
      <c r="B26" s="55">
        <f>1_b_sz_melléklet!D27</f>
        <v>0</v>
      </c>
      <c r="C26" s="58">
        <f>1_d_sz_melléklet!F344</f>
        <v>0</v>
      </c>
      <c r="D26" s="59">
        <f>B26+C26</f>
        <v>0</v>
      </c>
    </row>
    <row r="27" spans="1:4" ht="12.75">
      <c r="A27" s="43" t="s">
        <v>60</v>
      </c>
      <c r="B27" s="60">
        <f>SUM(B25:B26)</f>
        <v>0</v>
      </c>
      <c r="C27" s="16">
        <f>SUM(C25:C26)</f>
        <v>36940</v>
      </c>
      <c r="D27" s="61">
        <f>B27+C27</f>
        <v>36940</v>
      </c>
    </row>
    <row r="28" spans="1:4" ht="12.75">
      <c r="A28" s="50"/>
      <c r="B28" s="51"/>
      <c r="C28" s="52"/>
      <c r="D28" s="53"/>
    </row>
    <row r="29" spans="1:4" ht="12.75">
      <c r="A29" s="62" t="s">
        <v>61</v>
      </c>
      <c r="B29" s="51"/>
      <c r="C29" s="48"/>
      <c r="D29" s="53"/>
    </row>
    <row r="30" spans="1:4" ht="12.75">
      <c r="A30" s="54" t="s">
        <v>58</v>
      </c>
      <c r="B30" s="55">
        <f>1_b_sz_melléklet!D31</f>
        <v>0</v>
      </c>
      <c r="C30" s="39">
        <f>1_d_sz_melléklet!F348</f>
        <v>169624</v>
      </c>
      <c r="D30" s="56">
        <f>B30+C30</f>
        <v>169624</v>
      </c>
    </row>
    <row r="31" spans="1:4" ht="12.75">
      <c r="A31" s="57" t="s">
        <v>59</v>
      </c>
      <c r="B31" s="55">
        <f>1_b_sz_melléklet!D32</f>
        <v>0</v>
      </c>
      <c r="C31" s="63">
        <f>1_d_sz_melléklet!F349</f>
        <v>70276</v>
      </c>
      <c r="D31" s="56">
        <f>B31+C31</f>
        <v>70276</v>
      </c>
    </row>
    <row r="32" spans="1:4" ht="12.75">
      <c r="A32" s="43" t="s">
        <v>62</v>
      </c>
      <c r="B32" s="16">
        <f>SUM(B30:B31)</f>
        <v>0</v>
      </c>
      <c r="C32" s="16">
        <f>1_d_sz_melléklet!F350</f>
        <v>239900</v>
      </c>
      <c r="D32" s="16">
        <f>B32+C32</f>
        <v>239900</v>
      </c>
    </row>
    <row r="33" spans="1:4" ht="12.75">
      <c r="A33" s="50"/>
      <c r="B33" s="64"/>
      <c r="C33" s="49"/>
      <c r="D33" s="64"/>
    </row>
    <row r="34" spans="1:4" ht="12.75">
      <c r="A34" s="47" t="s">
        <v>63</v>
      </c>
      <c r="B34" s="48"/>
      <c r="C34" s="40"/>
      <c r="D34" s="48"/>
    </row>
    <row r="35" spans="1:4" ht="12.75">
      <c r="A35" s="19" t="s">
        <v>64</v>
      </c>
      <c r="B35" s="48">
        <f>1_b_sz_melléklet!D36</f>
        <v>0</v>
      </c>
      <c r="C35" s="40">
        <f>1_d_sz_melléklet!F352</f>
        <v>1000</v>
      </c>
      <c r="D35" s="48">
        <f>B35+C35</f>
        <v>1000</v>
      </c>
    </row>
    <row r="36" spans="1:4" ht="12.75">
      <c r="A36" s="65" t="s">
        <v>65</v>
      </c>
      <c r="B36" s="48">
        <f>1_b_sz_melléklet!D37</f>
        <v>0</v>
      </c>
      <c r="C36" s="42">
        <f>1_d_sz_melléklet!F353</f>
        <v>5000</v>
      </c>
      <c r="D36" s="48">
        <f>B36+C36</f>
        <v>5000</v>
      </c>
    </row>
    <row r="37" spans="1:4" ht="12.75">
      <c r="A37" s="43" t="s">
        <v>66</v>
      </c>
      <c r="B37" s="16">
        <f>SUM(B35:B36)</f>
        <v>0</v>
      </c>
      <c r="C37" s="16">
        <f>SUM(C35:C36)</f>
        <v>6000</v>
      </c>
      <c r="D37" s="16">
        <f>B37+C37</f>
        <v>6000</v>
      </c>
    </row>
    <row r="38" spans="1:4" ht="12.75">
      <c r="A38" s="66"/>
      <c r="B38" s="52"/>
      <c r="C38" s="67"/>
      <c r="D38" s="52"/>
    </row>
    <row r="39" spans="1:4" ht="12.75">
      <c r="A39" s="68" t="s">
        <v>67</v>
      </c>
      <c r="B39" s="69"/>
      <c r="C39" s="49"/>
      <c r="D39" s="69"/>
    </row>
    <row r="40" spans="1:4" ht="12.75">
      <c r="A40" s="70" t="s">
        <v>68</v>
      </c>
      <c r="B40" s="48">
        <f>1_b_sz_melléklet!D41</f>
        <v>0</v>
      </c>
      <c r="C40" s="40">
        <f>1_d_sz_melléklet!F356</f>
        <v>8314</v>
      </c>
      <c r="D40" s="48">
        <f>C40+B40</f>
        <v>8314</v>
      </c>
    </row>
    <row r="41" spans="1:4" ht="12.75">
      <c r="A41" s="71" t="s">
        <v>69</v>
      </c>
      <c r="B41" s="48">
        <f>1_b_sz_melléklet!D42</f>
        <v>0</v>
      </c>
      <c r="C41" s="42">
        <f>1_d_sz_melléklet!F357</f>
        <v>257114</v>
      </c>
      <c r="D41" s="48">
        <f>C41+B41</f>
        <v>257114</v>
      </c>
    </row>
    <row r="42" spans="1:4" ht="12.75">
      <c r="A42" s="43" t="s">
        <v>70</v>
      </c>
      <c r="B42" s="16">
        <f>SUM(B40:B41)</f>
        <v>0</v>
      </c>
      <c r="C42" s="16">
        <f>1_d_sz_melléklet!F358</f>
        <v>265428</v>
      </c>
      <c r="D42" s="16">
        <f>C42+B42</f>
        <v>265428</v>
      </c>
    </row>
    <row r="43" spans="1:4" ht="12.75">
      <c r="A43" s="50"/>
      <c r="B43" s="64"/>
      <c r="C43" s="72"/>
      <c r="D43" s="64"/>
    </row>
    <row r="44" spans="1:4" ht="19.5" customHeight="1">
      <c r="A44" s="73" t="s">
        <v>71</v>
      </c>
      <c r="B44" s="74">
        <f>B42+B37+B32+B27+B22+B15</f>
        <v>671576</v>
      </c>
      <c r="C44" s="74">
        <f>C42+C37+C32+C27+C22+C15</f>
        <v>3915905</v>
      </c>
      <c r="D44" s="74">
        <f>D42+D37+D32+D27+D22+D15</f>
        <v>4587481</v>
      </c>
    </row>
    <row r="45" spans="1:4" ht="12.75">
      <c r="A45" s="75"/>
      <c r="B45" s="76"/>
      <c r="C45" s="49"/>
      <c r="D45" s="77"/>
    </row>
    <row r="46" spans="1:4" ht="12.75">
      <c r="A46" s="35" t="s">
        <v>72</v>
      </c>
      <c r="B46" s="78"/>
      <c r="D46" s="78"/>
    </row>
    <row r="47" spans="1:4" s="81" customFormat="1" ht="12.75">
      <c r="A47" s="79" t="s">
        <v>73</v>
      </c>
      <c r="B47" s="80">
        <f>1_b_sz_melléklet!D48</f>
        <v>0</v>
      </c>
      <c r="C47" s="69">
        <f>1_d_sz_melléklet!F363</f>
        <v>0</v>
      </c>
      <c r="D47" s="80">
        <f>SUM(B47:C47)</f>
        <v>0</v>
      </c>
    </row>
    <row r="48" spans="1:4" s="81" customFormat="1" ht="12.75">
      <c r="A48" s="57" t="s">
        <v>74</v>
      </c>
      <c r="B48" s="80">
        <f>1_b_sz_melléklet!D49</f>
        <v>0</v>
      </c>
      <c r="C48" s="64">
        <f>1_d_sz_melléklet!F364</f>
        <v>13728</v>
      </c>
      <c r="D48" s="82">
        <f>SUM(B48:C48)</f>
        <v>13728</v>
      </c>
    </row>
    <row r="49" spans="1:4" ht="12.75">
      <c r="A49" s="43" t="s">
        <v>75</v>
      </c>
      <c r="B49" s="16">
        <f>SUM(B47:B48)</f>
        <v>0</v>
      </c>
      <c r="C49" s="16">
        <f>1_d_sz_melléklet!F365</f>
        <v>13728</v>
      </c>
      <c r="D49" s="16">
        <f>SUM(D47:D48)</f>
        <v>13728</v>
      </c>
    </row>
    <row r="50" spans="1:4" ht="12.75">
      <c r="A50" s="65"/>
      <c r="B50" s="64"/>
      <c r="C50" s="72"/>
      <c r="D50" s="48"/>
    </row>
    <row r="51" spans="1:4" ht="24.75" customHeight="1">
      <c r="A51" s="73" t="s">
        <v>76</v>
      </c>
      <c r="B51" s="74">
        <f>B49+B44</f>
        <v>671576</v>
      </c>
      <c r="C51" s="16">
        <f>1_d_sz_melléklet!F367</f>
        <v>3929633</v>
      </c>
      <c r="D51" s="74">
        <f>D49+D44</f>
        <v>4601209</v>
      </c>
    </row>
  </sheetData>
  <sheetProtection/>
  <mergeCells count="1">
    <mergeCell ref="A2:D2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48.7109375" style="0" customWidth="1"/>
    <col min="2" max="2" width="13.140625" style="0" customWidth="1"/>
    <col min="3" max="3" width="12.421875" style="0" customWidth="1"/>
    <col min="4" max="4" width="11.8515625" style="0" customWidth="1"/>
  </cols>
  <sheetData>
    <row r="1" spans="1:4" ht="12.75">
      <c r="A1" s="1059" t="s">
        <v>585</v>
      </c>
      <c r="B1" s="1059"/>
      <c r="C1" s="1059"/>
      <c r="D1" s="1059"/>
    </row>
    <row r="2" spans="1:4" s="81" customFormat="1" ht="12.75">
      <c r="A2" s="1036" t="s">
        <v>586</v>
      </c>
      <c r="B2" s="1036"/>
      <c r="C2" s="1036"/>
      <c r="D2" s="1036"/>
    </row>
    <row r="3" ht="12.75">
      <c r="D3" s="595" t="s">
        <v>33</v>
      </c>
    </row>
    <row r="4" spans="1:4" s="599" customFormat="1" ht="15.75" customHeight="1">
      <c r="A4" s="596" t="s">
        <v>587</v>
      </c>
      <c r="B4" s="597" t="s">
        <v>2</v>
      </c>
      <c r="C4" s="598" t="s">
        <v>588</v>
      </c>
      <c r="D4" s="597" t="s">
        <v>589</v>
      </c>
    </row>
    <row r="5" spans="1:4" s="599" customFormat="1" ht="12.75">
      <c r="A5" s="600" t="s">
        <v>590</v>
      </c>
      <c r="B5" s="601"/>
      <c r="C5" s="602"/>
      <c r="D5" s="601"/>
    </row>
    <row r="6" spans="1:4" ht="12.75">
      <c r="A6" s="603" t="s">
        <v>591</v>
      </c>
      <c r="B6" s="604">
        <f>'2_sz_ melléklet'!D7-'2_a_d_sz_ melléklet'!D10</f>
        <v>234992</v>
      </c>
      <c r="C6" s="604">
        <v>328185</v>
      </c>
      <c r="D6" s="605">
        <v>317600</v>
      </c>
    </row>
    <row r="7" spans="1:4" ht="12.75">
      <c r="A7" s="606" t="s">
        <v>592</v>
      </c>
      <c r="B7" s="605">
        <f>'2_sz_ melléklet'!D8-'2_sz_ melléklet'!D10+'2_a_d_sz_ melléklet'!B61</f>
        <v>783564</v>
      </c>
      <c r="C7" s="605">
        <v>485000</v>
      </c>
      <c r="D7" s="605">
        <v>473200</v>
      </c>
    </row>
    <row r="8" spans="1:4" ht="12.75">
      <c r="A8" s="606" t="s">
        <v>593</v>
      </c>
      <c r="B8" s="605">
        <f>'2_sz_ melléklet'!D14+'2_a_d_sz_ melléklet'!B58+'2_a_d_sz_ melléklet'!B59</f>
        <v>2239372.137</v>
      </c>
      <c r="C8" s="605">
        <v>2410062</v>
      </c>
      <c r="D8" s="605">
        <v>2415600</v>
      </c>
    </row>
    <row r="9" spans="1:4" ht="12.75">
      <c r="A9" s="606" t="s">
        <v>594</v>
      </c>
      <c r="B9" s="605">
        <f>'2_a_d_sz_ melléklet'!D10</f>
        <v>1754</v>
      </c>
      <c r="C9" s="605">
        <v>2254</v>
      </c>
      <c r="D9" s="605">
        <v>2220</v>
      </c>
    </row>
    <row r="10" spans="1:4" ht="12.75">
      <c r="A10" s="607" t="s">
        <v>595</v>
      </c>
      <c r="B10" s="605">
        <f>'2_sz_ melléklet'!D22</f>
        <v>401079</v>
      </c>
      <c r="C10" s="605">
        <v>420500</v>
      </c>
      <c r="D10" s="605">
        <v>407300</v>
      </c>
    </row>
    <row r="11" spans="1:4" ht="12.75">
      <c r="A11" s="607" t="s">
        <v>596</v>
      </c>
      <c r="B11" s="605">
        <v>0</v>
      </c>
      <c r="C11" s="605">
        <v>0</v>
      </c>
      <c r="D11" s="605">
        <v>0</v>
      </c>
    </row>
    <row r="12" spans="1:4" ht="12.75">
      <c r="A12" s="607" t="s">
        <v>597</v>
      </c>
      <c r="B12" s="605">
        <f>'2_sz_ melléklet'!D35</f>
        <v>0</v>
      </c>
      <c r="C12" s="605">
        <v>500</v>
      </c>
      <c r="D12" s="605">
        <v>500</v>
      </c>
    </row>
    <row r="13" spans="1:4" ht="12.75">
      <c r="A13" s="607" t="s">
        <v>598</v>
      </c>
      <c r="B13" s="605">
        <f>'2_sz_ melléklet'!D44</f>
        <v>207777.8629999999</v>
      </c>
      <c r="C13" s="605">
        <v>418000</v>
      </c>
      <c r="D13" s="605">
        <v>427000</v>
      </c>
    </row>
    <row r="14" spans="1:4" ht="12.75">
      <c r="A14" s="607" t="s">
        <v>599</v>
      </c>
      <c r="B14" s="605">
        <v>0</v>
      </c>
      <c r="C14" s="605">
        <v>0</v>
      </c>
      <c r="D14" s="605">
        <v>0</v>
      </c>
    </row>
    <row r="15" spans="1:4" ht="12.75">
      <c r="A15" s="608" t="s">
        <v>600</v>
      </c>
      <c r="B15" s="609">
        <f>'2_sz_ melléklet'!D40</f>
        <v>76042</v>
      </c>
      <c r="C15" s="609">
        <v>0</v>
      </c>
      <c r="D15" s="609">
        <v>0</v>
      </c>
    </row>
    <row r="16" spans="1:4" s="81" customFormat="1" ht="12.75">
      <c r="A16" s="610" t="s">
        <v>601</v>
      </c>
      <c r="B16" s="611">
        <f>SUM(B6:B15)</f>
        <v>3944581</v>
      </c>
      <c r="C16" s="611">
        <f>SUM(C6:C15)</f>
        <v>4064501</v>
      </c>
      <c r="D16" s="611">
        <f>SUM(D6:D15)</f>
        <v>4043420</v>
      </c>
    </row>
    <row r="17" spans="1:4" ht="12.75">
      <c r="A17" s="612" t="s">
        <v>522</v>
      </c>
      <c r="B17" s="605">
        <f>'1_a_sz_ melléklet'!D8</f>
        <v>1837479</v>
      </c>
      <c r="C17" s="605">
        <v>1820100</v>
      </c>
      <c r="D17" s="605">
        <v>1860100</v>
      </c>
    </row>
    <row r="18" spans="1:4" ht="12.75">
      <c r="A18" s="606" t="s">
        <v>524</v>
      </c>
      <c r="B18" s="605">
        <f>'1_a_sz_ melléklet'!D9</f>
        <v>584854</v>
      </c>
      <c r="C18" s="605">
        <v>582432</v>
      </c>
      <c r="D18" s="605">
        <v>595232</v>
      </c>
    </row>
    <row r="19" spans="1:4" ht="12.75">
      <c r="A19" s="606" t="s">
        <v>602</v>
      </c>
      <c r="B19" s="605">
        <f>'7_sz_ melléklet'!D9+'7_sz_ melléklet'!D11-'7_sz_ melléklet'!D10</f>
        <v>904560</v>
      </c>
      <c r="C19" s="605">
        <v>965800</v>
      </c>
      <c r="D19" s="605">
        <v>983400</v>
      </c>
    </row>
    <row r="20" spans="1:4" ht="12.75">
      <c r="A20" s="606" t="s">
        <v>603</v>
      </c>
      <c r="B20" s="605">
        <f>'7_sz_ melléklet'!D13+'7_sz_ melléklet'!D18</f>
        <v>427626</v>
      </c>
      <c r="C20" s="605">
        <v>377000</v>
      </c>
      <c r="D20" s="605">
        <v>381000</v>
      </c>
    </row>
    <row r="21" spans="1:4" ht="12.75">
      <c r="A21" s="607" t="s">
        <v>604</v>
      </c>
      <c r="B21" s="605">
        <f>'1_a_sz_ melléklet'!D25</f>
        <v>36940</v>
      </c>
      <c r="C21" s="605">
        <v>6000</v>
      </c>
      <c r="D21" s="605">
        <v>6500</v>
      </c>
    </row>
    <row r="22" spans="1:4" ht="12.75">
      <c r="A22" s="607" t="s">
        <v>605</v>
      </c>
      <c r="B22" s="605"/>
      <c r="C22" s="605">
        <v>0</v>
      </c>
      <c r="D22" s="605">
        <v>0</v>
      </c>
    </row>
    <row r="23" spans="1:4" ht="12.75">
      <c r="A23" s="606" t="s">
        <v>606</v>
      </c>
      <c r="B23" s="605">
        <f>'1_a_sz_ melléklet'!D12</f>
        <v>358</v>
      </c>
      <c r="C23" s="605">
        <v>680</v>
      </c>
      <c r="D23" s="605">
        <v>678</v>
      </c>
    </row>
    <row r="24" spans="1:4" ht="12.75">
      <c r="A24" s="607" t="s">
        <v>607</v>
      </c>
      <c r="B24" s="605">
        <f>'1_a_sz_ melléklet'!D35</f>
        <v>1000</v>
      </c>
      <c r="C24" s="605">
        <v>1000</v>
      </c>
      <c r="D24" s="605">
        <v>1000</v>
      </c>
    </row>
    <row r="25" spans="1:4" ht="12.75">
      <c r="A25" s="607" t="s">
        <v>608</v>
      </c>
      <c r="B25" s="613">
        <f>'1_a_sz_ melléklet'!D47</f>
        <v>0</v>
      </c>
      <c r="C25" s="613">
        <v>213352</v>
      </c>
      <c r="D25" s="613">
        <v>150000</v>
      </c>
    </row>
    <row r="26" spans="1:4" ht="12.75">
      <c r="A26" s="607" t="s">
        <v>609</v>
      </c>
      <c r="B26" s="613">
        <f>'7_sz_ melléklet'!D10</f>
        <v>15097</v>
      </c>
      <c r="C26" s="613">
        <v>17000</v>
      </c>
      <c r="D26" s="613">
        <v>15000</v>
      </c>
    </row>
    <row r="27" spans="1:4" ht="12.75">
      <c r="A27" s="607" t="s">
        <v>610</v>
      </c>
      <c r="B27" s="613">
        <v>0</v>
      </c>
      <c r="C27" s="613">
        <v>0</v>
      </c>
      <c r="D27" s="613">
        <v>0</v>
      </c>
    </row>
    <row r="28" spans="1:4" ht="12.75">
      <c r="A28" s="607" t="s">
        <v>543</v>
      </c>
      <c r="B28" s="614">
        <f>'7_sz_ melléklet'!D19</f>
        <v>79314</v>
      </c>
      <c r="C28" s="614">
        <v>40000</v>
      </c>
      <c r="D28" s="614">
        <v>38000</v>
      </c>
    </row>
    <row r="29" spans="1:4" s="81" customFormat="1" ht="12.75">
      <c r="A29" s="610" t="s">
        <v>611</v>
      </c>
      <c r="B29" s="611">
        <f>SUM(B17:B28)</f>
        <v>3887228</v>
      </c>
      <c r="C29" s="611">
        <f>SUM(C17:C28)</f>
        <v>4023364</v>
      </c>
      <c r="D29" s="611">
        <f>SUM(D17:D28)</f>
        <v>4030910</v>
      </c>
    </row>
    <row r="30" spans="1:4" s="81" customFormat="1" ht="12.75">
      <c r="A30" s="600" t="s">
        <v>612</v>
      </c>
      <c r="B30" s="601"/>
      <c r="C30" s="601"/>
      <c r="D30" s="615"/>
    </row>
    <row r="31" spans="1:4" ht="12.75">
      <c r="A31" s="603" t="s">
        <v>613</v>
      </c>
      <c r="B31" s="604">
        <f>'2_sz_ melléklet'!D31</f>
        <v>276000</v>
      </c>
      <c r="C31" s="605">
        <v>125000</v>
      </c>
      <c r="D31" s="605">
        <v>123700</v>
      </c>
    </row>
    <row r="32" spans="1:4" ht="12.75">
      <c r="A32" s="607" t="s">
        <v>614</v>
      </c>
      <c r="B32" s="605">
        <f>'2_sz_ melléklet'!D30</f>
        <v>167000</v>
      </c>
      <c r="C32" s="605">
        <v>145792</v>
      </c>
      <c r="D32" s="605">
        <v>139600</v>
      </c>
    </row>
    <row r="33" spans="1:4" ht="12.75">
      <c r="A33" s="606" t="s">
        <v>615</v>
      </c>
      <c r="B33" s="605">
        <f>'2_sz_ melléklet'!D19</f>
        <v>0</v>
      </c>
      <c r="C33" s="605">
        <v>81700</v>
      </c>
      <c r="D33" s="605">
        <v>79300</v>
      </c>
    </row>
    <row r="34" spans="1:4" ht="12.75">
      <c r="A34" s="606" t="s">
        <v>616</v>
      </c>
      <c r="B34" s="605">
        <f>'2_sz_ melléklet'!D33</f>
        <v>7000</v>
      </c>
      <c r="C34" s="605">
        <v>74700</v>
      </c>
      <c r="D34" s="605">
        <v>74000</v>
      </c>
    </row>
    <row r="35" spans="1:4" ht="12.75">
      <c r="A35" s="616" t="s">
        <v>617</v>
      </c>
      <c r="B35" s="605">
        <f>'2_sz_ melléklet'!D24</f>
        <v>161833</v>
      </c>
      <c r="C35" s="605">
        <v>100900</v>
      </c>
      <c r="D35" s="605">
        <v>98400</v>
      </c>
    </row>
    <row r="36" spans="1:4" ht="12.75">
      <c r="A36" s="607" t="s">
        <v>618</v>
      </c>
      <c r="B36" s="613">
        <v>0</v>
      </c>
      <c r="C36" s="613">
        <v>0</v>
      </c>
      <c r="D36" s="613">
        <v>0</v>
      </c>
    </row>
    <row r="37" spans="1:4" ht="12.75">
      <c r="A37" s="607" t="s">
        <v>619</v>
      </c>
      <c r="B37" s="613">
        <f>'7_sz_ melléklet'!B46</f>
        <v>0</v>
      </c>
      <c r="C37" s="613">
        <v>0</v>
      </c>
      <c r="D37" s="613">
        <v>0</v>
      </c>
    </row>
    <row r="38" spans="1:4" ht="12.75">
      <c r="A38" s="607" t="s">
        <v>620</v>
      </c>
      <c r="B38" s="613">
        <v>0</v>
      </c>
      <c r="C38" s="613">
        <v>0</v>
      </c>
      <c r="D38" s="613">
        <v>0</v>
      </c>
    </row>
    <row r="39" spans="1:4" ht="12.75">
      <c r="A39" s="607" t="s">
        <v>621</v>
      </c>
      <c r="B39" s="613">
        <f>'2_sz_ melléklet'!D36</f>
        <v>4500</v>
      </c>
      <c r="C39" s="613">
        <v>4500</v>
      </c>
      <c r="D39" s="613">
        <v>4000</v>
      </c>
    </row>
    <row r="40" spans="1:4" ht="12.75">
      <c r="A40" s="607" t="s">
        <v>622</v>
      </c>
      <c r="B40" s="613">
        <f>'2_sz_ melléklet'!D45</f>
        <v>30327</v>
      </c>
      <c r="C40" s="613">
        <v>21000</v>
      </c>
      <c r="D40" s="613">
        <v>20000</v>
      </c>
    </row>
    <row r="41" spans="1:4" ht="12.75">
      <c r="A41" s="606" t="s">
        <v>623</v>
      </c>
      <c r="B41" s="605">
        <f>'2_sz_ melléklet'!D37</f>
        <v>0</v>
      </c>
      <c r="C41" s="605">
        <v>0</v>
      </c>
      <c r="D41" s="605">
        <v>0</v>
      </c>
    </row>
    <row r="42" spans="1:4" ht="12.75">
      <c r="A42" s="608" t="s">
        <v>624</v>
      </c>
      <c r="B42" s="609">
        <f>'2_sz_ melléklet'!D41</f>
        <v>9368</v>
      </c>
      <c r="C42" s="614">
        <v>0</v>
      </c>
      <c r="D42" s="614">
        <v>0</v>
      </c>
    </row>
    <row r="43" spans="1:4" s="81" customFormat="1" ht="12.75">
      <c r="A43" s="610" t="s">
        <v>625</v>
      </c>
      <c r="B43" s="611">
        <f>SUM(B31:B42)</f>
        <v>656028</v>
      </c>
      <c r="C43" s="611">
        <f>SUM(C31:C42)</f>
        <v>553592</v>
      </c>
      <c r="D43" s="611">
        <f>SUM(D31:D42)</f>
        <v>539000</v>
      </c>
    </row>
    <row r="44" spans="1:4" ht="12.75">
      <c r="A44" s="603" t="s">
        <v>626</v>
      </c>
      <c r="B44" s="605">
        <f>'7_sz_ melléklet'!D35</f>
        <v>256552</v>
      </c>
      <c r="C44" s="605">
        <v>307800</v>
      </c>
      <c r="D44" s="605">
        <v>293973</v>
      </c>
    </row>
    <row r="45" spans="1:4" ht="12.75">
      <c r="A45" s="606" t="s">
        <v>627</v>
      </c>
      <c r="B45" s="605">
        <f>'7_sz_ melléklet'!D36</f>
        <v>60659</v>
      </c>
      <c r="C45" s="605">
        <v>81200</v>
      </c>
      <c r="D45" s="605">
        <v>80700</v>
      </c>
    </row>
    <row r="46" spans="1:4" ht="12.75">
      <c r="A46" s="606" t="s">
        <v>628</v>
      </c>
      <c r="B46" s="605">
        <f>'7_sz_ melléklet'!D44</f>
        <v>0</v>
      </c>
      <c r="C46" s="605">
        <v>0</v>
      </c>
      <c r="D46" s="605">
        <v>0</v>
      </c>
    </row>
    <row r="47" spans="1:4" ht="12.75">
      <c r="A47" s="606" t="s">
        <v>629</v>
      </c>
      <c r="B47" s="605">
        <f>'7_sz_ melléklet'!D38</f>
        <v>70276</v>
      </c>
      <c r="C47" s="605">
        <v>68500</v>
      </c>
      <c r="D47" s="605">
        <v>68500</v>
      </c>
    </row>
    <row r="48" spans="1:4" ht="12.75">
      <c r="A48" s="606" t="s">
        <v>630</v>
      </c>
      <c r="B48" s="605">
        <f>'7_sz_ melléklet'!D45</f>
        <v>0</v>
      </c>
      <c r="C48" s="605">
        <v>0</v>
      </c>
      <c r="D48" s="605">
        <v>0</v>
      </c>
    </row>
    <row r="49" spans="1:4" ht="12.75">
      <c r="A49" s="607" t="s">
        <v>631</v>
      </c>
      <c r="B49" s="605"/>
      <c r="C49" s="605">
        <v>0</v>
      </c>
      <c r="D49" s="605">
        <v>0</v>
      </c>
    </row>
    <row r="50" spans="1:4" ht="12.75">
      <c r="A50" s="606" t="s">
        <v>632</v>
      </c>
      <c r="B50" s="605">
        <f>'7_sz_ melléklet'!D39</f>
        <v>5000</v>
      </c>
      <c r="C50" s="605">
        <v>52278</v>
      </c>
      <c r="D50" s="605">
        <v>52278</v>
      </c>
    </row>
    <row r="51" spans="1:4" ht="12.75">
      <c r="A51" s="606" t="s">
        <v>633</v>
      </c>
      <c r="B51" s="605">
        <f>'7_sz_ melléklet'!D49</f>
        <v>13728</v>
      </c>
      <c r="C51" s="605">
        <v>32104</v>
      </c>
      <c r="D51" s="605">
        <v>11759</v>
      </c>
    </row>
    <row r="52" spans="1:4" ht="12.75">
      <c r="A52" s="606" t="s">
        <v>634</v>
      </c>
      <c r="B52" s="605">
        <f>'7_sz_ melléklet'!D40</f>
        <v>120152</v>
      </c>
      <c r="C52" s="605">
        <v>22847</v>
      </c>
      <c r="D52" s="605">
        <v>19300</v>
      </c>
    </row>
    <row r="53" spans="1:4" ht="12.75">
      <c r="A53" s="606" t="s">
        <v>635</v>
      </c>
      <c r="B53" s="605">
        <f>'7_sz_ melléklet'!D37</f>
        <v>1500</v>
      </c>
      <c r="C53" s="605">
        <v>0</v>
      </c>
      <c r="D53" s="605">
        <v>0</v>
      </c>
    </row>
    <row r="54" spans="1:4" ht="12.75">
      <c r="A54" s="617" t="s">
        <v>636</v>
      </c>
      <c r="B54" s="605">
        <f>'7_sz_ melléklet'!D41</f>
        <v>186114</v>
      </c>
      <c r="C54" s="605">
        <v>30000</v>
      </c>
      <c r="D54" s="605">
        <v>25000</v>
      </c>
    </row>
    <row r="55" spans="1:4" s="81" customFormat="1" ht="12.75">
      <c r="A55" s="610" t="s">
        <v>637</v>
      </c>
      <c r="B55" s="611">
        <f>SUM(B44:B54)</f>
        <v>713981</v>
      </c>
      <c r="C55" s="611">
        <f>SUM(C44:C54)</f>
        <v>594729</v>
      </c>
      <c r="D55" s="611">
        <f>SUM(D44:D54)</f>
        <v>551510</v>
      </c>
    </row>
    <row r="56" spans="1:4" s="81" customFormat="1" ht="12.75">
      <c r="A56" s="610" t="s">
        <v>638</v>
      </c>
      <c r="B56" s="611">
        <f>B43+B16</f>
        <v>4600609</v>
      </c>
      <c r="C56" s="611">
        <f>C43+C16</f>
        <v>4618093</v>
      </c>
      <c r="D56" s="611">
        <f>D43+D16</f>
        <v>4582420</v>
      </c>
    </row>
    <row r="57" spans="1:4" s="81" customFormat="1" ht="12.75">
      <c r="A57" s="618" t="s">
        <v>639</v>
      </c>
      <c r="B57" s="619">
        <f>B55+B29</f>
        <v>4601209</v>
      </c>
      <c r="C57" s="619">
        <f>C55+C29</f>
        <v>4618093</v>
      </c>
      <c r="D57" s="619">
        <f>D55+D29</f>
        <v>4582420</v>
      </c>
    </row>
  </sheetData>
  <sheetProtection/>
  <mergeCells count="2">
    <mergeCell ref="A1:D1"/>
    <mergeCell ref="A2:D2"/>
  </mergeCells>
  <printOptions/>
  <pageMargins left="0.7875" right="0.7875" top="0.5902777777777778" bottom="0.5902777777777778" header="0.5118055555555556" footer="0.5118055555555556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E44"/>
  <sheetViews>
    <sheetView zoomScalePageLayoutView="0" workbookViewId="0" topLeftCell="A1">
      <selection activeCell="A44" sqref="A44"/>
    </sheetView>
  </sheetViews>
  <sheetFormatPr defaultColWidth="9.140625" defaultRowHeight="12.75"/>
  <cols>
    <col min="4" max="4" width="22.00390625" style="0" customWidth="1"/>
    <col min="5" max="5" width="18.8515625" style="0" customWidth="1"/>
  </cols>
  <sheetData>
    <row r="2" ht="12.75">
      <c r="E2" s="496" t="s">
        <v>640</v>
      </c>
    </row>
    <row r="3" ht="12.75">
      <c r="E3" s="496"/>
    </row>
    <row r="5" ht="15.75">
      <c r="B5" s="29" t="s">
        <v>641</v>
      </c>
    </row>
    <row r="6" spans="2:5" ht="15.75">
      <c r="B6" s="29" t="s">
        <v>642</v>
      </c>
      <c r="C6" s="29"/>
      <c r="D6" s="29"/>
      <c r="E6" s="29"/>
    </row>
    <row r="7" spans="2:5" ht="15.75">
      <c r="B7" s="29"/>
      <c r="C7" s="29"/>
      <c r="D7" s="29"/>
      <c r="E7" s="29"/>
    </row>
    <row r="8" spans="2:5" ht="15.75">
      <c r="B8" s="29"/>
      <c r="C8" s="29"/>
      <c r="D8" s="29" t="s">
        <v>643</v>
      </c>
      <c r="E8" s="29"/>
    </row>
    <row r="9" spans="2:5" ht="15.75">
      <c r="B9" s="29"/>
      <c r="C9" s="29"/>
      <c r="D9" s="29"/>
      <c r="E9" s="29"/>
    </row>
    <row r="10" spans="2:5" ht="15.75">
      <c r="B10" s="29"/>
      <c r="C10" s="29"/>
      <c r="D10" s="29"/>
      <c r="E10" s="29"/>
    </row>
    <row r="12" spans="1:4" ht="15">
      <c r="A12" s="30" t="s">
        <v>644</v>
      </c>
      <c r="B12" s="30"/>
      <c r="C12" s="30"/>
      <c r="D12" s="30"/>
    </row>
    <row r="15" spans="1:5" ht="15">
      <c r="A15" s="30" t="s">
        <v>645</v>
      </c>
      <c r="B15" s="30"/>
      <c r="C15" s="30"/>
      <c r="D15" s="30"/>
      <c r="E15" s="30"/>
    </row>
    <row r="16" spans="1:5" ht="15">
      <c r="A16" s="30" t="s">
        <v>646</v>
      </c>
      <c r="B16" s="30"/>
      <c r="C16" s="30"/>
      <c r="D16" s="30"/>
      <c r="E16" s="30"/>
    </row>
    <row r="17" ht="12.75">
      <c r="A17" s="620" t="s">
        <v>647</v>
      </c>
    </row>
    <row r="18" ht="12.75">
      <c r="A18" s="620"/>
    </row>
    <row r="19" ht="12.75">
      <c r="A19" s="620"/>
    </row>
    <row r="21" spans="1:5" ht="12.75">
      <c r="A21" s="36"/>
      <c r="B21" s="313"/>
      <c r="C21" s="621"/>
      <c r="D21" s="622"/>
      <c r="E21" s="247" t="s">
        <v>648</v>
      </c>
    </row>
    <row r="22" spans="1:5" ht="12.75">
      <c r="A22" s="623" t="s">
        <v>649</v>
      </c>
      <c r="B22" s="1060" t="s">
        <v>650</v>
      </c>
      <c r="C22" s="1060"/>
      <c r="D22" s="1060"/>
      <c r="E22" s="623" t="s">
        <v>651</v>
      </c>
    </row>
    <row r="23" spans="1:5" ht="12.75">
      <c r="A23" s="248"/>
      <c r="B23" s="251"/>
      <c r="C23" s="624"/>
      <c r="D23" s="625"/>
      <c r="E23" s="249" t="s">
        <v>652</v>
      </c>
    </row>
    <row r="24" spans="1:5" ht="12.75">
      <c r="A24" s="36"/>
      <c r="B24" s="37"/>
      <c r="C24" s="37"/>
      <c r="D24" s="37"/>
      <c r="E24" s="247"/>
    </row>
    <row r="25" spans="1:5" ht="12.75">
      <c r="A25" s="626">
        <v>1</v>
      </c>
      <c r="B25" s="627" t="s">
        <v>653</v>
      </c>
      <c r="C25" s="627"/>
      <c r="D25" s="627"/>
      <c r="E25" s="19"/>
    </row>
    <row r="26" spans="1:5" ht="12.75">
      <c r="A26" s="628">
        <v>2</v>
      </c>
      <c r="B26" s="37" t="s">
        <v>654</v>
      </c>
      <c r="C26" s="37"/>
      <c r="D26" s="406"/>
      <c r="E26" s="65"/>
    </row>
    <row r="27" spans="1:5" ht="12.75">
      <c r="A27" s="626"/>
      <c r="B27" s="627" t="s">
        <v>655</v>
      </c>
      <c r="C27" s="627"/>
      <c r="D27" s="629"/>
      <c r="E27" s="19"/>
    </row>
    <row r="28" spans="1:5" ht="12.75">
      <c r="A28" s="628">
        <v>3</v>
      </c>
      <c r="B28" s="37" t="s">
        <v>656</v>
      </c>
      <c r="C28" s="37"/>
      <c r="D28" s="406"/>
      <c r="E28" s="65"/>
    </row>
    <row r="29" spans="1:5" ht="12.75">
      <c r="A29" s="626"/>
      <c r="B29" s="627" t="s">
        <v>657</v>
      </c>
      <c r="C29" s="627"/>
      <c r="D29" s="629"/>
      <c r="E29" s="19"/>
    </row>
    <row r="30" spans="1:5" ht="12.75">
      <c r="A30" s="626">
        <v>4</v>
      </c>
      <c r="B30" s="627" t="s">
        <v>658</v>
      </c>
      <c r="C30" s="627"/>
      <c r="D30" s="629"/>
      <c r="E30" s="19"/>
    </row>
    <row r="31" spans="1:5" ht="12.75">
      <c r="A31" s="628">
        <v>5</v>
      </c>
      <c r="B31" s="37" t="s">
        <v>659</v>
      </c>
      <c r="C31" s="37"/>
      <c r="D31" s="406"/>
      <c r="E31" s="65"/>
    </row>
    <row r="32" spans="1:5" ht="12.75">
      <c r="A32" s="626"/>
      <c r="B32" s="627" t="s">
        <v>660</v>
      </c>
      <c r="C32" s="627"/>
      <c r="D32" s="629"/>
      <c r="E32" s="19"/>
    </row>
    <row r="33" spans="1:5" ht="12.75">
      <c r="A33" s="630">
        <v>6</v>
      </c>
      <c r="B33" s="88" t="s">
        <v>661</v>
      </c>
      <c r="C33" s="345"/>
      <c r="D33" s="353"/>
      <c r="E33" s="8"/>
    </row>
    <row r="34" spans="1:5" ht="12.75">
      <c r="A34" s="631">
        <v>7</v>
      </c>
      <c r="B34" s="624" t="s">
        <v>662</v>
      </c>
      <c r="C34" s="624"/>
      <c r="D34" s="625"/>
      <c r="E34" s="234"/>
    </row>
    <row r="35" spans="2:5" ht="15.75">
      <c r="B35" s="84" t="s">
        <v>185</v>
      </c>
      <c r="C35" s="348"/>
      <c r="D35" s="632"/>
      <c r="E35" s="169"/>
    </row>
    <row r="37" spans="2:5" ht="12.75">
      <c r="B37" s="620" t="s">
        <v>663</v>
      </c>
      <c r="C37" s="620"/>
      <c r="D37" s="620"/>
      <c r="E37" s="620"/>
    </row>
    <row r="38" spans="2:5" ht="12.75">
      <c r="B38" s="620" t="s">
        <v>664</v>
      </c>
      <c r="C38" s="620"/>
      <c r="D38" s="620"/>
      <c r="E38" s="620"/>
    </row>
    <row r="40" ht="12.75">
      <c r="B40" s="81" t="s">
        <v>665</v>
      </c>
    </row>
    <row r="43" ht="12.75">
      <c r="E43" t="s">
        <v>666</v>
      </c>
    </row>
    <row r="44" ht="12.75">
      <c r="E44" t="s">
        <v>667</v>
      </c>
    </row>
  </sheetData>
  <sheetProtection/>
  <mergeCells count="1">
    <mergeCell ref="B22:D22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3:D74"/>
  <sheetViews>
    <sheetView zoomScalePageLayoutView="0" workbookViewId="0" topLeftCell="A52">
      <selection activeCell="B69" sqref="B69"/>
    </sheetView>
  </sheetViews>
  <sheetFormatPr defaultColWidth="9.140625" defaultRowHeight="12.75"/>
  <cols>
    <col min="1" max="1" width="31.28125" style="0" customWidth="1"/>
    <col min="2" max="2" width="15.7109375" style="0" customWidth="1"/>
    <col min="3" max="3" width="15.28125" style="0" customWidth="1"/>
    <col min="4" max="4" width="19.00390625" style="0" customWidth="1"/>
  </cols>
  <sheetData>
    <row r="3" spans="2:3" ht="12.75">
      <c r="B3" s="506"/>
      <c r="C3" s="506" t="s">
        <v>668</v>
      </c>
    </row>
    <row r="4" spans="2:3" ht="12.75">
      <c r="B4" s="506"/>
      <c r="C4" s="506"/>
    </row>
    <row r="6" spans="1:4" ht="18">
      <c r="A6" s="1062" t="s">
        <v>669</v>
      </c>
      <c r="B6" s="1062"/>
      <c r="C6" s="1062"/>
      <c r="D6" s="1062"/>
    </row>
    <row r="7" spans="1:4" ht="18">
      <c r="A7" s="1067" t="s">
        <v>670</v>
      </c>
      <c r="B7" s="1067"/>
      <c r="C7" s="1067"/>
      <c r="D7" s="1067"/>
    </row>
    <row r="10" spans="1:4" ht="18">
      <c r="A10" s="1062" t="s">
        <v>671</v>
      </c>
      <c r="B10" s="1062"/>
      <c r="C10" s="1062"/>
      <c r="D10" s="1062"/>
    </row>
    <row r="11" spans="1:4" ht="18">
      <c r="A11" s="633"/>
      <c r="B11" s="633"/>
      <c r="C11" s="633"/>
      <c r="D11" s="633"/>
    </row>
    <row r="12" spans="1:3" ht="12.75">
      <c r="A12" s="624"/>
      <c r="B12" s="1031" t="s">
        <v>380</v>
      </c>
      <c r="C12" s="1031"/>
    </row>
    <row r="13" spans="1:4" ht="12.75">
      <c r="A13" s="376" t="s">
        <v>5</v>
      </c>
      <c r="B13" s="1063" t="s">
        <v>445</v>
      </c>
      <c r="C13" s="1063"/>
      <c r="D13" s="28"/>
    </row>
    <row r="14" spans="1:4" ht="15">
      <c r="A14" s="634" t="s">
        <v>672</v>
      </c>
      <c r="B14" s="1064">
        <f>571+20</f>
        <v>591</v>
      </c>
      <c r="C14" s="1064"/>
      <c r="D14" s="30"/>
    </row>
    <row r="15" spans="1:4" ht="15">
      <c r="A15" s="419" t="s">
        <v>673</v>
      </c>
      <c r="B15" s="1065">
        <v>571</v>
      </c>
      <c r="C15" s="1065"/>
      <c r="D15" s="30"/>
    </row>
    <row r="16" spans="1:4" ht="15">
      <c r="A16" s="635" t="s">
        <v>674</v>
      </c>
      <c r="B16" s="1066"/>
      <c r="C16" s="1066"/>
      <c r="D16" s="30"/>
    </row>
    <row r="17" spans="1:4" ht="15.75">
      <c r="A17" s="398" t="s">
        <v>675</v>
      </c>
      <c r="B17" s="1061">
        <f>SUM(B14:B16)</f>
        <v>1162</v>
      </c>
      <c r="C17" s="1061"/>
      <c r="D17" s="29"/>
    </row>
    <row r="21" spans="1:4" ht="18">
      <c r="A21" s="1062" t="s">
        <v>676</v>
      </c>
      <c r="B21" s="1062"/>
      <c r="C21" s="1062"/>
      <c r="D21" s="1062"/>
    </row>
    <row r="22" spans="1:4" ht="18">
      <c r="A22" s="633"/>
      <c r="B22" s="633"/>
      <c r="C22" s="633"/>
      <c r="D22" s="633"/>
    </row>
    <row r="23" spans="2:4" ht="12.75">
      <c r="B23" s="397"/>
      <c r="C23" s="397"/>
      <c r="D23" s="397" t="s">
        <v>380</v>
      </c>
    </row>
    <row r="24" spans="1:4" ht="31.5">
      <c r="A24" s="398" t="s">
        <v>486</v>
      </c>
      <c r="B24" s="1011" t="s">
        <v>677</v>
      </c>
      <c r="C24" s="636" t="s">
        <v>678</v>
      </c>
      <c r="D24" s="507" t="s">
        <v>185</v>
      </c>
    </row>
    <row r="25" spans="1:4" ht="23.25" customHeight="1">
      <c r="A25" s="637" t="s">
        <v>679</v>
      </c>
      <c r="B25" s="638">
        <v>20</v>
      </c>
      <c r="C25" s="639"/>
      <c r="D25" s="638">
        <f>C25+B25</f>
        <v>20</v>
      </c>
    </row>
    <row r="26" spans="1:4" ht="15.75">
      <c r="A26" s="640" t="s">
        <v>680</v>
      </c>
      <c r="B26" s="641">
        <v>50</v>
      </c>
      <c r="C26" s="642"/>
      <c r="D26" s="638">
        <f aca="true" t="shared" si="0" ref="D26:D37">C26+B26</f>
        <v>50</v>
      </c>
    </row>
    <row r="27" spans="1:4" ht="15.75">
      <c r="A27" s="643" t="s">
        <v>681</v>
      </c>
      <c r="B27" s="644">
        <v>50</v>
      </c>
      <c r="C27" s="645"/>
      <c r="D27" s="638">
        <f t="shared" si="0"/>
        <v>50</v>
      </c>
    </row>
    <row r="28" spans="1:4" ht="15.75">
      <c r="A28" s="646" t="s">
        <v>682</v>
      </c>
      <c r="B28" s="644"/>
      <c r="C28" s="645">
        <v>100</v>
      </c>
      <c r="D28" s="638">
        <f t="shared" si="0"/>
        <v>100</v>
      </c>
    </row>
    <row r="29" spans="1:4" ht="15.75">
      <c r="A29" s="646" t="s">
        <v>683</v>
      </c>
      <c r="B29" s="644">
        <v>71</v>
      </c>
      <c r="C29" s="645"/>
      <c r="D29" s="638">
        <f t="shared" si="0"/>
        <v>71</v>
      </c>
    </row>
    <row r="30" spans="1:4" ht="15.75">
      <c r="A30" s="647" t="s">
        <v>684</v>
      </c>
      <c r="B30" s="644">
        <v>100</v>
      </c>
      <c r="C30" s="645"/>
      <c r="D30" s="638">
        <f t="shared" si="0"/>
        <v>100</v>
      </c>
    </row>
    <row r="31" spans="1:4" ht="15.75">
      <c r="A31" s="647" t="s">
        <v>685</v>
      </c>
      <c r="B31" s="644">
        <v>250</v>
      </c>
      <c r="C31" s="645">
        <v>100</v>
      </c>
      <c r="D31" s="638">
        <f t="shared" si="0"/>
        <v>350</v>
      </c>
    </row>
    <row r="32" spans="1:4" ht="15.75">
      <c r="A32" s="648" t="s">
        <v>686</v>
      </c>
      <c r="B32" s="644"/>
      <c r="C32" s="645">
        <v>100</v>
      </c>
      <c r="D32" s="638">
        <f t="shared" si="0"/>
        <v>100</v>
      </c>
    </row>
    <row r="33" spans="1:4" ht="25.5">
      <c r="A33" s="649" t="s">
        <v>687</v>
      </c>
      <c r="B33" s="638"/>
      <c r="C33" s="639">
        <v>200</v>
      </c>
      <c r="D33" s="638">
        <f t="shared" si="0"/>
        <v>200</v>
      </c>
    </row>
    <row r="34" spans="1:4" ht="15.75">
      <c r="A34" s="650" t="s">
        <v>688</v>
      </c>
      <c r="B34" s="638">
        <v>50</v>
      </c>
      <c r="C34" s="639"/>
      <c r="D34" s="638">
        <f t="shared" si="0"/>
        <v>50</v>
      </c>
    </row>
    <row r="35" spans="1:4" ht="15.75">
      <c r="A35" s="646" t="s">
        <v>689</v>
      </c>
      <c r="B35" s="644"/>
      <c r="C35" s="645">
        <v>50</v>
      </c>
      <c r="D35" s="644">
        <f t="shared" si="0"/>
        <v>50</v>
      </c>
    </row>
    <row r="36" spans="1:4" ht="15.75">
      <c r="A36" s="651" t="s">
        <v>690</v>
      </c>
      <c r="B36" s="652"/>
      <c r="C36" s="653">
        <v>21</v>
      </c>
      <c r="D36" s="652">
        <f t="shared" si="0"/>
        <v>21</v>
      </c>
    </row>
    <row r="37" spans="1:4" ht="15.75">
      <c r="A37" s="654" t="s">
        <v>691</v>
      </c>
      <c r="B37" s="655">
        <f>SUM(B25:B36)</f>
        <v>591</v>
      </c>
      <c r="C37" s="656">
        <f>SUM(C25:C36)</f>
        <v>571</v>
      </c>
      <c r="D37" s="655">
        <f t="shared" si="0"/>
        <v>1162</v>
      </c>
    </row>
    <row r="39" spans="1:4" ht="31.5">
      <c r="A39" s="503" t="s">
        <v>486</v>
      </c>
      <c r="B39" s="1010" t="s">
        <v>677</v>
      </c>
      <c r="C39" s="657" t="s">
        <v>678</v>
      </c>
      <c r="D39" s="658" t="s">
        <v>185</v>
      </c>
    </row>
    <row r="40" spans="1:4" ht="12.75">
      <c r="A40" s="88" t="s">
        <v>692</v>
      </c>
      <c r="B40" s="88">
        <v>15</v>
      </c>
      <c r="C40" s="8"/>
      <c r="D40" s="353">
        <f>SUM(B40:C40)</f>
        <v>15</v>
      </c>
    </row>
    <row r="41" spans="1:4" ht="12.75">
      <c r="A41" s="88" t="s">
        <v>693</v>
      </c>
      <c r="B41" s="88">
        <v>5</v>
      </c>
      <c r="C41" s="8"/>
      <c r="D41" s="353">
        <f>SUM(B41:C41)</f>
        <v>5</v>
      </c>
    </row>
    <row r="42" spans="1:4" ht="12.75">
      <c r="A42" s="297" t="s">
        <v>694</v>
      </c>
      <c r="B42" s="297">
        <v>571</v>
      </c>
      <c r="C42" s="234">
        <v>571</v>
      </c>
      <c r="D42" s="59">
        <f>SUM(B42:C42)</f>
        <v>1142</v>
      </c>
    </row>
    <row r="43" spans="1:4" s="91" customFormat="1" ht="12.75">
      <c r="A43" s="659" t="s">
        <v>695</v>
      </c>
      <c r="B43" s="659">
        <f>SUM(B40:B42)</f>
        <v>591</v>
      </c>
      <c r="C43" s="15">
        <f>SUM(C40:C42)</f>
        <v>571</v>
      </c>
      <c r="D43" s="61">
        <f>SUM(B43:C43)</f>
        <v>1162</v>
      </c>
    </row>
    <row r="48" spans="2:3" ht="12.75">
      <c r="B48" s="660"/>
      <c r="C48" s="660" t="s">
        <v>696</v>
      </c>
    </row>
    <row r="49" spans="2:3" ht="12.75">
      <c r="B49" s="506"/>
      <c r="C49" s="506"/>
    </row>
    <row r="51" spans="1:4" ht="18">
      <c r="A51" s="1062" t="s">
        <v>697</v>
      </c>
      <c r="B51" s="1062"/>
      <c r="C51" s="1062"/>
      <c r="D51" s="1062"/>
    </row>
    <row r="52" spans="1:4" ht="18">
      <c r="A52" s="1067" t="s">
        <v>670</v>
      </c>
      <c r="B52" s="1067"/>
      <c r="C52" s="1067"/>
      <c r="D52" s="1067"/>
    </row>
    <row r="55" spans="1:4" ht="18">
      <c r="A55" s="1062" t="s">
        <v>671</v>
      </c>
      <c r="B55" s="1062"/>
      <c r="C55" s="1062"/>
      <c r="D55" s="1062"/>
    </row>
    <row r="56" spans="1:4" ht="18">
      <c r="A56" s="633"/>
      <c r="B56" s="633"/>
      <c r="C56" s="633"/>
      <c r="D56" s="633"/>
    </row>
    <row r="57" spans="1:3" ht="12.75">
      <c r="A57" s="624"/>
      <c r="B57" s="1031" t="s">
        <v>380</v>
      </c>
      <c r="C57" s="1031"/>
    </row>
    <row r="58" spans="1:4" ht="12.75">
      <c r="A58" s="376" t="s">
        <v>5</v>
      </c>
      <c r="B58" s="1063" t="s">
        <v>445</v>
      </c>
      <c r="C58" s="1063"/>
      <c r="D58" s="28"/>
    </row>
    <row r="59" spans="1:4" ht="15">
      <c r="A59" s="634" t="s">
        <v>672</v>
      </c>
      <c r="B59" s="1064">
        <v>571</v>
      </c>
      <c r="C59" s="1064"/>
      <c r="D59" s="30"/>
    </row>
    <row r="60" spans="1:4" ht="15">
      <c r="A60" s="419" t="s">
        <v>673</v>
      </c>
      <c r="B60" s="1065"/>
      <c r="C60" s="1065"/>
      <c r="D60" s="30"/>
    </row>
    <row r="61" spans="1:4" ht="15">
      <c r="A61" s="635" t="s">
        <v>698</v>
      </c>
      <c r="B61" s="1066">
        <v>0</v>
      </c>
      <c r="C61" s="1066"/>
      <c r="D61" s="30"/>
    </row>
    <row r="62" spans="1:4" ht="15.75">
      <c r="A62" s="398" t="s">
        <v>675</v>
      </c>
      <c r="B62" s="1061">
        <f>SUM(B59:B60)</f>
        <v>571</v>
      </c>
      <c r="C62" s="1061"/>
      <c r="D62" s="29"/>
    </row>
    <row r="66" spans="1:4" ht="18">
      <c r="A66" s="1062" t="s">
        <v>676</v>
      </c>
      <c r="B66" s="1062"/>
      <c r="C66" s="1062"/>
      <c r="D66" s="1062"/>
    </row>
    <row r="67" spans="1:4" ht="18">
      <c r="A67" s="633"/>
      <c r="B67" s="633"/>
      <c r="C67" s="633"/>
      <c r="D67" s="633"/>
    </row>
    <row r="68" spans="2:4" ht="12.75">
      <c r="B68" s="397"/>
      <c r="C68" s="397"/>
      <c r="D68" s="397" t="s">
        <v>380</v>
      </c>
    </row>
    <row r="69" spans="1:4" ht="31.5">
      <c r="A69" s="398" t="s">
        <v>486</v>
      </c>
      <c r="B69" s="1011" t="s">
        <v>677</v>
      </c>
      <c r="C69" s="636" t="s">
        <v>678</v>
      </c>
      <c r="D69" s="507" t="s">
        <v>185</v>
      </c>
    </row>
    <row r="70" spans="1:4" ht="15.75">
      <c r="A70" s="499"/>
      <c r="B70" s="661"/>
      <c r="C70" s="662"/>
      <c r="D70" s="663"/>
    </row>
    <row r="71" spans="1:4" ht="15.75">
      <c r="A71" s="646" t="s">
        <v>699</v>
      </c>
      <c r="B71" s="644">
        <v>416</v>
      </c>
      <c r="C71" s="645">
        <v>0</v>
      </c>
      <c r="D71" s="644">
        <f>C71+B71</f>
        <v>416</v>
      </c>
    </row>
    <row r="72" spans="1:4" ht="15.75">
      <c r="A72" s="646" t="s">
        <v>700</v>
      </c>
      <c r="B72" s="644">
        <v>155</v>
      </c>
      <c r="C72" s="645">
        <v>0</v>
      </c>
      <c r="D72" s="644">
        <f>C72+B72</f>
        <v>155</v>
      </c>
    </row>
    <row r="73" spans="1:4" ht="15.75">
      <c r="A73" s="651"/>
      <c r="B73" s="652"/>
      <c r="C73" s="653"/>
      <c r="D73" s="652"/>
    </row>
    <row r="74" spans="1:4" ht="15.75">
      <c r="A74" s="654" t="s">
        <v>691</v>
      </c>
      <c r="B74" s="655">
        <f>SUM(B71:B72)</f>
        <v>571</v>
      </c>
      <c r="C74" s="655">
        <f>SUM(C71:C72)</f>
        <v>0</v>
      </c>
      <c r="D74" s="655">
        <f>SUM(D71:D72)</f>
        <v>571</v>
      </c>
    </row>
  </sheetData>
  <sheetProtection/>
  <mergeCells count="20">
    <mergeCell ref="A6:D6"/>
    <mergeCell ref="A7:D7"/>
    <mergeCell ref="A10:D10"/>
    <mergeCell ref="B12:C12"/>
    <mergeCell ref="B13:C13"/>
    <mergeCell ref="B14:C14"/>
    <mergeCell ref="B15:C15"/>
    <mergeCell ref="B16:C16"/>
    <mergeCell ref="B17:C17"/>
    <mergeCell ref="A21:D21"/>
    <mergeCell ref="A51:D51"/>
    <mergeCell ref="A52:D52"/>
    <mergeCell ref="B62:C62"/>
    <mergeCell ref="A66:D66"/>
    <mergeCell ref="A55:D55"/>
    <mergeCell ref="B57:C57"/>
    <mergeCell ref="B58:C58"/>
    <mergeCell ref="B59:C59"/>
    <mergeCell ref="B60:C60"/>
    <mergeCell ref="B61:C61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4">
      <selection activeCell="C18" sqref="C18"/>
    </sheetView>
  </sheetViews>
  <sheetFormatPr defaultColWidth="9.140625" defaultRowHeight="12.75"/>
  <cols>
    <col min="1" max="1" width="19.8515625" style="0" customWidth="1"/>
    <col min="2" max="2" width="15.421875" style="0" customWidth="1"/>
    <col min="3" max="3" width="13.7109375" style="0" customWidth="1"/>
    <col min="4" max="4" width="14.57421875" style="0" customWidth="1"/>
    <col min="5" max="5" width="17.57421875" style="0" customWidth="1"/>
  </cols>
  <sheetData>
    <row r="1" ht="15">
      <c r="E1" s="664" t="s">
        <v>701</v>
      </c>
    </row>
    <row r="5" spans="2:3" ht="15.75">
      <c r="B5" s="665" t="s">
        <v>702</v>
      </c>
      <c r="C5" s="29"/>
    </row>
    <row r="6" spans="2:3" ht="15.75">
      <c r="B6" s="30"/>
      <c r="C6" s="665" t="s">
        <v>703</v>
      </c>
    </row>
    <row r="7" spans="2:3" ht="15.75">
      <c r="B7" s="30"/>
      <c r="C7" s="665"/>
    </row>
    <row r="8" spans="2:3" ht="15.75">
      <c r="B8" s="30"/>
      <c r="C8" s="665"/>
    </row>
    <row r="11" ht="12.75">
      <c r="E11" s="397" t="s">
        <v>33</v>
      </c>
    </row>
    <row r="12" spans="1:5" ht="15.75">
      <c r="A12" s="507" t="s">
        <v>704</v>
      </c>
      <c r="B12" s="666" t="s">
        <v>705</v>
      </c>
      <c r="C12" s="507" t="s">
        <v>706</v>
      </c>
      <c r="D12" s="507" t="s">
        <v>707</v>
      </c>
      <c r="E12" s="667" t="s">
        <v>708</v>
      </c>
    </row>
    <row r="13" spans="1:5" ht="15">
      <c r="A13" s="668" t="s">
        <v>709</v>
      </c>
      <c r="B13" s="669">
        <v>290000</v>
      </c>
      <c r="C13" s="500">
        <v>320000</v>
      </c>
      <c r="D13" s="669">
        <f>C13+E13-B13</f>
        <v>30018</v>
      </c>
      <c r="E13" s="500">
        <v>18</v>
      </c>
    </row>
    <row r="14" spans="1:5" ht="15">
      <c r="A14" s="668" t="s">
        <v>710</v>
      </c>
      <c r="B14" s="669">
        <v>290000</v>
      </c>
      <c r="C14" s="500">
        <v>340000</v>
      </c>
      <c r="D14" s="669">
        <f aca="true" t="shared" si="0" ref="D14:D23">C14+E14-B14</f>
        <v>50018</v>
      </c>
      <c r="E14" s="500">
        <v>18</v>
      </c>
    </row>
    <row r="15" spans="1:5" ht="15">
      <c r="A15" s="668" t="s">
        <v>711</v>
      </c>
      <c r="B15" s="669">
        <v>490000</v>
      </c>
      <c r="C15" s="500">
        <v>450000</v>
      </c>
      <c r="D15" s="669">
        <v>0</v>
      </c>
      <c r="E15" s="500">
        <v>3396</v>
      </c>
    </row>
    <row r="16" spans="1:5" ht="15">
      <c r="A16" s="668" t="s">
        <v>712</v>
      </c>
      <c r="B16" s="669">
        <f>295000+100000</f>
        <v>395000</v>
      </c>
      <c r="C16" s="500">
        <f>310000+100000</f>
        <v>410000</v>
      </c>
      <c r="D16" s="669">
        <f t="shared" si="0"/>
        <v>15018</v>
      </c>
      <c r="E16" s="500">
        <v>18</v>
      </c>
    </row>
    <row r="17" spans="1:5" ht="15">
      <c r="A17" s="668" t="s">
        <v>713</v>
      </c>
      <c r="B17" s="669">
        <f>310000+50576</f>
        <v>360576</v>
      </c>
      <c r="C17" s="500">
        <f>335000+29473</f>
        <v>364473</v>
      </c>
      <c r="D17" s="669">
        <f t="shared" si="0"/>
        <v>3915</v>
      </c>
      <c r="E17" s="500">
        <v>18</v>
      </c>
    </row>
    <row r="18" spans="1:5" ht="15">
      <c r="A18" s="668" t="s">
        <v>714</v>
      </c>
      <c r="B18" s="669">
        <v>450000</v>
      </c>
      <c r="C18" s="500">
        <v>460000</v>
      </c>
      <c r="D18" s="669">
        <f t="shared" si="0"/>
        <v>13396</v>
      </c>
      <c r="E18" s="500">
        <v>3396</v>
      </c>
    </row>
    <row r="19" spans="1:5" ht="15">
      <c r="A19" s="668" t="s">
        <v>715</v>
      </c>
      <c r="B19" s="669">
        <v>290000</v>
      </c>
      <c r="C19" s="500">
        <v>350000</v>
      </c>
      <c r="D19" s="669">
        <f t="shared" si="0"/>
        <v>60018</v>
      </c>
      <c r="E19" s="500">
        <v>18</v>
      </c>
    </row>
    <row r="20" spans="1:5" ht="15">
      <c r="A20" s="668" t="s">
        <v>716</v>
      </c>
      <c r="B20" s="669">
        <v>285000</v>
      </c>
      <c r="C20" s="500">
        <v>350000</v>
      </c>
      <c r="D20" s="669">
        <f t="shared" si="0"/>
        <v>65018</v>
      </c>
      <c r="E20" s="500">
        <v>18</v>
      </c>
    </row>
    <row r="21" spans="1:5" ht="15">
      <c r="A21" s="668" t="s">
        <v>717</v>
      </c>
      <c r="B21" s="669">
        <v>490000</v>
      </c>
      <c r="C21" s="500">
        <v>453008</v>
      </c>
      <c r="D21" s="669">
        <v>0</v>
      </c>
      <c r="E21" s="500">
        <v>3396</v>
      </c>
    </row>
    <row r="22" spans="1:5" ht="15">
      <c r="A22" s="668" t="s">
        <v>718</v>
      </c>
      <c r="B22" s="669">
        <v>315500</v>
      </c>
      <c r="C22" s="500">
        <v>350000</v>
      </c>
      <c r="D22" s="669">
        <v>0</v>
      </c>
      <c r="E22" s="500">
        <v>18</v>
      </c>
    </row>
    <row r="23" spans="1:5" ht="15">
      <c r="A23" s="668" t="s">
        <v>719</v>
      </c>
      <c r="B23" s="669">
        <v>390000</v>
      </c>
      <c r="C23" s="500">
        <v>390000</v>
      </c>
      <c r="D23" s="669">
        <f t="shared" si="0"/>
        <v>18</v>
      </c>
      <c r="E23" s="501">
        <v>18</v>
      </c>
    </row>
    <row r="24" spans="1:5" ht="15">
      <c r="A24" s="670" t="s">
        <v>720</v>
      </c>
      <c r="B24" s="671">
        <v>317028</v>
      </c>
      <c r="C24" s="672">
        <v>350000</v>
      </c>
      <c r="D24" s="669">
        <v>686</v>
      </c>
      <c r="E24" s="673">
        <v>3396</v>
      </c>
    </row>
    <row r="25" spans="1:5" ht="15.75">
      <c r="A25" s="674" t="s">
        <v>185</v>
      </c>
      <c r="B25" s="675">
        <f>SUM(B13:B24)</f>
        <v>4363104</v>
      </c>
      <c r="C25" s="502">
        <f>SUM(C13:C24)</f>
        <v>4587481</v>
      </c>
      <c r="D25" s="675">
        <f>SUM(D13:D24)</f>
        <v>238105</v>
      </c>
      <c r="E25" s="502">
        <f>SUM(E13:E24)</f>
        <v>13728</v>
      </c>
    </row>
  </sheetData>
  <sheetProtection/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K35" sqref="A1:K35"/>
    </sheetView>
  </sheetViews>
  <sheetFormatPr defaultColWidth="9.140625" defaultRowHeight="12.75"/>
  <cols>
    <col min="1" max="1" width="11.7109375" style="0" customWidth="1"/>
    <col min="2" max="2" width="11.57421875" style="0" customWidth="1"/>
    <col min="3" max="3" width="11.7109375" style="0" customWidth="1"/>
    <col min="4" max="4" width="10.7109375" style="0" customWidth="1"/>
    <col min="5" max="5" width="12.00390625" style="0" customWidth="1"/>
    <col min="6" max="6" width="13.7109375" style="0" customWidth="1"/>
    <col min="7" max="8" width="12.140625" style="0" customWidth="1"/>
    <col min="9" max="9" width="11.57421875" style="0" customWidth="1"/>
    <col min="10" max="10" width="12.57421875" style="0" customWidth="1"/>
    <col min="11" max="11" width="14.140625" style="0" customWidth="1"/>
  </cols>
  <sheetData>
    <row r="1" spans="4:11" ht="12.75">
      <c r="D1" s="506"/>
      <c r="E1" s="506"/>
      <c r="F1" s="1068" t="s">
        <v>721</v>
      </c>
      <c r="G1" s="1068"/>
      <c r="H1" s="1068"/>
      <c r="I1" s="1068"/>
      <c r="J1" s="1068"/>
      <c r="K1" s="1068"/>
    </row>
    <row r="2" ht="7.5" customHeight="1"/>
    <row r="3" spans="1:11" ht="12.75">
      <c r="A3" s="1068" t="s">
        <v>722</v>
      </c>
      <c r="B3" s="1068"/>
      <c r="C3" s="1068"/>
      <c r="D3" s="1068"/>
      <c r="E3" s="1068"/>
      <c r="F3" s="1068"/>
      <c r="G3" s="1068"/>
      <c r="H3" s="1068"/>
      <c r="I3" s="1068"/>
      <c r="J3" s="1068"/>
      <c r="K3" s="1068"/>
    </row>
    <row r="4" spans="1:11" ht="12.75">
      <c r="A4" s="1068" t="s">
        <v>723</v>
      </c>
      <c r="B4" s="1068"/>
      <c r="C4" s="1068"/>
      <c r="D4" s="1068"/>
      <c r="E4" s="1068"/>
      <c r="F4" s="1068"/>
      <c r="G4" s="1068"/>
      <c r="H4" s="1068"/>
      <c r="I4" s="1068"/>
      <c r="J4" s="1068"/>
      <c r="K4" s="1068"/>
    </row>
    <row r="5" spans="1:11" ht="12.75">
      <c r="A5" s="506"/>
      <c r="B5" s="506"/>
      <c r="C5" s="506"/>
      <c r="D5" s="506"/>
      <c r="E5" s="506"/>
      <c r="F5" s="506"/>
      <c r="G5" s="506"/>
      <c r="H5" s="506"/>
      <c r="I5" s="506"/>
      <c r="J5" s="506"/>
      <c r="K5" s="506" t="s">
        <v>724</v>
      </c>
    </row>
    <row r="6" spans="1:11" ht="12.75">
      <c r="A6" s="1069" t="s">
        <v>725</v>
      </c>
      <c r="B6" s="1070" t="s">
        <v>726</v>
      </c>
      <c r="C6" s="1070"/>
      <c r="D6" s="1071" t="s">
        <v>727</v>
      </c>
      <c r="E6" s="1071"/>
      <c r="F6" s="1071"/>
      <c r="G6" s="1071"/>
      <c r="H6" s="1071"/>
      <c r="I6" s="1071"/>
      <c r="J6" s="1071"/>
      <c r="K6" s="1069" t="s">
        <v>728</v>
      </c>
    </row>
    <row r="7" spans="1:11" ht="30" customHeight="1">
      <c r="A7" s="1069"/>
      <c r="B7" s="676" t="s">
        <v>729</v>
      </c>
      <c r="C7" s="676" t="s">
        <v>730</v>
      </c>
      <c r="D7" s="676" t="s">
        <v>731</v>
      </c>
      <c r="E7" s="677" t="s">
        <v>732</v>
      </c>
      <c r="F7" s="677" t="s">
        <v>733</v>
      </c>
      <c r="G7" s="677" t="s">
        <v>734</v>
      </c>
      <c r="H7" s="677" t="s">
        <v>735</v>
      </c>
      <c r="I7" s="677" t="s">
        <v>736</v>
      </c>
      <c r="J7" s="677" t="s">
        <v>737</v>
      </c>
      <c r="K7" s="1069"/>
    </row>
    <row r="8" spans="1:11" ht="43.5" customHeight="1">
      <c r="A8" s="678" t="s">
        <v>738</v>
      </c>
      <c r="B8" s="679">
        <v>0</v>
      </c>
      <c r="C8" s="680">
        <v>0</v>
      </c>
      <c r="D8" s="680"/>
      <c r="E8" s="680">
        <v>50000</v>
      </c>
      <c r="F8" s="681">
        <v>40000</v>
      </c>
      <c r="G8" s="682"/>
      <c r="H8" s="682">
        <v>3005480</v>
      </c>
      <c r="I8" s="682"/>
      <c r="J8" s="682">
        <v>138693</v>
      </c>
      <c r="K8" s="682">
        <f>SUM(B8:J8)</f>
        <v>3234173</v>
      </c>
    </row>
    <row r="9" spans="1:11" ht="28.5" customHeight="1">
      <c r="A9" s="683" t="s">
        <v>739</v>
      </c>
      <c r="B9" s="684">
        <v>238105</v>
      </c>
      <c r="C9" s="685"/>
      <c r="D9" s="685">
        <v>29000</v>
      </c>
      <c r="E9" s="685"/>
      <c r="F9" s="686">
        <v>0</v>
      </c>
      <c r="G9" s="687">
        <v>1399</v>
      </c>
      <c r="H9" s="687"/>
      <c r="I9" s="687"/>
      <c r="J9" s="687"/>
      <c r="K9" s="688">
        <f>SUM(B9:J9)</f>
        <v>268504</v>
      </c>
    </row>
    <row r="10" spans="1:11" ht="23.25" customHeight="1">
      <c r="A10" s="683" t="s">
        <v>740</v>
      </c>
      <c r="B10" s="689"/>
      <c r="C10" s="685"/>
      <c r="D10" s="685"/>
      <c r="E10" s="685"/>
      <c r="F10" s="686"/>
      <c r="G10" s="687"/>
      <c r="H10" s="687"/>
      <c r="I10" s="687"/>
      <c r="J10" s="687"/>
      <c r="K10" s="688"/>
    </row>
    <row r="11" spans="1:11" ht="12.75">
      <c r="A11" s="690">
        <v>2009</v>
      </c>
      <c r="B11" s="691"/>
      <c r="C11" s="684">
        <v>0</v>
      </c>
      <c r="D11" s="684"/>
      <c r="E11" s="685">
        <v>2940</v>
      </c>
      <c r="F11" s="692">
        <v>1875</v>
      </c>
      <c r="G11" s="693">
        <v>217</v>
      </c>
      <c r="H11" s="693">
        <v>0</v>
      </c>
      <c r="I11" s="693"/>
      <c r="J11" s="693">
        <v>8696</v>
      </c>
      <c r="K11" s="688">
        <f aca="true" t="shared" si="0" ref="K11:K27">SUM(B11:J11)</f>
        <v>13728</v>
      </c>
    </row>
    <row r="12" spans="1:11" ht="12.75">
      <c r="A12" s="694">
        <v>2010</v>
      </c>
      <c r="B12" s="691">
        <f>B9</f>
        <v>238105</v>
      </c>
      <c r="C12" s="684">
        <v>0</v>
      </c>
      <c r="D12" s="684"/>
      <c r="E12" s="685">
        <v>2940</v>
      </c>
      <c r="F12" s="692">
        <v>2500</v>
      </c>
      <c r="G12" s="693">
        <v>292</v>
      </c>
      <c r="H12" s="693">
        <v>0</v>
      </c>
      <c r="I12" s="693"/>
      <c r="J12" s="693">
        <v>8696</v>
      </c>
      <c r="K12" s="688">
        <f t="shared" si="0"/>
        <v>252533</v>
      </c>
    </row>
    <row r="13" spans="1:11" ht="12.75">
      <c r="A13" s="694">
        <v>2011</v>
      </c>
      <c r="B13" s="691">
        <v>0</v>
      </c>
      <c r="C13" s="684">
        <v>0</v>
      </c>
      <c r="D13" s="684"/>
      <c r="E13" s="685">
        <v>2940</v>
      </c>
      <c r="F13" s="692">
        <v>2500</v>
      </c>
      <c r="G13" s="693">
        <v>380</v>
      </c>
      <c r="H13" s="693">
        <v>0</v>
      </c>
      <c r="I13" s="693"/>
      <c r="J13" s="693">
        <v>8696</v>
      </c>
      <c r="K13" s="688">
        <f t="shared" si="0"/>
        <v>14516</v>
      </c>
    </row>
    <row r="14" spans="1:11" ht="12.75">
      <c r="A14" s="695">
        <v>2012</v>
      </c>
      <c r="B14" s="691">
        <v>0</v>
      </c>
      <c r="C14" s="696">
        <v>0</v>
      </c>
      <c r="D14" s="696"/>
      <c r="E14" s="685">
        <v>2940</v>
      </c>
      <c r="F14" s="692">
        <v>2500</v>
      </c>
      <c r="G14" s="693">
        <v>467</v>
      </c>
      <c r="H14" s="693">
        <v>0</v>
      </c>
      <c r="I14" s="693"/>
      <c r="J14" s="693">
        <v>8696</v>
      </c>
      <c r="K14" s="697">
        <f t="shared" si="0"/>
        <v>14603</v>
      </c>
    </row>
    <row r="15" spans="1:11" ht="12.75">
      <c r="A15" s="694">
        <v>2013</v>
      </c>
      <c r="B15" s="691">
        <v>0</v>
      </c>
      <c r="C15" s="696">
        <v>0</v>
      </c>
      <c r="D15" s="698">
        <v>1075</v>
      </c>
      <c r="E15" s="685">
        <v>2940</v>
      </c>
      <c r="F15" s="692">
        <v>2500</v>
      </c>
      <c r="G15" s="699">
        <v>43</v>
      </c>
      <c r="H15" s="699">
        <v>69113</v>
      </c>
      <c r="I15" s="699"/>
      <c r="J15" s="693">
        <v>8696</v>
      </c>
      <c r="K15" s="699">
        <f t="shared" si="0"/>
        <v>84367</v>
      </c>
    </row>
    <row r="16" spans="1:11" ht="12.75">
      <c r="A16" s="694">
        <v>2014</v>
      </c>
      <c r="B16" s="691">
        <v>0</v>
      </c>
      <c r="C16" s="696">
        <v>0</v>
      </c>
      <c r="D16" s="698">
        <v>1432</v>
      </c>
      <c r="E16" s="685">
        <v>2940</v>
      </c>
      <c r="F16" s="692">
        <v>2500</v>
      </c>
      <c r="G16" s="699">
        <v>0</v>
      </c>
      <c r="H16" s="699">
        <v>76792</v>
      </c>
      <c r="I16" s="699"/>
      <c r="J16" s="693">
        <v>8696</v>
      </c>
      <c r="K16" s="699">
        <f t="shared" si="0"/>
        <v>92360</v>
      </c>
    </row>
    <row r="17" spans="1:11" ht="12.75">
      <c r="A17" s="694">
        <v>2015</v>
      </c>
      <c r="B17" s="691">
        <v>0</v>
      </c>
      <c r="C17" s="696">
        <v>0</v>
      </c>
      <c r="D17" s="698">
        <v>1432</v>
      </c>
      <c r="E17" s="685">
        <v>2940</v>
      </c>
      <c r="F17" s="692">
        <v>2500</v>
      </c>
      <c r="G17" s="699">
        <v>0</v>
      </c>
      <c r="H17" s="699">
        <v>85796</v>
      </c>
      <c r="I17" s="699"/>
      <c r="J17" s="693">
        <v>8696</v>
      </c>
      <c r="K17" s="699">
        <f t="shared" si="0"/>
        <v>101364</v>
      </c>
    </row>
    <row r="18" spans="1:11" ht="12.75">
      <c r="A18" s="694">
        <v>2016</v>
      </c>
      <c r="B18" s="691">
        <v>0</v>
      </c>
      <c r="C18" s="696">
        <v>0</v>
      </c>
      <c r="D18" s="698">
        <v>1432</v>
      </c>
      <c r="E18" s="685">
        <v>2940</v>
      </c>
      <c r="F18" s="692">
        <v>2500</v>
      </c>
      <c r="G18" s="699">
        <v>0</v>
      </c>
      <c r="H18" s="699">
        <v>85796</v>
      </c>
      <c r="I18" s="699"/>
      <c r="J18" s="693">
        <v>8696</v>
      </c>
      <c r="K18" s="699">
        <f t="shared" si="0"/>
        <v>101364</v>
      </c>
    </row>
    <row r="19" spans="1:11" ht="12.75">
      <c r="A19" s="694">
        <v>2017</v>
      </c>
      <c r="B19" s="691">
        <v>0</v>
      </c>
      <c r="C19" s="696">
        <v>0</v>
      </c>
      <c r="D19" s="698">
        <v>1432</v>
      </c>
      <c r="E19" s="685">
        <v>2940</v>
      </c>
      <c r="F19" s="692">
        <v>2500</v>
      </c>
      <c r="G19" s="699">
        <v>0</v>
      </c>
      <c r="H19" s="699">
        <v>88443</v>
      </c>
      <c r="I19" s="699"/>
      <c r="J19" s="693">
        <v>8696</v>
      </c>
      <c r="K19" s="699">
        <f t="shared" si="0"/>
        <v>104011</v>
      </c>
    </row>
    <row r="20" spans="1:11" ht="12.75">
      <c r="A20" s="694">
        <v>2018</v>
      </c>
      <c r="B20" s="691">
        <v>0</v>
      </c>
      <c r="C20" s="696">
        <v>0</v>
      </c>
      <c r="D20" s="698">
        <v>1432</v>
      </c>
      <c r="E20" s="685">
        <v>2940</v>
      </c>
      <c r="F20" s="692">
        <v>2500</v>
      </c>
      <c r="G20" s="699">
        <v>0</v>
      </c>
      <c r="H20" s="699">
        <v>94798</v>
      </c>
      <c r="I20" s="699"/>
      <c r="J20" s="693">
        <v>8696</v>
      </c>
      <c r="K20" s="699">
        <f t="shared" si="0"/>
        <v>110366</v>
      </c>
    </row>
    <row r="21" spans="1:11" ht="12.75">
      <c r="A21" s="694">
        <v>2019</v>
      </c>
      <c r="B21" s="691">
        <v>0</v>
      </c>
      <c r="C21" s="696">
        <v>0</v>
      </c>
      <c r="D21" s="698">
        <v>1432</v>
      </c>
      <c r="E21" s="685">
        <v>2940</v>
      </c>
      <c r="F21" s="692">
        <v>2500</v>
      </c>
      <c r="G21" s="699">
        <v>0</v>
      </c>
      <c r="H21" s="699">
        <v>96387</v>
      </c>
      <c r="I21" s="699"/>
      <c r="J21" s="693">
        <v>8696</v>
      </c>
      <c r="K21" s="699">
        <f t="shared" si="0"/>
        <v>111955</v>
      </c>
    </row>
    <row r="22" spans="1:11" ht="12.75">
      <c r="A22" s="694">
        <v>2020</v>
      </c>
      <c r="B22" s="691">
        <v>0</v>
      </c>
      <c r="C22" s="696">
        <v>0</v>
      </c>
      <c r="D22" s="698">
        <v>1432</v>
      </c>
      <c r="E22" s="685">
        <v>2940</v>
      </c>
      <c r="F22" s="692">
        <v>2500</v>
      </c>
      <c r="G22" s="699">
        <v>0</v>
      </c>
      <c r="H22" s="699">
        <v>97446</v>
      </c>
      <c r="I22" s="699"/>
      <c r="J22" s="693">
        <v>8696</v>
      </c>
      <c r="K22" s="699">
        <f t="shared" si="0"/>
        <v>113014</v>
      </c>
    </row>
    <row r="23" spans="1:11" ht="12.75">
      <c r="A23" s="694">
        <v>2021</v>
      </c>
      <c r="B23" s="691">
        <v>0</v>
      </c>
      <c r="C23" s="696">
        <v>0</v>
      </c>
      <c r="D23" s="698">
        <v>1432</v>
      </c>
      <c r="E23" s="685">
        <v>2940</v>
      </c>
      <c r="F23" s="692">
        <v>2500</v>
      </c>
      <c r="G23" s="699">
        <v>0</v>
      </c>
      <c r="H23" s="699">
        <v>102213</v>
      </c>
      <c r="I23" s="699"/>
      <c r="J23" s="693">
        <v>8696</v>
      </c>
      <c r="K23" s="699">
        <f t="shared" si="0"/>
        <v>117781</v>
      </c>
    </row>
    <row r="24" spans="1:11" ht="12.75">
      <c r="A24" s="694">
        <v>2022</v>
      </c>
      <c r="B24" s="691">
        <v>0</v>
      </c>
      <c r="C24" s="696">
        <v>0</v>
      </c>
      <c r="D24" s="698">
        <v>1432</v>
      </c>
      <c r="E24" s="685">
        <v>2940</v>
      </c>
      <c r="F24" s="692">
        <v>2500</v>
      </c>
      <c r="G24" s="699">
        <v>0</v>
      </c>
      <c r="H24" s="699">
        <v>105390</v>
      </c>
      <c r="I24" s="699"/>
      <c r="J24" s="693">
        <v>8696</v>
      </c>
      <c r="K24" s="699">
        <f t="shared" si="0"/>
        <v>120958</v>
      </c>
    </row>
    <row r="25" spans="1:11" ht="12.75">
      <c r="A25" s="694">
        <v>2023</v>
      </c>
      <c r="B25" s="691">
        <v>0</v>
      </c>
      <c r="C25" s="696">
        <v>0</v>
      </c>
      <c r="D25" s="698">
        <v>1432</v>
      </c>
      <c r="E25" s="685">
        <v>2940</v>
      </c>
      <c r="F25" s="692">
        <v>2500</v>
      </c>
      <c r="G25" s="699">
        <v>0</v>
      </c>
      <c r="H25" s="699">
        <v>108038</v>
      </c>
      <c r="I25" s="699"/>
      <c r="J25" s="693">
        <v>8696</v>
      </c>
      <c r="K25" s="699">
        <f t="shared" si="0"/>
        <v>123606</v>
      </c>
    </row>
    <row r="26" spans="1:11" ht="12.75">
      <c r="A26" s="694">
        <v>2024</v>
      </c>
      <c r="B26" s="691">
        <v>0</v>
      </c>
      <c r="C26" s="696">
        <v>0</v>
      </c>
      <c r="D26" s="698">
        <v>1432</v>
      </c>
      <c r="E26" s="685">
        <v>2940</v>
      </c>
      <c r="F26" s="692">
        <v>2500</v>
      </c>
      <c r="G26" s="699">
        <v>0</v>
      </c>
      <c r="H26" s="699">
        <v>112804</v>
      </c>
      <c r="I26" s="699"/>
      <c r="J26" s="693">
        <v>8253</v>
      </c>
      <c r="K26" s="699">
        <f t="shared" si="0"/>
        <v>127929</v>
      </c>
    </row>
    <row r="27" spans="1:11" ht="12.75">
      <c r="A27" s="695">
        <v>2025</v>
      </c>
      <c r="B27" s="700">
        <v>0</v>
      </c>
      <c r="C27" s="696">
        <v>0</v>
      </c>
      <c r="D27" s="698">
        <v>1432</v>
      </c>
      <c r="E27" s="696">
        <v>2960</v>
      </c>
      <c r="F27" s="701">
        <v>625</v>
      </c>
      <c r="G27" s="702">
        <v>0</v>
      </c>
      <c r="H27" s="702">
        <v>118630</v>
      </c>
      <c r="I27" s="702"/>
      <c r="J27" s="703"/>
      <c r="K27" s="702">
        <f t="shared" si="0"/>
        <v>123647</v>
      </c>
    </row>
    <row r="28" spans="1:11" ht="12.75">
      <c r="A28" s="694">
        <v>2026</v>
      </c>
      <c r="B28" s="691"/>
      <c r="C28" s="684"/>
      <c r="D28" s="698">
        <v>1432</v>
      </c>
      <c r="E28" s="684"/>
      <c r="F28" s="704"/>
      <c r="G28" s="699"/>
      <c r="H28" s="699">
        <v>126045</v>
      </c>
      <c r="I28" s="699"/>
      <c r="J28" s="705"/>
      <c r="K28" s="702">
        <f aca="true" t="shared" si="1" ref="K28:K35">SUM(B28:J28)</f>
        <v>127477</v>
      </c>
    </row>
    <row r="29" spans="1:11" ht="12.75">
      <c r="A29" s="694">
        <v>2027</v>
      </c>
      <c r="B29" s="691"/>
      <c r="C29" s="684"/>
      <c r="D29" s="698">
        <v>1432</v>
      </c>
      <c r="E29" s="684"/>
      <c r="F29" s="704"/>
      <c r="G29" s="699"/>
      <c r="H29" s="699">
        <v>67789</v>
      </c>
      <c r="I29" s="699"/>
      <c r="J29" s="705"/>
      <c r="K29" s="702">
        <f t="shared" si="1"/>
        <v>69221</v>
      </c>
    </row>
    <row r="30" spans="1:11" ht="12.75">
      <c r="A30" s="694">
        <v>2028</v>
      </c>
      <c r="B30" s="691"/>
      <c r="C30" s="684"/>
      <c r="D30" s="698">
        <v>1432</v>
      </c>
      <c r="E30" s="684"/>
      <c r="F30" s="704"/>
      <c r="G30" s="699"/>
      <c r="H30" s="699">
        <v>1570000</v>
      </c>
      <c r="I30" s="699"/>
      <c r="J30" s="705"/>
      <c r="K30" s="702">
        <f t="shared" si="1"/>
        <v>1571432</v>
      </c>
    </row>
    <row r="31" spans="1:11" ht="12.75">
      <c r="A31" s="694">
        <v>2029</v>
      </c>
      <c r="B31" s="691"/>
      <c r="C31" s="684"/>
      <c r="D31" s="698">
        <v>1432</v>
      </c>
      <c r="E31" s="684"/>
      <c r="F31" s="704"/>
      <c r="G31" s="699"/>
      <c r="H31" s="699">
        <v>0</v>
      </c>
      <c r="I31" s="699"/>
      <c r="J31" s="705"/>
      <c r="K31" s="702">
        <f t="shared" si="1"/>
        <v>1432</v>
      </c>
    </row>
    <row r="32" spans="1:11" ht="12.75">
      <c r="A32" s="694">
        <v>2030</v>
      </c>
      <c r="B32" s="691"/>
      <c r="C32" s="684"/>
      <c r="D32" s="698">
        <v>1432</v>
      </c>
      <c r="E32" s="684"/>
      <c r="F32" s="704"/>
      <c r="G32" s="699"/>
      <c r="H32" s="699">
        <v>0</v>
      </c>
      <c r="I32" s="699"/>
      <c r="J32" s="705"/>
      <c r="K32" s="702">
        <f t="shared" si="1"/>
        <v>1432</v>
      </c>
    </row>
    <row r="33" spans="1:11" ht="12.75">
      <c r="A33" s="694">
        <v>2031</v>
      </c>
      <c r="B33" s="691"/>
      <c r="C33" s="684"/>
      <c r="D33" s="698">
        <v>1432</v>
      </c>
      <c r="E33" s="684"/>
      <c r="F33" s="704"/>
      <c r="G33" s="699"/>
      <c r="H33" s="699">
        <v>0</v>
      </c>
      <c r="I33" s="699"/>
      <c r="J33" s="705"/>
      <c r="K33" s="702">
        <f t="shared" si="1"/>
        <v>1432</v>
      </c>
    </row>
    <row r="34" spans="1:11" ht="12.75">
      <c r="A34" s="694">
        <v>2032</v>
      </c>
      <c r="B34" s="691"/>
      <c r="C34" s="684"/>
      <c r="D34" s="698">
        <v>1432</v>
      </c>
      <c r="E34" s="684"/>
      <c r="F34" s="704"/>
      <c r="G34" s="699"/>
      <c r="H34" s="699">
        <v>0</v>
      </c>
      <c r="I34" s="699"/>
      <c r="J34" s="705"/>
      <c r="K34" s="699">
        <f t="shared" si="1"/>
        <v>1432</v>
      </c>
    </row>
    <row r="35" spans="1:11" ht="12.75">
      <c r="A35" s="706">
        <v>2033</v>
      </c>
      <c r="B35" s="373"/>
      <c r="C35" s="373"/>
      <c r="D35" s="373">
        <v>717</v>
      </c>
      <c r="E35" s="373"/>
      <c r="F35" s="245"/>
      <c r="G35" s="707"/>
      <c r="H35" s="202">
        <v>0</v>
      </c>
      <c r="I35" s="707"/>
      <c r="J35" s="707"/>
      <c r="K35" s="708">
        <f t="shared" si="1"/>
        <v>717</v>
      </c>
    </row>
    <row r="36" spans="1:11" ht="12.75">
      <c r="A36" s="709"/>
      <c r="B36" s="37"/>
      <c r="C36" s="37"/>
      <c r="D36" s="37"/>
      <c r="E36" s="37"/>
      <c r="F36" s="37"/>
      <c r="G36" s="37"/>
      <c r="H36" s="37"/>
      <c r="I36" s="37"/>
      <c r="J36" s="37"/>
      <c r="K36" s="710"/>
    </row>
    <row r="37" spans="1:11" ht="12.75">
      <c r="A37" s="709"/>
      <c r="B37" s="37"/>
      <c r="C37" s="37"/>
      <c r="D37" s="37"/>
      <c r="E37" s="37"/>
      <c r="F37" s="37"/>
      <c r="G37" s="37"/>
      <c r="H37" s="37"/>
      <c r="I37" s="37"/>
      <c r="J37" s="37"/>
      <c r="K37" s="710"/>
    </row>
    <row r="38" spans="1:11" ht="12.75">
      <c r="A38" s="709"/>
      <c r="B38" s="37"/>
      <c r="C38" s="37"/>
      <c r="D38" s="37"/>
      <c r="E38" s="37"/>
      <c r="F38" s="37"/>
      <c r="G38" s="37"/>
      <c r="H38" s="37"/>
      <c r="I38" s="37"/>
      <c r="J38" s="37"/>
      <c r="K38" s="710"/>
    </row>
    <row r="39" spans="1:11" ht="12.75">
      <c r="A39" s="709"/>
      <c r="B39" s="37"/>
      <c r="C39" s="37"/>
      <c r="D39" s="37"/>
      <c r="E39" s="37"/>
      <c r="F39" s="37"/>
      <c r="G39" s="37"/>
      <c r="H39" s="37"/>
      <c r="I39" s="37"/>
      <c r="J39" s="37"/>
      <c r="K39" s="710"/>
    </row>
    <row r="40" spans="1:11" ht="12.75">
      <c r="A40" s="81" t="s">
        <v>741</v>
      </c>
      <c r="B40" s="711">
        <f>SUM(B11:B35)</f>
        <v>238105</v>
      </c>
      <c r="C40" s="711">
        <f aca="true" t="shared" si="2" ref="C40:K40">SUM(C11:C35)</f>
        <v>0</v>
      </c>
      <c r="D40" s="711">
        <f t="shared" si="2"/>
        <v>29000</v>
      </c>
      <c r="E40" s="711">
        <f t="shared" si="2"/>
        <v>50000</v>
      </c>
      <c r="F40" s="711">
        <f t="shared" si="2"/>
        <v>40000</v>
      </c>
      <c r="G40" s="711">
        <f t="shared" si="2"/>
        <v>1399</v>
      </c>
      <c r="H40" s="711">
        <f t="shared" si="2"/>
        <v>3005480</v>
      </c>
      <c r="I40" s="711">
        <f t="shared" si="2"/>
        <v>0</v>
      </c>
      <c r="J40" s="711">
        <f t="shared" si="2"/>
        <v>138693</v>
      </c>
      <c r="K40" s="711">
        <f t="shared" si="2"/>
        <v>3502677</v>
      </c>
    </row>
  </sheetData>
  <sheetProtection/>
  <mergeCells count="7">
    <mergeCell ref="F1:K1"/>
    <mergeCell ref="A3:K3"/>
    <mergeCell ref="A4:K4"/>
    <mergeCell ref="A6:A7"/>
    <mergeCell ref="B6:C6"/>
    <mergeCell ref="D6:J6"/>
    <mergeCell ref="K6:K7"/>
  </mergeCells>
  <printOptions/>
  <pageMargins left="0.5902777777777778" right="0.5902777777777778" top="0.5902777777777778" bottom="0.5902777777777779" header="0.5118055555555556" footer="0.5118055555555556"/>
  <pageSetup horizontalDpi="300" verticalDpi="300" orientation="landscape" paperSize="9" r:id="rId1"/>
  <headerFooter alignWithMargins="0">
    <oddFooter>&amp;C                                                                               **     A kötvény visszafizetését a kibocsátáskori € árfolyamon számítva tartalmazza a táblázat.&amp;R&amp;P. oldal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40.28125" style="0" customWidth="1"/>
    <col min="2" max="2" width="19.28125" style="0" customWidth="1"/>
    <col min="3" max="3" width="21.28125" style="0" customWidth="1"/>
  </cols>
  <sheetData>
    <row r="1" ht="12.75">
      <c r="C1" s="712" t="s">
        <v>742</v>
      </c>
    </row>
    <row r="5" spans="1:3" ht="15.75">
      <c r="A5" s="1051" t="s">
        <v>743</v>
      </c>
      <c r="B5" s="1051"/>
      <c r="C5" s="1051"/>
    </row>
    <row r="6" spans="1:3" ht="15.75">
      <c r="A6" s="1014" t="s">
        <v>744</v>
      </c>
      <c r="B6" s="1014"/>
      <c r="C6" s="1014"/>
    </row>
    <row r="7" spans="1:3" ht="15.75">
      <c r="A7" s="1014" t="s">
        <v>745</v>
      </c>
      <c r="B7" s="1014"/>
      <c r="C7" s="1014"/>
    </row>
    <row r="8" spans="1:3" ht="15.75">
      <c r="A8" s="27"/>
      <c r="B8" s="27"/>
      <c r="C8" s="27"/>
    </row>
    <row r="12" ht="12.75">
      <c r="C12" s="397" t="s">
        <v>33</v>
      </c>
    </row>
    <row r="13" spans="1:3" ht="38.25">
      <c r="A13" s="498" t="s">
        <v>5</v>
      </c>
      <c r="B13" s="119" t="s">
        <v>746</v>
      </c>
      <c r="C13" s="713" t="s">
        <v>747</v>
      </c>
    </row>
    <row r="14" spans="1:3" ht="15">
      <c r="A14" s="634" t="s">
        <v>748</v>
      </c>
      <c r="B14" s="714">
        <v>5000</v>
      </c>
      <c r="C14" s="715" t="s">
        <v>749</v>
      </c>
    </row>
    <row r="15" spans="1:3" ht="15">
      <c r="A15" s="419" t="s">
        <v>750</v>
      </c>
      <c r="B15" s="716">
        <v>1000</v>
      </c>
      <c r="C15" s="717" t="s">
        <v>749</v>
      </c>
    </row>
    <row r="16" spans="1:3" ht="15">
      <c r="A16" s="419" t="s">
        <v>751</v>
      </c>
      <c r="B16" s="716">
        <v>0</v>
      </c>
      <c r="C16" s="717" t="s">
        <v>749</v>
      </c>
    </row>
    <row r="17" spans="1:3" ht="15">
      <c r="A17" s="635"/>
      <c r="B17" s="718"/>
      <c r="C17" s="719"/>
    </row>
    <row r="18" spans="1:3" ht="12.75">
      <c r="A18" s="297"/>
      <c r="B18" s="235"/>
      <c r="C18" s="720"/>
    </row>
    <row r="19" spans="1:3" ht="15.75">
      <c r="A19" s="398" t="s">
        <v>463</v>
      </c>
      <c r="B19" s="502">
        <f>SUM(B14:B17)</f>
        <v>6000</v>
      </c>
      <c r="C19" s="632"/>
    </row>
  </sheetData>
  <sheetProtection/>
  <mergeCells count="3">
    <mergeCell ref="A5:C5"/>
    <mergeCell ref="A6:C6"/>
    <mergeCell ref="A7:C7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A42" sqref="A42"/>
    </sheetView>
  </sheetViews>
  <sheetFormatPr defaultColWidth="9.140625" defaultRowHeight="12.75"/>
  <cols>
    <col min="1" max="1" width="58.57421875" style="0" customWidth="1"/>
    <col min="2" max="2" width="22.7109375" style="0" customWidth="1"/>
  </cols>
  <sheetData>
    <row r="1" spans="1:2" ht="14.25">
      <c r="A1" s="721"/>
      <c r="B1" s="722" t="s">
        <v>752</v>
      </c>
    </row>
    <row r="2" spans="1:2" ht="12" customHeight="1">
      <c r="A2" s="721"/>
      <c r="B2" s="722"/>
    </row>
    <row r="3" spans="1:5" ht="15.75">
      <c r="A3" s="1073" t="s">
        <v>743</v>
      </c>
      <c r="B3" s="1073"/>
      <c r="C3" s="497"/>
      <c r="D3" s="497"/>
      <c r="E3" s="497"/>
    </row>
    <row r="4" spans="1:5" ht="15.75">
      <c r="A4" s="1074" t="s">
        <v>753</v>
      </c>
      <c r="B4" s="1074"/>
      <c r="C4" s="27"/>
      <c r="D4" s="27"/>
      <c r="E4" s="27"/>
    </row>
    <row r="5" spans="1:2" ht="12.75">
      <c r="A5" s="723"/>
      <c r="B5" s="724"/>
    </row>
    <row r="6" spans="1:2" ht="12.75">
      <c r="A6" s="723"/>
      <c r="B6" s="725" t="s">
        <v>33</v>
      </c>
    </row>
    <row r="7" spans="1:2" ht="12.75">
      <c r="A7" s="1076" t="s">
        <v>754</v>
      </c>
      <c r="B7" s="1077" t="s">
        <v>755</v>
      </c>
    </row>
    <row r="8" spans="1:2" ht="12.75">
      <c r="A8" s="1076"/>
      <c r="B8" s="1077"/>
    </row>
    <row r="9" spans="1:2" ht="15.75">
      <c r="A9" s="726" t="s">
        <v>756</v>
      </c>
      <c r="B9" s="727">
        <v>0</v>
      </c>
    </row>
    <row r="10" spans="1:2" ht="15.75">
      <c r="A10" s="728" t="s">
        <v>757</v>
      </c>
      <c r="B10" s="729"/>
    </row>
    <row r="11" spans="1:2" ht="15.75">
      <c r="A11" s="730" t="s">
        <v>758</v>
      </c>
      <c r="B11" s="731">
        <v>1200</v>
      </c>
    </row>
    <row r="12" spans="1:2" ht="15.75">
      <c r="A12" s="732"/>
      <c r="B12" s="733"/>
    </row>
    <row r="13" spans="1:2" ht="15.75">
      <c r="A13" s="734"/>
      <c r="B13" s="735"/>
    </row>
    <row r="14" spans="1:2" ht="15.75">
      <c r="A14" s="734" t="s">
        <v>759</v>
      </c>
      <c r="B14" s="731"/>
    </row>
    <row r="15" spans="1:2" ht="15.75">
      <c r="A15" s="734"/>
      <c r="B15" s="735"/>
    </row>
    <row r="16" spans="1:2" ht="31.5">
      <c r="A16" s="736" t="s">
        <v>760</v>
      </c>
      <c r="B16" s="737">
        <v>9300</v>
      </c>
    </row>
    <row r="17" spans="1:2" ht="15.75">
      <c r="A17" s="738" t="s">
        <v>761</v>
      </c>
      <c r="B17" s="739">
        <f>SUM(B10:B16)</f>
        <v>10500</v>
      </c>
    </row>
    <row r="18" spans="1:2" ht="12.75">
      <c r="A18" s="721"/>
      <c r="B18" s="721"/>
    </row>
    <row r="19" spans="1:2" ht="12.75">
      <c r="A19" s="1072" t="s">
        <v>762</v>
      </c>
      <c r="B19" s="1072"/>
    </row>
    <row r="20" spans="1:2" ht="12.75">
      <c r="A20" s="1072" t="s">
        <v>763</v>
      </c>
      <c r="B20" s="1072"/>
    </row>
    <row r="21" spans="1:2" ht="13.5" customHeight="1">
      <c r="A21" s="1072" t="s">
        <v>764</v>
      </c>
      <c r="B21" s="1072"/>
    </row>
    <row r="22" spans="1:2" ht="13.5" customHeight="1">
      <c r="A22" s="740" t="s">
        <v>765</v>
      </c>
      <c r="B22" s="740"/>
    </row>
    <row r="23" spans="1:2" ht="12.75">
      <c r="A23" s="721"/>
      <c r="B23" s="721"/>
    </row>
    <row r="24" spans="1:2" ht="12.75">
      <c r="A24" s="721" t="s">
        <v>766</v>
      </c>
      <c r="B24" s="721"/>
    </row>
    <row r="25" spans="1:2" ht="12.75">
      <c r="A25" s="721" t="s">
        <v>767</v>
      </c>
      <c r="B25" s="721"/>
    </row>
    <row r="26" spans="1:2" ht="12.75">
      <c r="A26" s="721"/>
      <c r="B26" s="721"/>
    </row>
    <row r="27" spans="1:2" ht="12.75">
      <c r="A27" s="721"/>
      <c r="B27" s="721"/>
    </row>
    <row r="28" spans="1:2" ht="12.75">
      <c r="A28" s="721"/>
      <c r="B28" s="721"/>
    </row>
    <row r="29" spans="1:2" ht="14.25">
      <c r="A29" s="721"/>
      <c r="B29" s="722" t="s">
        <v>768</v>
      </c>
    </row>
    <row r="30" spans="1:2" ht="14.25">
      <c r="A30" s="721"/>
      <c r="B30" s="741"/>
    </row>
    <row r="31" spans="1:2" ht="15.75">
      <c r="A31" s="1073" t="s">
        <v>743</v>
      </c>
      <c r="B31" s="1073"/>
    </row>
    <row r="32" spans="1:2" ht="15.75">
      <c r="A32" s="1074" t="s">
        <v>769</v>
      </c>
      <c r="B32" s="1074"/>
    </row>
    <row r="33" spans="1:2" ht="12.75">
      <c r="A33" s="1075"/>
      <c r="B33" s="1075"/>
    </row>
    <row r="34" spans="1:2" ht="12.75">
      <c r="A34" s="721"/>
      <c r="B34" s="724" t="s">
        <v>33</v>
      </c>
    </row>
    <row r="35" spans="1:2" ht="12.75">
      <c r="A35" s="742" t="s">
        <v>770</v>
      </c>
      <c r="B35" s="743" t="s">
        <v>771</v>
      </c>
    </row>
    <row r="36" spans="1:2" ht="12.75">
      <c r="A36" s="744" t="s">
        <v>772</v>
      </c>
      <c r="B36" s="745">
        <v>3191114</v>
      </c>
    </row>
    <row r="37" spans="1:2" ht="12.75">
      <c r="A37" s="744" t="s">
        <v>773</v>
      </c>
      <c r="B37" s="746">
        <f>'1_sz_ melléklet'!B29</f>
        <v>4601209</v>
      </c>
    </row>
    <row r="38" spans="1:2" ht="12.75">
      <c r="A38" s="744" t="s">
        <v>774</v>
      </c>
      <c r="B38" s="747">
        <f>'1_sz_ melléklet'!D29</f>
        <v>4601209</v>
      </c>
    </row>
    <row r="39" spans="1:2" ht="12.75">
      <c r="A39" s="748" t="s">
        <v>775</v>
      </c>
      <c r="B39" s="749">
        <f>B36+B37-B38</f>
        <v>3191114</v>
      </c>
    </row>
  </sheetData>
  <sheetProtection/>
  <mergeCells count="10">
    <mergeCell ref="A21:B21"/>
    <mergeCell ref="A31:B31"/>
    <mergeCell ref="A32:B32"/>
    <mergeCell ref="A33:B33"/>
    <mergeCell ref="A3:B3"/>
    <mergeCell ref="A4:B4"/>
    <mergeCell ref="A7:A8"/>
    <mergeCell ref="B7:B8"/>
    <mergeCell ref="A19:B19"/>
    <mergeCell ref="A20:B20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9">
      <selection activeCell="A38" sqref="A38"/>
    </sheetView>
  </sheetViews>
  <sheetFormatPr defaultColWidth="9.140625" defaultRowHeight="12.75"/>
  <cols>
    <col min="1" max="1" width="26.28125" style="0" customWidth="1"/>
    <col min="2" max="2" width="24.28125" style="0" customWidth="1"/>
    <col min="3" max="3" width="21.57421875" style="0" customWidth="1"/>
    <col min="4" max="4" width="16.7109375" style="0" customWidth="1"/>
    <col min="5" max="5" width="18.00390625" style="0" customWidth="1"/>
    <col min="6" max="6" width="16.28125" style="0" customWidth="1"/>
  </cols>
  <sheetData>
    <row r="1" spans="5:6" ht="15">
      <c r="E1" s="1023" t="s">
        <v>776</v>
      </c>
      <c r="F1" s="1023"/>
    </row>
    <row r="2" ht="15.75">
      <c r="C2" s="29" t="s">
        <v>777</v>
      </c>
    </row>
    <row r="3" spans="1:6" ht="12.75">
      <c r="A3" s="1036" t="s">
        <v>778</v>
      </c>
      <c r="B3" s="1036"/>
      <c r="C3" s="1036"/>
      <c r="D3" s="1036"/>
      <c r="E3" s="1036"/>
      <c r="F3" s="1036"/>
    </row>
    <row r="4" spans="2:4" ht="12.75">
      <c r="B4" s="496"/>
      <c r="C4" s="496" t="s">
        <v>779</v>
      </c>
      <c r="D4" s="496"/>
    </row>
    <row r="5" ht="12.75">
      <c r="F5" s="31" t="s">
        <v>33</v>
      </c>
    </row>
    <row r="6" spans="1:6" ht="12.75">
      <c r="A6" s="1079" t="s">
        <v>780</v>
      </c>
      <c r="B6" s="1080" t="s">
        <v>781</v>
      </c>
      <c r="C6" s="750" t="s">
        <v>782</v>
      </c>
      <c r="D6" s="751" t="s">
        <v>577</v>
      </c>
      <c r="E6" s="750" t="s">
        <v>783</v>
      </c>
      <c r="F6" s="752" t="s">
        <v>784</v>
      </c>
    </row>
    <row r="7" spans="1:6" ht="12.75">
      <c r="A7" s="1079"/>
      <c r="B7" s="1079"/>
      <c r="C7" s="628" t="s">
        <v>785</v>
      </c>
      <c r="D7" s="753" t="s">
        <v>786</v>
      </c>
      <c r="E7" s="628" t="s">
        <v>787</v>
      </c>
      <c r="F7" s="754" t="s">
        <v>788</v>
      </c>
    </row>
    <row r="8" spans="1:6" ht="12.75">
      <c r="A8" s="1079"/>
      <c r="B8" s="1080"/>
      <c r="C8" s="631" t="s">
        <v>789</v>
      </c>
      <c r="D8" s="755" t="s">
        <v>790</v>
      </c>
      <c r="E8" s="631" t="s">
        <v>790</v>
      </c>
      <c r="F8" s="756" t="s">
        <v>791</v>
      </c>
    </row>
    <row r="9" spans="1:6" ht="12.75">
      <c r="A9" s="88" t="s">
        <v>792</v>
      </c>
      <c r="B9" s="177" t="s">
        <v>793</v>
      </c>
      <c r="C9" s="69"/>
      <c r="D9" s="49"/>
      <c r="E9" s="69"/>
      <c r="F9" s="94"/>
    </row>
    <row r="10" spans="1:6" ht="12.75">
      <c r="A10" s="88" t="s">
        <v>792</v>
      </c>
      <c r="B10" s="460" t="s">
        <v>794</v>
      </c>
      <c r="C10" s="39"/>
      <c r="D10" s="40"/>
      <c r="E10" s="39"/>
      <c r="F10" s="56"/>
    </row>
    <row r="11" spans="1:6" ht="12.75">
      <c r="A11" s="88" t="s">
        <v>792</v>
      </c>
      <c r="B11" s="19" t="s">
        <v>795</v>
      </c>
      <c r="C11" s="48"/>
      <c r="D11" s="49"/>
      <c r="E11" s="48"/>
      <c r="F11" s="94"/>
    </row>
    <row r="12" spans="1:6" ht="12.75">
      <c r="A12" s="88" t="s">
        <v>792</v>
      </c>
      <c r="B12" s="460" t="s">
        <v>796</v>
      </c>
      <c r="C12" s="39"/>
      <c r="D12" s="40"/>
      <c r="E12" s="58"/>
      <c r="F12" s="59"/>
    </row>
    <row r="13" spans="1:6" ht="12.75">
      <c r="A13" s="88" t="s">
        <v>792</v>
      </c>
      <c r="B13" s="460"/>
      <c r="C13" s="39"/>
      <c r="D13" s="40"/>
      <c r="E13" s="39"/>
      <c r="F13" s="56"/>
    </row>
    <row r="14" spans="1:6" ht="12.75">
      <c r="A14" s="88" t="s">
        <v>792</v>
      </c>
      <c r="B14" s="8"/>
      <c r="C14" s="8"/>
      <c r="D14" s="345"/>
      <c r="E14" s="8"/>
      <c r="F14" s="353"/>
    </row>
    <row r="15" spans="1:6" ht="12.75">
      <c r="A15" s="88" t="s">
        <v>792</v>
      </c>
      <c r="B15" s="460"/>
      <c r="C15" s="39"/>
      <c r="D15" s="40"/>
      <c r="E15" s="39"/>
      <c r="F15" s="56"/>
    </row>
    <row r="16" spans="1:6" ht="12.75">
      <c r="A16" s="88" t="s">
        <v>792</v>
      </c>
      <c r="B16" s="460"/>
      <c r="C16" s="39"/>
      <c r="D16" s="40"/>
      <c r="E16" s="39"/>
      <c r="F16" s="56"/>
    </row>
    <row r="17" spans="1:6" ht="12.75">
      <c r="A17" s="88" t="s">
        <v>792</v>
      </c>
      <c r="B17" s="460"/>
      <c r="C17" s="39"/>
      <c r="D17" s="40"/>
      <c r="E17" s="39"/>
      <c r="F17" s="56"/>
    </row>
    <row r="18" spans="1:6" ht="12.75">
      <c r="A18" s="88" t="s">
        <v>792</v>
      </c>
      <c r="B18" s="8"/>
      <c r="C18" s="8"/>
      <c r="D18" s="345"/>
      <c r="E18" s="8"/>
      <c r="F18" s="353"/>
    </row>
    <row r="19" spans="1:6" ht="12.75">
      <c r="A19" s="297"/>
      <c r="B19" s="460"/>
      <c r="C19" s="39"/>
      <c r="D19" s="40"/>
      <c r="E19" s="39"/>
      <c r="F19" s="56"/>
    </row>
    <row r="20" spans="1:6" ht="12.75">
      <c r="A20" s="88"/>
      <c r="B20" s="460"/>
      <c r="C20" s="39"/>
      <c r="D20" s="40"/>
      <c r="E20" s="39"/>
      <c r="F20" s="56"/>
    </row>
    <row r="21" spans="1:6" ht="12.75">
      <c r="A21" s="251" t="s">
        <v>185</v>
      </c>
      <c r="B21" s="631" t="s">
        <v>797</v>
      </c>
      <c r="C21" s="190">
        <f>SUM(C9:C20)</f>
        <v>0</v>
      </c>
      <c r="D21" s="757">
        <f>SUM(D9:D20)</f>
        <v>0</v>
      </c>
      <c r="E21" s="190">
        <f>SUM(E9:E20)</f>
        <v>0</v>
      </c>
      <c r="F21" s="361">
        <f>SUM(F9:F20)</f>
        <v>0</v>
      </c>
    </row>
    <row r="22" spans="1:6" ht="12.75">
      <c r="A22" s="37"/>
      <c r="B22" s="753"/>
      <c r="C22" s="72"/>
      <c r="D22" s="72"/>
      <c r="E22" s="72"/>
      <c r="F22" s="72"/>
    </row>
    <row r="23" spans="5:6" ht="15">
      <c r="E23" s="1023" t="s">
        <v>798</v>
      </c>
      <c r="F23" s="1023"/>
    </row>
    <row r="24" spans="1:6" ht="15.75">
      <c r="A24" s="1014" t="s">
        <v>799</v>
      </c>
      <c r="B24" s="1014"/>
      <c r="C24" s="1014"/>
      <c r="D24" s="1014"/>
      <c r="E24" s="1014"/>
      <c r="F24" s="1014"/>
    </row>
    <row r="25" spans="1:6" ht="12.75">
      <c r="A25" s="1036" t="s">
        <v>800</v>
      </c>
      <c r="B25" s="1036"/>
      <c r="C25" s="1036"/>
      <c r="D25" s="1036"/>
      <c r="E25" s="1036"/>
      <c r="F25" s="1036"/>
    </row>
    <row r="26" spans="1:6" ht="12.75">
      <c r="A26" s="1036" t="s">
        <v>801</v>
      </c>
      <c r="B26" s="1036"/>
      <c r="C26" s="1036"/>
      <c r="D26" s="1036"/>
      <c r="E26" s="1036"/>
      <c r="F26" s="1036"/>
    </row>
    <row r="27" spans="2:6" ht="12.75">
      <c r="B27" s="496"/>
      <c r="C27" s="496"/>
      <c r="D27" s="496"/>
      <c r="F27" s="31" t="s">
        <v>33</v>
      </c>
    </row>
    <row r="28" spans="1:6" ht="12.75">
      <c r="A28" s="1078" t="s">
        <v>802</v>
      </c>
      <c r="B28" s="1078"/>
      <c r="C28" s="750" t="s">
        <v>803</v>
      </c>
      <c r="D28" s="751" t="s">
        <v>804</v>
      </c>
      <c r="E28" s="750" t="s">
        <v>805</v>
      </c>
      <c r="F28" s="752" t="s">
        <v>806</v>
      </c>
    </row>
    <row r="29" spans="1:6" ht="12.75">
      <c r="A29" s="1078"/>
      <c r="B29" s="1078"/>
      <c r="C29" s="628" t="s">
        <v>785</v>
      </c>
      <c r="D29" s="753" t="s">
        <v>807</v>
      </c>
      <c r="E29" s="628" t="s">
        <v>808</v>
      </c>
      <c r="F29" s="754" t="s">
        <v>809</v>
      </c>
    </row>
    <row r="30" spans="1:6" ht="12.75">
      <c r="A30" s="1078"/>
      <c r="B30" s="1078"/>
      <c r="C30" s="631" t="s">
        <v>810</v>
      </c>
      <c r="D30" s="755" t="s">
        <v>811</v>
      </c>
      <c r="E30" s="631" t="s">
        <v>790</v>
      </c>
      <c r="F30" s="756" t="s">
        <v>812</v>
      </c>
    </row>
    <row r="31" spans="1:6" ht="12.75">
      <c r="A31" s="370"/>
      <c r="B31" s="758"/>
      <c r="C31" s="177"/>
      <c r="D31" s="178"/>
      <c r="E31" s="177"/>
      <c r="F31" s="758"/>
    </row>
    <row r="32" spans="1:6" ht="12.75">
      <c r="A32" s="87"/>
      <c r="B32" s="629"/>
      <c r="C32" s="19"/>
      <c r="D32" s="627"/>
      <c r="E32" s="19"/>
      <c r="F32" s="629"/>
    </row>
    <row r="33" spans="1:6" ht="12.75">
      <c r="A33" s="87"/>
      <c r="B33" s="629"/>
      <c r="C33" s="19"/>
      <c r="D33" s="627"/>
      <c r="E33" s="19"/>
      <c r="F33" s="629"/>
    </row>
    <row r="34" spans="1:6" ht="12.75">
      <c r="A34" s="87"/>
      <c r="B34" s="629"/>
      <c r="C34" s="19"/>
      <c r="D34" s="627"/>
      <c r="E34" s="19"/>
      <c r="F34" s="629"/>
    </row>
    <row r="35" spans="1:6" ht="12.75">
      <c r="A35" s="194"/>
      <c r="B35" s="406"/>
      <c r="C35" s="65"/>
      <c r="D35" s="37"/>
      <c r="E35" s="65"/>
      <c r="F35" s="406"/>
    </row>
    <row r="36" spans="1:6" ht="12.75">
      <c r="A36" s="90" t="s">
        <v>185</v>
      </c>
      <c r="B36" s="759"/>
      <c r="C36" s="169"/>
      <c r="D36" s="348"/>
      <c r="E36" s="169"/>
      <c r="F36" s="632"/>
    </row>
  </sheetData>
  <sheetProtection/>
  <mergeCells count="9">
    <mergeCell ref="A25:F25"/>
    <mergeCell ref="A26:F26"/>
    <mergeCell ref="A28:B30"/>
    <mergeCell ref="E1:F1"/>
    <mergeCell ref="A3:F3"/>
    <mergeCell ref="A6:A8"/>
    <mergeCell ref="B6:B8"/>
    <mergeCell ref="E23:F23"/>
    <mergeCell ref="A24:F24"/>
  </mergeCells>
  <printOptions/>
  <pageMargins left="0.7875" right="0.7875" top="0.7875" bottom="0.7875" header="0.5118055555555556" footer="0.5118055555555556"/>
  <pageSetup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7">
      <selection activeCell="A33" sqref="A33"/>
    </sheetView>
  </sheetViews>
  <sheetFormatPr defaultColWidth="9.140625" defaultRowHeight="12.75"/>
  <cols>
    <col min="1" max="1" width="43.140625" style="0" customWidth="1"/>
    <col min="2" max="2" width="17.140625" style="0" customWidth="1"/>
    <col min="3" max="3" width="18.140625" style="0" customWidth="1"/>
  </cols>
  <sheetData>
    <row r="1" ht="15">
      <c r="C1" s="664" t="s">
        <v>813</v>
      </c>
    </row>
    <row r="2" ht="14.25">
      <c r="C2" s="330"/>
    </row>
    <row r="3" spans="1:3" ht="15.75">
      <c r="A3" s="1051" t="s">
        <v>743</v>
      </c>
      <c r="B3" s="1051"/>
      <c r="C3" s="1051"/>
    </row>
    <row r="4" spans="1:3" ht="15.75">
      <c r="A4" s="1014" t="s">
        <v>814</v>
      </c>
      <c r="B4" s="1014"/>
      <c r="C4" s="1014"/>
    </row>
    <row r="5" spans="1:3" ht="15.75">
      <c r="A5" s="1014" t="s">
        <v>2</v>
      </c>
      <c r="B5" s="1014"/>
      <c r="C5" s="1014"/>
    </row>
    <row r="6" spans="1:3" ht="15.75">
      <c r="A6" s="27"/>
      <c r="B6" s="27"/>
      <c r="C6" s="27"/>
    </row>
    <row r="7" ht="12.75">
      <c r="C7" s="760" t="s">
        <v>80</v>
      </c>
    </row>
    <row r="8" spans="1:3" ht="15.75">
      <c r="A8" s="1081" t="s">
        <v>815</v>
      </c>
      <c r="B8" s="84" t="s">
        <v>816</v>
      </c>
      <c r="C8" s="761"/>
    </row>
    <row r="9" spans="1:3" ht="15.75">
      <c r="A9" s="1081"/>
      <c r="B9" s="762" t="s">
        <v>817</v>
      </c>
      <c r="C9" s="394" t="s">
        <v>818</v>
      </c>
    </row>
    <row r="10" spans="1:3" ht="15">
      <c r="A10" s="634" t="s">
        <v>756</v>
      </c>
      <c r="B10" s="668"/>
      <c r="C10" s="668"/>
    </row>
    <row r="11" spans="1:3" ht="15">
      <c r="A11" s="634" t="s">
        <v>819</v>
      </c>
      <c r="B11" s="668"/>
      <c r="C11" s="668"/>
    </row>
    <row r="12" spans="1:3" ht="15">
      <c r="A12" s="634"/>
      <c r="B12" s="668"/>
      <c r="C12" s="668"/>
    </row>
    <row r="13" spans="1:3" ht="15">
      <c r="A13" s="634"/>
      <c r="B13" s="668"/>
      <c r="C13" s="668"/>
    </row>
    <row r="14" spans="1:3" ht="15">
      <c r="A14" s="634"/>
      <c r="B14" s="668"/>
      <c r="C14" s="668"/>
    </row>
    <row r="15" spans="1:3" ht="15">
      <c r="A15" s="763"/>
      <c r="B15" s="764"/>
      <c r="C15" s="764"/>
    </row>
    <row r="16" spans="1:3" ht="15.75">
      <c r="A16" s="398" t="s">
        <v>185</v>
      </c>
      <c r="B16" s="765"/>
      <c r="C16" s="765"/>
    </row>
    <row r="17" spans="1:2" ht="12.75">
      <c r="A17" s="325"/>
      <c r="B17" s="37"/>
    </row>
    <row r="18" spans="1:2" ht="12.75">
      <c r="A18" s="325"/>
      <c r="B18" s="37"/>
    </row>
    <row r="19" ht="15">
      <c r="C19" s="664" t="s">
        <v>820</v>
      </c>
    </row>
    <row r="21" spans="1:3" ht="15.75">
      <c r="A21" s="1051" t="s">
        <v>743</v>
      </c>
      <c r="B21" s="1051"/>
      <c r="C21" s="1051"/>
    </row>
    <row r="22" spans="1:3" ht="15.75">
      <c r="A22" s="1014" t="s">
        <v>821</v>
      </c>
      <c r="B22" s="1014"/>
      <c r="C22" s="1014"/>
    </row>
    <row r="23" spans="1:3" ht="15.75">
      <c r="A23" s="1014" t="s">
        <v>2</v>
      </c>
      <c r="B23" s="1014"/>
      <c r="C23" s="1014"/>
    </row>
    <row r="25" ht="12.75">
      <c r="C25" s="760" t="s">
        <v>822</v>
      </c>
    </row>
    <row r="26" spans="1:3" ht="15.75">
      <c r="A26" s="1081" t="s">
        <v>5</v>
      </c>
      <c r="B26" s="84" t="s">
        <v>816</v>
      </c>
      <c r="C26" s="766"/>
    </row>
    <row r="27" spans="1:3" ht="15.75">
      <c r="A27" s="1081"/>
      <c r="B27" s="767" t="s">
        <v>817</v>
      </c>
      <c r="C27" s="394" t="s">
        <v>823</v>
      </c>
    </row>
    <row r="28" spans="1:3" ht="15">
      <c r="A28" s="768" t="s">
        <v>824</v>
      </c>
      <c r="B28" s="415"/>
      <c r="C28" s="768"/>
    </row>
    <row r="29" spans="1:3" ht="15">
      <c r="A29" s="668" t="s">
        <v>825</v>
      </c>
      <c r="B29" s="769"/>
      <c r="C29" s="668"/>
    </row>
    <row r="30" spans="1:3" ht="15">
      <c r="A30" s="668" t="s">
        <v>826</v>
      </c>
      <c r="B30" s="769"/>
      <c r="C30" s="668"/>
    </row>
    <row r="31" spans="1:3" ht="15">
      <c r="A31" s="770" t="s">
        <v>827</v>
      </c>
      <c r="B31" s="771"/>
      <c r="C31" s="770"/>
    </row>
  </sheetData>
  <sheetProtection/>
  <mergeCells count="8">
    <mergeCell ref="A23:C23"/>
    <mergeCell ref="A26:A27"/>
    <mergeCell ref="A3:C3"/>
    <mergeCell ref="A4:C4"/>
    <mergeCell ref="A5:C5"/>
    <mergeCell ref="A8:A9"/>
    <mergeCell ref="A21:C21"/>
    <mergeCell ref="A22:C22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T17"/>
  <sheetViews>
    <sheetView zoomScalePageLayoutView="0" workbookViewId="0" topLeftCell="A1">
      <selection activeCell="A15" sqref="A15:N15"/>
    </sheetView>
  </sheetViews>
  <sheetFormatPr defaultColWidth="9.140625" defaultRowHeight="12.75"/>
  <cols>
    <col min="1" max="1" width="14.00390625" style="0" customWidth="1"/>
    <col min="2" max="2" width="8.8515625" style="0" customWidth="1"/>
    <col min="3" max="3" width="8.28125" style="0" customWidth="1"/>
    <col min="4" max="4" width="8.57421875" style="0" customWidth="1"/>
    <col min="5" max="5" width="9.28125" style="0" customWidth="1"/>
    <col min="6" max="6" width="8.57421875" style="0" customWidth="1"/>
    <col min="7" max="7" width="8.140625" style="0" customWidth="1"/>
    <col min="8" max="8" width="8.7109375" style="0" customWidth="1"/>
    <col min="9" max="9" width="9.57421875" style="0" customWidth="1"/>
    <col min="11" max="11" width="8.28125" style="0" customWidth="1"/>
    <col min="14" max="14" width="8.140625" style="0" customWidth="1"/>
    <col min="15" max="19" width="7.00390625" style="0" customWidth="1"/>
    <col min="20" max="20" width="13.00390625" style="0" customWidth="1"/>
  </cols>
  <sheetData>
    <row r="1" spans="3:20" ht="12.75">
      <c r="C1" s="506"/>
      <c r="D1" s="506"/>
      <c r="E1" s="506"/>
      <c r="F1" s="506"/>
      <c r="G1" s="506"/>
      <c r="H1" s="506"/>
      <c r="I1" s="506"/>
      <c r="J1" s="506"/>
      <c r="K1" s="506"/>
      <c r="L1" s="506" t="s">
        <v>828</v>
      </c>
      <c r="M1" s="506"/>
      <c r="N1" s="506"/>
      <c r="O1" s="599"/>
      <c r="P1" s="599"/>
      <c r="Q1" s="599"/>
      <c r="R1" s="599"/>
      <c r="T1" s="599"/>
    </row>
    <row r="2" spans="15:20" ht="12.75">
      <c r="O2" s="772"/>
      <c r="P2" s="772"/>
      <c r="Q2" s="772"/>
      <c r="R2" s="772"/>
      <c r="T2" s="599"/>
    </row>
    <row r="3" spans="1:20" ht="18">
      <c r="A3" s="1062" t="s">
        <v>829</v>
      </c>
      <c r="B3" s="1062"/>
      <c r="C3" s="1062"/>
      <c r="D3" s="1062"/>
      <c r="E3" s="1062"/>
      <c r="F3" s="1062"/>
      <c r="G3" s="1062"/>
      <c r="H3" s="1062"/>
      <c r="I3" s="1062"/>
      <c r="J3" s="1062"/>
      <c r="K3" s="1062"/>
      <c r="L3" s="1062"/>
      <c r="M3" s="1062"/>
      <c r="N3" s="1062"/>
      <c r="T3" s="599"/>
    </row>
    <row r="4" spans="15:20" ht="12.75">
      <c r="O4" s="773"/>
      <c r="P4" s="773"/>
      <c r="Q4" s="773"/>
      <c r="R4" s="773"/>
      <c r="T4" s="599"/>
    </row>
    <row r="5" spans="1:20" ht="15.75">
      <c r="A5" s="599"/>
      <c r="B5" s="599"/>
      <c r="C5" s="774"/>
      <c r="D5" s="774"/>
      <c r="E5" s="774"/>
      <c r="F5" s="774"/>
      <c r="G5" s="774"/>
      <c r="H5" s="774"/>
      <c r="I5" s="774"/>
      <c r="J5" s="774"/>
      <c r="K5" s="774"/>
      <c r="L5" s="774" t="s">
        <v>380</v>
      </c>
      <c r="M5" s="774"/>
      <c r="N5" s="774"/>
      <c r="T5" s="599"/>
    </row>
    <row r="6" spans="1:20" ht="12.75">
      <c r="A6" s="775" t="s">
        <v>5</v>
      </c>
      <c r="B6" s="776">
        <v>2010</v>
      </c>
      <c r="C6" s="775">
        <v>2011</v>
      </c>
      <c r="D6" s="776">
        <v>2012</v>
      </c>
      <c r="E6" s="775">
        <v>2013</v>
      </c>
      <c r="F6" s="776">
        <v>2014</v>
      </c>
      <c r="G6" s="775">
        <v>2015</v>
      </c>
      <c r="H6" s="775">
        <v>2016</v>
      </c>
      <c r="I6" s="775">
        <v>2017</v>
      </c>
      <c r="J6" s="775">
        <v>2018</v>
      </c>
      <c r="K6" s="775">
        <v>2019</v>
      </c>
      <c r="L6" s="775">
        <v>2020</v>
      </c>
      <c r="M6" s="775">
        <v>2021</v>
      </c>
      <c r="N6" s="775" t="s">
        <v>39</v>
      </c>
      <c r="T6" s="599"/>
    </row>
    <row r="7" spans="1:20" ht="45.75" customHeight="1">
      <c r="A7" s="777" t="s">
        <v>830</v>
      </c>
      <c r="B7" s="778">
        <v>31656</v>
      </c>
      <c r="C7" s="779">
        <v>31656</v>
      </c>
      <c r="D7" s="780">
        <v>31656</v>
      </c>
      <c r="E7" s="781">
        <v>2638</v>
      </c>
      <c r="F7" s="780">
        <v>0</v>
      </c>
      <c r="G7" s="781">
        <v>0</v>
      </c>
      <c r="H7" s="782">
        <v>0</v>
      </c>
      <c r="I7" s="782">
        <v>0</v>
      </c>
      <c r="J7" s="782">
        <v>0</v>
      </c>
      <c r="K7" s="782">
        <v>0</v>
      </c>
      <c r="L7" s="782">
        <v>0</v>
      </c>
      <c r="M7" s="782">
        <v>0</v>
      </c>
      <c r="N7" s="782">
        <f>SUM(B7:M7)</f>
        <v>97606</v>
      </c>
      <c r="T7" s="599"/>
    </row>
    <row r="8" spans="1:20" ht="38.25" customHeight="1">
      <c r="A8" s="777"/>
      <c r="B8" s="783"/>
      <c r="C8" s="783"/>
      <c r="D8" s="784"/>
      <c r="E8" s="785"/>
      <c r="F8" s="784"/>
      <c r="G8" s="785"/>
      <c r="H8" s="786"/>
      <c r="I8" s="786"/>
      <c r="J8" s="786"/>
      <c r="K8" s="786"/>
      <c r="L8" s="786"/>
      <c r="M8" s="786"/>
      <c r="N8" s="786"/>
      <c r="T8" s="599"/>
    </row>
    <row r="9" spans="1:20" ht="32.25" customHeight="1">
      <c r="A9" s="777"/>
      <c r="B9" s="787"/>
      <c r="C9" s="788"/>
      <c r="D9" s="789"/>
      <c r="E9" s="790"/>
      <c r="F9" s="789"/>
      <c r="G9" s="790"/>
      <c r="H9" s="782"/>
      <c r="I9" s="782"/>
      <c r="J9" s="782"/>
      <c r="K9" s="782"/>
      <c r="L9" s="782"/>
      <c r="M9" s="782"/>
      <c r="N9" s="782"/>
      <c r="T9" s="599"/>
    </row>
    <row r="10" spans="1:20" ht="15.75">
      <c r="A10" s="791" t="s">
        <v>831</v>
      </c>
      <c r="B10" s="792">
        <f>SUM(B7:B7)</f>
        <v>31656</v>
      </c>
      <c r="C10" s="792">
        <f>SUM(C7:C7)</f>
        <v>31656</v>
      </c>
      <c r="D10" s="793">
        <f>SUM(D7:D7)</f>
        <v>31656</v>
      </c>
      <c r="E10" s="794">
        <f>SUM(E7:E7)</f>
        <v>2638</v>
      </c>
      <c r="F10" s="795">
        <f>SUM(F7:F7)</f>
        <v>0</v>
      </c>
      <c r="G10" s="796">
        <f aca="true" t="shared" si="0" ref="G10:M10">SUM(F7:F7)</f>
        <v>0</v>
      </c>
      <c r="H10" s="796">
        <f t="shared" si="0"/>
        <v>0</v>
      </c>
      <c r="I10" s="796">
        <f t="shared" si="0"/>
        <v>0</v>
      </c>
      <c r="J10" s="796">
        <f t="shared" si="0"/>
        <v>0</v>
      </c>
      <c r="K10" s="796">
        <f t="shared" si="0"/>
        <v>0</v>
      </c>
      <c r="L10" s="796">
        <f t="shared" si="0"/>
        <v>0</v>
      </c>
      <c r="M10" s="796">
        <f t="shared" si="0"/>
        <v>0</v>
      </c>
      <c r="N10" s="796">
        <f>SUM(N7:N9)</f>
        <v>97606</v>
      </c>
      <c r="T10" s="599"/>
    </row>
    <row r="11" spans="1:20" ht="12.75">
      <c r="A11" s="599"/>
      <c r="B11" s="599"/>
      <c r="C11" s="599"/>
      <c r="D11" s="599"/>
      <c r="E11" s="599"/>
      <c r="F11" s="599"/>
      <c r="G11" s="599"/>
      <c r="H11" s="599"/>
      <c r="I11" s="599"/>
      <c r="J11" s="599"/>
      <c r="K11" s="599"/>
      <c r="L11" s="599"/>
      <c r="M11" s="599"/>
      <c r="N11" s="599"/>
      <c r="T11" s="599"/>
    </row>
    <row r="12" spans="1:20" ht="12.75">
      <c r="A12" s="599"/>
      <c r="B12" s="599"/>
      <c r="C12" s="599"/>
      <c r="D12" s="599"/>
      <c r="E12" s="599"/>
      <c r="F12" s="599"/>
      <c r="G12" s="599"/>
      <c r="H12" s="599"/>
      <c r="I12" s="599"/>
      <c r="J12" s="599"/>
      <c r="K12" s="599"/>
      <c r="L12" s="599"/>
      <c r="M12" s="599"/>
      <c r="N12" s="599"/>
      <c r="T12" s="599"/>
    </row>
    <row r="13" spans="1:20" ht="12.75">
      <c r="A13" s="599"/>
      <c r="B13" s="599"/>
      <c r="C13" s="599"/>
      <c r="D13" s="599"/>
      <c r="E13" s="599"/>
      <c r="F13" s="599"/>
      <c r="G13" s="599"/>
      <c r="H13" s="599"/>
      <c r="I13" s="599"/>
      <c r="J13" s="599"/>
      <c r="K13" s="599"/>
      <c r="L13" s="599"/>
      <c r="M13" s="599"/>
      <c r="N13" s="599"/>
      <c r="T13" s="797"/>
    </row>
    <row r="14" spans="1:14" ht="12.75">
      <c r="A14" s="599"/>
      <c r="B14" s="599"/>
      <c r="C14" s="599"/>
      <c r="D14" s="599"/>
      <c r="E14" s="599"/>
      <c r="F14" s="599"/>
      <c r="G14" s="599"/>
      <c r="H14" s="599"/>
      <c r="I14" s="599"/>
      <c r="J14" s="599"/>
      <c r="K14" s="599"/>
      <c r="L14" s="599"/>
      <c r="M14" s="599"/>
      <c r="N14" s="599"/>
    </row>
    <row r="15" spans="1:20" ht="32.25" customHeight="1">
      <c r="A15" s="1082" t="s">
        <v>832</v>
      </c>
      <c r="B15" s="1082"/>
      <c r="C15" s="1082"/>
      <c r="D15" s="1082"/>
      <c r="E15" s="1082"/>
      <c r="F15" s="1082"/>
      <c r="G15" s="1082"/>
      <c r="H15" s="1082"/>
      <c r="I15" s="1082"/>
      <c r="J15" s="1082"/>
      <c r="K15" s="1082"/>
      <c r="L15" s="1082"/>
      <c r="M15" s="1082"/>
      <c r="N15" s="1082"/>
      <c r="T15" s="773"/>
    </row>
    <row r="17" spans="1:14" ht="12.75">
      <c r="A17" s="773"/>
      <c r="B17" s="773"/>
      <c r="C17" s="773"/>
      <c r="D17" s="773"/>
      <c r="E17" s="773"/>
      <c r="F17" s="773"/>
      <c r="G17" s="773"/>
      <c r="H17" s="773"/>
      <c r="I17" s="773"/>
      <c r="J17" s="773"/>
      <c r="K17" s="773"/>
      <c r="L17" s="773"/>
      <c r="M17" s="773"/>
      <c r="N17" s="773"/>
    </row>
    <row r="20" ht="39.75" customHeight="1"/>
    <row r="22" ht="25.5" customHeight="1"/>
  </sheetData>
  <sheetProtection/>
  <mergeCells count="2">
    <mergeCell ref="A3:N3"/>
    <mergeCell ref="A15:N15"/>
  </mergeCells>
  <printOptions/>
  <pageMargins left="0.7875" right="0.7875" top="0.9840277777777778" bottom="0.9840277777777778" header="0.5118055555555556" footer="0.5118055555555556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1">
      <selection activeCell="A52" sqref="A1:D52"/>
    </sheetView>
  </sheetViews>
  <sheetFormatPr defaultColWidth="9.140625" defaultRowHeight="12.75"/>
  <cols>
    <col min="1" max="1" width="33.00390625" style="0" customWidth="1"/>
    <col min="2" max="2" width="14.28125" style="0" customWidth="1"/>
    <col min="3" max="3" width="15.140625" style="0" customWidth="1"/>
    <col min="4" max="4" width="15.7109375" style="0" customWidth="1"/>
  </cols>
  <sheetData>
    <row r="1" spans="1:4" ht="14.25">
      <c r="A1" s="26"/>
      <c r="B1" s="26"/>
      <c r="C1" s="1015" t="s">
        <v>77</v>
      </c>
      <c r="D1" s="1015"/>
    </row>
    <row r="2" spans="1:4" ht="15.75">
      <c r="A2" s="1014" t="s">
        <v>78</v>
      </c>
      <c r="B2" s="1014"/>
      <c r="C2" s="1014"/>
      <c r="D2" s="1014"/>
    </row>
    <row r="3" spans="1:4" ht="15.75">
      <c r="A3" s="1014" t="s">
        <v>79</v>
      </c>
      <c r="B3" s="1014"/>
      <c r="C3" s="1014"/>
      <c r="D3" s="1014"/>
    </row>
    <row r="4" ht="6.75" customHeight="1"/>
    <row r="5" ht="12.75">
      <c r="D5" s="31" t="s">
        <v>80</v>
      </c>
    </row>
    <row r="6" spans="1:4" ht="29.25" customHeight="1">
      <c r="A6" s="84" t="s">
        <v>81</v>
      </c>
      <c r="B6" s="85" t="s">
        <v>82</v>
      </c>
      <c r="C6" s="85" t="s">
        <v>83</v>
      </c>
      <c r="D6" s="86" t="s">
        <v>84</v>
      </c>
    </row>
    <row r="7" spans="1:4" ht="12.75">
      <c r="A7" s="68" t="s">
        <v>42</v>
      </c>
      <c r="B7" s="69"/>
      <c r="C7" s="52"/>
      <c r="D7" s="52"/>
    </row>
    <row r="8" spans="1:4" ht="12.75">
      <c r="A8" s="70" t="s">
        <v>43</v>
      </c>
      <c r="B8" s="39">
        <f>154260+13255+2148+683</f>
        <v>170346</v>
      </c>
      <c r="C8" s="39">
        <f>199029+12673+2473</f>
        <v>214175</v>
      </c>
      <c r="D8" s="39">
        <f>SUM(B8:C8)</f>
        <v>384521</v>
      </c>
    </row>
    <row r="9" spans="1:4" ht="12.75">
      <c r="A9" s="87" t="s">
        <v>44</v>
      </c>
      <c r="B9" s="39">
        <f>48053+2953+687+219</f>
        <v>51912</v>
      </c>
      <c r="C9" s="48">
        <f>60938+1279+794</f>
        <v>63011</v>
      </c>
      <c r="D9" s="39">
        <f aca="true" t="shared" si="0" ref="D9:D15">SUM(B9:C9)</f>
        <v>114923</v>
      </c>
    </row>
    <row r="10" spans="1:4" ht="12.75">
      <c r="A10" s="87" t="s">
        <v>45</v>
      </c>
      <c r="B10" s="39">
        <f>123252+13145</f>
        <v>136397</v>
      </c>
      <c r="C10" s="48">
        <f>20578+3891</f>
        <v>24469</v>
      </c>
      <c r="D10" s="39">
        <f t="shared" si="0"/>
        <v>160866</v>
      </c>
    </row>
    <row r="11" spans="1:4" ht="12.75">
      <c r="A11" s="87" t="s">
        <v>85</v>
      </c>
      <c r="B11" s="48">
        <v>0</v>
      </c>
      <c r="C11" s="48">
        <v>0</v>
      </c>
      <c r="D11" s="39">
        <f t="shared" si="0"/>
        <v>0</v>
      </c>
    </row>
    <row r="12" spans="1:4" ht="12.75">
      <c r="A12" s="87" t="s">
        <v>47</v>
      </c>
      <c r="B12" s="39">
        <v>0</v>
      </c>
      <c r="C12" s="48"/>
      <c r="D12" s="39">
        <f t="shared" si="0"/>
        <v>0</v>
      </c>
    </row>
    <row r="13" spans="1:4" ht="12.75">
      <c r="A13" s="88" t="s">
        <v>86</v>
      </c>
      <c r="B13" s="39">
        <v>0</v>
      </c>
      <c r="C13" s="48">
        <v>0</v>
      </c>
      <c r="D13" s="39">
        <f t="shared" si="0"/>
        <v>0</v>
      </c>
    </row>
    <row r="14" spans="1:4" ht="12.75">
      <c r="A14" s="88" t="s">
        <v>87</v>
      </c>
      <c r="B14" s="39"/>
      <c r="C14" s="48"/>
      <c r="D14" s="39">
        <f t="shared" si="0"/>
        <v>0</v>
      </c>
    </row>
    <row r="15" spans="1:4" ht="12.75">
      <c r="A15" s="89" t="s">
        <v>88</v>
      </c>
      <c r="B15" s="39">
        <v>0</v>
      </c>
      <c r="C15" s="39">
        <v>0</v>
      </c>
      <c r="D15" s="39">
        <f t="shared" si="0"/>
        <v>0</v>
      </c>
    </row>
    <row r="16" spans="1:4" s="91" customFormat="1" ht="12.75">
      <c r="A16" s="90" t="s">
        <v>89</v>
      </c>
      <c r="B16" s="16">
        <f>SUM(B8:B13)</f>
        <v>358655</v>
      </c>
      <c r="C16" s="16">
        <f>SUM(C8:C13)</f>
        <v>301655</v>
      </c>
      <c r="D16" s="16">
        <f>SUM(D8:D13)</f>
        <v>660310</v>
      </c>
    </row>
    <row r="17" spans="1:4" ht="12.75">
      <c r="A17" s="66"/>
      <c r="B17" s="52"/>
      <c r="C17" s="92"/>
      <c r="D17" s="64"/>
    </row>
    <row r="18" spans="1:4" ht="12.75">
      <c r="A18" s="93" t="s">
        <v>51</v>
      </c>
      <c r="B18" s="48"/>
      <c r="C18" s="94"/>
      <c r="D18" s="48"/>
    </row>
    <row r="19" spans="1:4" ht="12.75">
      <c r="A19" s="87" t="s">
        <v>52</v>
      </c>
      <c r="B19" s="39">
        <f>'4_sz_ melléklet'!B10</f>
        <v>1150</v>
      </c>
      <c r="C19" s="94">
        <f>'4_sz_ melléklet'!B17</f>
        <v>1090</v>
      </c>
      <c r="D19" s="48">
        <f>SUM(B19:C19)</f>
        <v>2240</v>
      </c>
    </row>
    <row r="20" spans="1:4" ht="12.75">
      <c r="A20" s="87" t="s">
        <v>90</v>
      </c>
      <c r="B20" s="39">
        <f>'3_sz_ melléklet'!B17</f>
        <v>4118</v>
      </c>
      <c r="C20" s="94">
        <f>'3_sz_ melléklet'!B13</f>
        <v>4908</v>
      </c>
      <c r="D20" s="48">
        <f>SUM(B20:C20)</f>
        <v>9026</v>
      </c>
    </row>
    <row r="21" spans="1:4" ht="12.75">
      <c r="A21" s="87" t="s">
        <v>54</v>
      </c>
      <c r="B21" s="39">
        <v>0</v>
      </c>
      <c r="C21" s="94">
        <v>0</v>
      </c>
      <c r="D21" s="48">
        <f>SUM(B21:C21)</f>
        <v>0</v>
      </c>
    </row>
    <row r="22" spans="1:4" ht="12.75">
      <c r="A22" s="95" t="s">
        <v>55</v>
      </c>
      <c r="B22" s="48">
        <f>-B11</f>
        <v>0</v>
      </c>
      <c r="C22" s="48">
        <f>-C11</f>
        <v>0</v>
      </c>
      <c r="D22" s="48">
        <f>SUM(B22:C22)</f>
        <v>0</v>
      </c>
    </row>
    <row r="23" spans="1:4" s="91" customFormat="1" ht="12.75">
      <c r="A23" s="90" t="s">
        <v>91</v>
      </c>
      <c r="B23" s="16">
        <f>SUM(B19:B22)</f>
        <v>5268</v>
      </c>
      <c r="C23" s="16">
        <f>SUM(C19:C22)</f>
        <v>5998</v>
      </c>
      <c r="D23" s="16">
        <f>SUM(D19:D22)</f>
        <v>11266</v>
      </c>
    </row>
    <row r="24" spans="1:4" ht="12.75">
      <c r="A24" s="96"/>
      <c r="B24" s="52"/>
      <c r="C24" s="72"/>
      <c r="D24" s="52"/>
    </row>
    <row r="25" spans="1:4" ht="12.75">
      <c r="A25" s="96" t="s">
        <v>92</v>
      </c>
      <c r="B25" s="64"/>
      <c r="C25" s="72"/>
      <c r="D25" s="64"/>
    </row>
    <row r="26" spans="1:4" ht="12.75">
      <c r="A26" s="97" t="s">
        <v>58</v>
      </c>
      <c r="B26" s="39"/>
      <c r="C26" s="40">
        <v>0</v>
      </c>
      <c r="D26" s="39">
        <f>SUM(B26:C26)</f>
        <v>0</v>
      </c>
    </row>
    <row r="27" spans="1:4" ht="12.75">
      <c r="A27" s="98" t="s">
        <v>59</v>
      </c>
      <c r="B27" s="78">
        <v>0</v>
      </c>
      <c r="C27" s="72">
        <v>0</v>
      </c>
      <c r="D27" s="39">
        <f>SUM(B27:C27)</f>
        <v>0</v>
      </c>
    </row>
    <row r="28" spans="1:4" s="91" customFormat="1" ht="12.75">
      <c r="A28" s="90" t="s">
        <v>93</v>
      </c>
      <c r="B28" s="16">
        <f>SUM(B26:B27)</f>
        <v>0</v>
      </c>
      <c r="C28" s="61">
        <f>SUM(C26:C27)</f>
        <v>0</v>
      </c>
      <c r="D28" s="61">
        <f>SUM(D26:D27)</f>
        <v>0</v>
      </c>
    </row>
    <row r="29" spans="1:4" ht="12.75">
      <c r="A29" s="96"/>
      <c r="B29" s="64"/>
      <c r="C29" s="64"/>
      <c r="D29" s="64"/>
    </row>
    <row r="30" spans="1:4" ht="12.75">
      <c r="A30" s="99" t="s">
        <v>94</v>
      </c>
      <c r="B30" s="64"/>
      <c r="C30" s="64"/>
      <c r="D30" s="64"/>
    </row>
    <row r="31" spans="1:4" ht="12.75">
      <c r="A31" s="97" t="s">
        <v>58</v>
      </c>
      <c r="B31" s="39">
        <v>0</v>
      </c>
      <c r="C31" s="39">
        <v>0</v>
      </c>
      <c r="D31" s="39">
        <f>SUM(B31:C31)</f>
        <v>0</v>
      </c>
    </row>
    <row r="32" spans="1:4" ht="12.75">
      <c r="A32" s="100" t="s">
        <v>59</v>
      </c>
      <c r="B32" s="58">
        <v>0</v>
      </c>
      <c r="C32" s="58">
        <v>0</v>
      </c>
      <c r="D32" s="39">
        <f>SUM(B32:C32)</f>
        <v>0</v>
      </c>
    </row>
    <row r="33" spans="1:4" ht="12.75">
      <c r="A33" s="90" t="s">
        <v>95</v>
      </c>
      <c r="B33" s="16">
        <f>B31+B32</f>
        <v>0</v>
      </c>
      <c r="C33" s="61">
        <f>C31+C32</f>
        <v>0</v>
      </c>
      <c r="D33" s="61">
        <f>D31+D32</f>
        <v>0</v>
      </c>
    </row>
    <row r="34" spans="1:4" ht="12.75">
      <c r="A34" s="96"/>
      <c r="B34" s="64"/>
      <c r="C34" s="64"/>
      <c r="D34" s="64"/>
    </row>
    <row r="35" spans="1:4" ht="12.75">
      <c r="A35" s="101" t="s">
        <v>63</v>
      </c>
      <c r="B35" s="78"/>
      <c r="C35" s="78"/>
      <c r="D35" s="78"/>
    </row>
    <row r="36" spans="1:4" ht="12.75">
      <c r="A36" s="70" t="s">
        <v>96</v>
      </c>
      <c r="B36" s="48">
        <v>0</v>
      </c>
      <c r="C36" s="48">
        <v>0</v>
      </c>
      <c r="D36" s="48">
        <f>SUM(B36:C36)</f>
        <v>0</v>
      </c>
    </row>
    <row r="37" spans="1:4" ht="12.75">
      <c r="A37" s="102" t="s">
        <v>97</v>
      </c>
      <c r="B37" s="78">
        <v>0</v>
      </c>
      <c r="C37" s="78">
        <v>0</v>
      </c>
      <c r="D37" s="39">
        <f>SUM(B37:C37)</f>
        <v>0</v>
      </c>
    </row>
    <row r="38" spans="1:4" ht="12.75">
      <c r="A38" s="66" t="s">
        <v>98</v>
      </c>
      <c r="B38" s="16">
        <f>B36+B37</f>
        <v>0</v>
      </c>
      <c r="C38" s="61">
        <f>C36+C37</f>
        <v>0</v>
      </c>
      <c r="D38" s="61">
        <f>D36+D37</f>
        <v>0</v>
      </c>
    </row>
    <row r="39" spans="1:4" ht="12.75">
      <c r="A39" s="66"/>
      <c r="B39" s="52"/>
      <c r="C39" s="52"/>
      <c r="D39" s="52"/>
    </row>
    <row r="40" spans="1:4" ht="12.75">
      <c r="A40" s="103" t="s">
        <v>67</v>
      </c>
      <c r="B40" s="39"/>
      <c r="C40" s="39"/>
      <c r="D40" s="39"/>
    </row>
    <row r="41" spans="1:4" ht="12.75">
      <c r="A41" s="70" t="s">
        <v>68</v>
      </c>
      <c r="B41" s="48">
        <v>0</v>
      </c>
      <c r="C41" s="39">
        <v>0</v>
      </c>
      <c r="D41" s="39">
        <f>SUM(B41:C41)</f>
        <v>0</v>
      </c>
    </row>
    <row r="42" spans="1:4" ht="12.75">
      <c r="A42" s="71" t="s">
        <v>69</v>
      </c>
      <c r="B42" s="48">
        <v>0</v>
      </c>
      <c r="C42" s="64">
        <v>0</v>
      </c>
      <c r="D42" s="39">
        <f>SUM(B42:C42)</f>
        <v>0</v>
      </c>
    </row>
    <row r="43" spans="1:4" ht="12.75">
      <c r="A43" s="90" t="s">
        <v>70</v>
      </c>
      <c r="B43" s="60">
        <f>B41+B42</f>
        <v>0</v>
      </c>
      <c r="C43" s="60">
        <f>C41+C42</f>
        <v>0</v>
      </c>
      <c r="D43" s="16">
        <f>D41+D42</f>
        <v>0</v>
      </c>
    </row>
    <row r="44" spans="1:4" ht="11.25" customHeight="1">
      <c r="A44" s="90"/>
      <c r="B44" s="104"/>
      <c r="C44" s="52"/>
      <c r="D44" s="52"/>
    </row>
    <row r="45" spans="1:4" s="91" customFormat="1" ht="12.75">
      <c r="A45" s="105" t="s">
        <v>99</v>
      </c>
      <c r="B45" s="106">
        <f>B43+B38+B33+B28+B23+B16</f>
        <v>363923</v>
      </c>
      <c r="C45" s="16">
        <f>SUM(C43+C38+C33+C28+C23+C16)</f>
        <v>307653</v>
      </c>
      <c r="D45" s="16">
        <f>SUM(D43+D38+D33+D28+D23+D16)</f>
        <v>671576</v>
      </c>
    </row>
    <row r="46" spans="1:4" ht="12.75" customHeight="1">
      <c r="A46" s="107"/>
      <c r="B46" s="108"/>
      <c r="C46" s="67"/>
      <c r="D46" s="67"/>
    </row>
    <row r="47" spans="1:4" ht="12.75">
      <c r="A47" s="68" t="s">
        <v>100</v>
      </c>
      <c r="B47" s="109"/>
      <c r="C47" s="69"/>
      <c r="D47" s="110"/>
    </row>
    <row r="48" spans="1:4" s="81" customFormat="1" ht="12.75">
      <c r="A48" s="70" t="s">
        <v>73</v>
      </c>
      <c r="B48" s="111">
        <v>0</v>
      </c>
      <c r="C48" s="20">
        <v>0</v>
      </c>
      <c r="D48" s="112">
        <v>0</v>
      </c>
    </row>
    <row r="49" spans="1:4" s="81" customFormat="1" ht="12.75">
      <c r="A49" s="113" t="s">
        <v>101</v>
      </c>
      <c r="B49" s="114">
        <v>0</v>
      </c>
      <c r="C49" s="115">
        <v>0</v>
      </c>
      <c r="D49" s="116">
        <v>0</v>
      </c>
    </row>
    <row r="50" spans="1:4" ht="12.75">
      <c r="A50" s="90" t="s">
        <v>75</v>
      </c>
      <c r="B50" s="60">
        <f>B48+B49</f>
        <v>0</v>
      </c>
      <c r="C50" s="16">
        <f>C48+C49</f>
        <v>0</v>
      </c>
      <c r="D50" s="16">
        <f>D48+D49</f>
        <v>0</v>
      </c>
    </row>
    <row r="51" spans="1:4" ht="12.75">
      <c r="A51" s="96"/>
      <c r="B51" s="51"/>
      <c r="C51" s="64"/>
      <c r="D51" s="64"/>
    </row>
    <row r="52" spans="1:4" ht="12.75">
      <c r="A52" s="117" t="s">
        <v>102</v>
      </c>
      <c r="B52" s="16">
        <f>SUM(B50+B45)</f>
        <v>363923</v>
      </c>
      <c r="C52" s="16">
        <f>SUM(C50+C45)</f>
        <v>307653</v>
      </c>
      <c r="D52" s="61">
        <f>SUM(D50+D45)</f>
        <v>671576</v>
      </c>
    </row>
    <row r="57" ht="6" customHeight="1"/>
    <row r="59" ht="15.75" customHeight="1"/>
    <row r="60" ht="24.75" customHeight="1"/>
    <row r="70" s="91" customFormat="1" ht="12.75"/>
    <row r="77" s="91" customFormat="1" ht="12.75"/>
    <row r="82" s="91" customFormat="1" ht="12.75"/>
    <row r="87" s="91" customFormat="1" ht="12.75"/>
    <row r="92" s="91" customFormat="1" ht="12.75"/>
    <row r="97" s="91" customFormat="1" ht="12.75"/>
    <row r="98" ht="12" customHeight="1"/>
    <row r="99" s="91" customFormat="1" ht="12.75"/>
    <row r="100" ht="11.25" customHeight="1"/>
    <row r="104" s="91" customFormat="1" ht="12.75"/>
    <row r="105" ht="9.75" customHeight="1"/>
    <row r="106" s="91" customFormat="1" ht="15" customHeight="1"/>
  </sheetData>
  <sheetProtection/>
  <mergeCells count="3">
    <mergeCell ref="C1:D1"/>
    <mergeCell ref="A2:D2"/>
    <mergeCell ref="A3:D3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241"/>
  <sheetViews>
    <sheetView zoomScalePageLayoutView="0" workbookViewId="0" topLeftCell="A1">
      <selection activeCell="A241" sqref="A241"/>
    </sheetView>
  </sheetViews>
  <sheetFormatPr defaultColWidth="9.140625" defaultRowHeight="12.75"/>
  <cols>
    <col min="1" max="1" width="55.8515625" style="0" customWidth="1"/>
    <col min="2" max="2" width="10.00390625" style="0" customWidth="1"/>
    <col min="3" max="3" width="10.57421875" style="0" customWidth="1"/>
    <col min="4" max="4" width="9.421875" style="0" customWidth="1"/>
  </cols>
  <sheetData>
    <row r="1" ht="12.75">
      <c r="C1" t="s">
        <v>833</v>
      </c>
    </row>
    <row r="2" ht="12" customHeight="1"/>
    <row r="3" spans="1:4" ht="15.75">
      <c r="A3" s="1084" t="s">
        <v>834</v>
      </c>
      <c r="B3" s="1084"/>
      <c r="C3" s="1084"/>
      <c r="D3" s="1084"/>
    </row>
    <row r="4" spans="1:4" ht="15.75">
      <c r="A4" s="1084" t="s">
        <v>835</v>
      </c>
      <c r="B4" s="1084"/>
      <c r="C4" s="1084"/>
      <c r="D4" s="1084"/>
    </row>
    <row r="5" ht="12.75">
      <c r="D5" t="s">
        <v>836</v>
      </c>
    </row>
    <row r="6" spans="1:4" ht="15.75">
      <c r="A6" s="798" t="s">
        <v>837</v>
      </c>
      <c r="B6" s="799" t="s">
        <v>838</v>
      </c>
      <c r="C6" s="799" t="s">
        <v>839</v>
      </c>
      <c r="D6" s="799" t="s">
        <v>840</v>
      </c>
    </row>
    <row r="7" spans="1:4" ht="12.75">
      <c r="A7" s="800" t="s">
        <v>841</v>
      </c>
      <c r="B7" s="800"/>
      <c r="C7" s="801"/>
      <c r="D7" s="800"/>
    </row>
    <row r="8" spans="1:4" ht="12.75">
      <c r="A8" s="802" t="s">
        <v>842</v>
      </c>
      <c r="B8" s="801">
        <f>17603*1.38</f>
        <v>24292.14</v>
      </c>
      <c r="C8" s="801">
        <f>17520*1.43</f>
        <v>25053.6</v>
      </c>
      <c r="D8" s="803">
        <f>17389*1.057</f>
        <v>18380.173</v>
      </c>
    </row>
    <row r="9" spans="1:4" ht="12.75">
      <c r="A9" s="802" t="s">
        <v>843</v>
      </c>
      <c r="B9" s="801"/>
      <c r="C9" s="801"/>
      <c r="D9" s="803">
        <f>17.389*500</f>
        <v>8694.5</v>
      </c>
    </row>
    <row r="10" spans="1:4" ht="12.75">
      <c r="A10" s="804" t="s">
        <v>844</v>
      </c>
      <c r="B10" s="801">
        <f>12*370</f>
        <v>4440</v>
      </c>
      <c r="C10" s="801">
        <f>12*370</f>
        <v>4440</v>
      </c>
      <c r="D10" s="803">
        <f>12*300</f>
        <v>3600</v>
      </c>
    </row>
    <row r="11" spans="1:4" ht="12.75">
      <c r="A11" s="800" t="s">
        <v>845</v>
      </c>
      <c r="B11" s="801"/>
      <c r="C11" s="801"/>
      <c r="D11" s="803"/>
    </row>
    <row r="12" spans="1:4" ht="12.75">
      <c r="A12" s="800" t="s">
        <v>846</v>
      </c>
      <c r="B12" s="801">
        <f>12000*2</f>
        <v>24000</v>
      </c>
      <c r="C12" s="801">
        <f>14000*2</f>
        <v>28000</v>
      </c>
      <c r="D12" s="803">
        <f>16000*2</f>
        <v>32000</v>
      </c>
    </row>
    <row r="13" spans="1:4" ht="12.75">
      <c r="A13" s="800" t="s">
        <v>847</v>
      </c>
      <c r="B13" s="801"/>
      <c r="C13" s="801"/>
      <c r="D13" s="803"/>
    </row>
    <row r="14" spans="1:4" ht="12.75">
      <c r="A14" s="800" t="s">
        <v>848</v>
      </c>
      <c r="B14" s="801">
        <f>55*700</f>
        <v>38500</v>
      </c>
      <c r="C14" s="801"/>
      <c r="D14" s="803"/>
    </row>
    <row r="15" spans="1:4" ht="12.75">
      <c r="A15" s="800" t="s">
        <v>849</v>
      </c>
      <c r="B15" s="801"/>
      <c r="C15" s="801"/>
      <c r="D15" s="803"/>
    </row>
    <row r="16" spans="1:4" ht="12.75">
      <c r="A16" s="800" t="s">
        <v>850</v>
      </c>
      <c r="B16" s="801">
        <f>48*547</f>
        <v>26256</v>
      </c>
      <c r="C16" s="801">
        <f>56*547</f>
        <v>30632</v>
      </c>
      <c r="D16" s="803">
        <f>56*540.15</f>
        <v>30248.399999999998</v>
      </c>
    </row>
    <row r="17" spans="1:4" ht="12.75">
      <c r="A17" s="800" t="s">
        <v>851</v>
      </c>
      <c r="B17" s="801">
        <f>6*50</f>
        <v>300</v>
      </c>
      <c r="C17" s="801">
        <f>10*50</f>
        <v>500</v>
      </c>
      <c r="D17" s="803">
        <f>19*65</f>
        <v>1235</v>
      </c>
    </row>
    <row r="18" spans="1:4" ht="12.75">
      <c r="A18" s="800" t="s">
        <v>852</v>
      </c>
      <c r="B18" s="801">
        <f>'[1]Munka1'!$G$8</f>
        <v>0</v>
      </c>
      <c r="C18" s="801"/>
      <c r="D18" s="803"/>
    </row>
    <row r="19" spans="1:4" ht="12.75">
      <c r="A19" s="800" t="s">
        <v>853</v>
      </c>
      <c r="B19" s="801"/>
      <c r="C19" s="801"/>
      <c r="D19" s="803"/>
    </row>
    <row r="20" spans="1:4" ht="25.5">
      <c r="A20" s="805" t="s">
        <v>854</v>
      </c>
      <c r="B20" s="806">
        <f>'[1]Munka1'!$G$9</f>
        <v>0</v>
      </c>
      <c r="C20" s="806">
        <f>9*2550000*8/12/1000</f>
        <v>15300</v>
      </c>
      <c r="D20" s="807"/>
    </row>
    <row r="21" spans="1:4" ht="23.25" customHeight="1">
      <c r="A21" s="805" t="s">
        <v>855</v>
      </c>
      <c r="B21" s="806"/>
      <c r="C21" s="806">
        <f>34.1*2550000*8/12/1000</f>
        <v>57970</v>
      </c>
      <c r="D21" s="807"/>
    </row>
    <row r="22" spans="1:4" ht="22.5" customHeight="1">
      <c r="A22" s="805" t="s">
        <v>856</v>
      </c>
      <c r="B22" s="806"/>
      <c r="C22" s="806">
        <v>7225</v>
      </c>
      <c r="D22" s="807">
        <v>30770</v>
      </c>
    </row>
    <row r="23" spans="1:4" ht="25.5">
      <c r="A23" s="805" t="s">
        <v>857</v>
      </c>
      <c r="B23" s="806"/>
      <c r="C23" s="806">
        <v>28390</v>
      </c>
      <c r="D23" s="807">
        <v>37230</v>
      </c>
    </row>
    <row r="24" spans="1:4" ht="14.25" customHeight="1">
      <c r="A24" s="805" t="s">
        <v>858</v>
      </c>
      <c r="B24" s="806"/>
      <c r="C24" s="806"/>
      <c r="D24" s="807">
        <v>30903</v>
      </c>
    </row>
    <row r="25" spans="1:4" ht="12.75">
      <c r="A25" s="802" t="s">
        <v>859</v>
      </c>
      <c r="B25" s="806">
        <f>'[1]Munka1'!$G$10</f>
        <v>0</v>
      </c>
      <c r="C25" s="806"/>
      <c r="D25" s="807"/>
    </row>
    <row r="26" spans="1:4" ht="12.75">
      <c r="A26" s="802" t="s">
        <v>860</v>
      </c>
      <c r="B26" s="806">
        <v>0</v>
      </c>
      <c r="C26" s="806">
        <v>0</v>
      </c>
      <c r="D26" s="807"/>
    </row>
    <row r="27" spans="1:4" ht="25.5">
      <c r="A27" s="805" t="s">
        <v>861</v>
      </c>
      <c r="B27" s="806">
        <f>3*417.6*8/12</f>
        <v>835.2000000000002</v>
      </c>
      <c r="C27" s="806">
        <v>0</v>
      </c>
      <c r="D27" s="807"/>
    </row>
    <row r="28" spans="1:4" ht="12.75">
      <c r="A28" s="805" t="s">
        <v>862</v>
      </c>
      <c r="B28" s="806">
        <f>'[1]Munka1'!$G$12</f>
        <v>0</v>
      </c>
      <c r="C28" s="806">
        <v>0</v>
      </c>
      <c r="D28" s="807"/>
    </row>
    <row r="29" spans="1:4" ht="12.75">
      <c r="A29" s="804" t="s">
        <v>863</v>
      </c>
      <c r="B29" s="801">
        <f>'[1]Munka1'!$G$57</f>
        <v>0</v>
      </c>
      <c r="C29" s="801"/>
      <c r="D29" s="803"/>
    </row>
    <row r="30" spans="1:4" ht="12.75">
      <c r="A30" s="804" t="s">
        <v>864</v>
      </c>
      <c r="B30" s="801"/>
      <c r="C30" s="801">
        <f>7.5*2550000*8/12/1000</f>
        <v>12750</v>
      </c>
      <c r="D30" s="803"/>
    </row>
    <row r="31" spans="1:4" ht="12.75">
      <c r="A31" s="804" t="s">
        <v>865</v>
      </c>
      <c r="B31" s="801"/>
      <c r="C31" s="801">
        <f>18.7*2550000*8/12/1000</f>
        <v>31790</v>
      </c>
      <c r="D31" s="803"/>
    </row>
    <row r="32" spans="1:4" ht="12.75">
      <c r="A32" s="804" t="s">
        <v>866</v>
      </c>
      <c r="B32" s="801"/>
      <c r="C32" s="801">
        <f>15*2550000*8/12/1000</f>
        <v>25500</v>
      </c>
      <c r="D32" s="803"/>
    </row>
    <row r="33" spans="1:4" ht="12.75">
      <c r="A33" s="804" t="s">
        <v>867</v>
      </c>
      <c r="B33" s="801"/>
      <c r="C33" s="801">
        <f>15.4*2550000*4/12/1000</f>
        <v>13090</v>
      </c>
      <c r="D33" s="803">
        <f>22610</f>
        <v>22610</v>
      </c>
    </row>
    <row r="34" spans="1:4" ht="12.75">
      <c r="A34" s="804" t="s">
        <v>868</v>
      </c>
      <c r="B34" s="801"/>
      <c r="C34" s="801">
        <f>8.5*2550000*4/12/1000</f>
        <v>7225</v>
      </c>
      <c r="D34" s="803">
        <v>14450</v>
      </c>
    </row>
    <row r="35" spans="1:4" ht="12.75">
      <c r="A35" s="804" t="s">
        <v>869</v>
      </c>
      <c r="B35" s="801"/>
      <c r="C35" s="801">
        <f>12.1*2550000*4/12/1000</f>
        <v>10285</v>
      </c>
      <c r="D35" s="803">
        <v>21760</v>
      </c>
    </row>
    <row r="36" spans="1:4" ht="12.75">
      <c r="A36" s="804" t="s">
        <v>870</v>
      </c>
      <c r="B36" s="801"/>
      <c r="C36" s="801"/>
      <c r="D36" s="803">
        <v>11007</v>
      </c>
    </row>
    <row r="37" spans="1:4" ht="12.75">
      <c r="A37" s="804" t="s">
        <v>871</v>
      </c>
      <c r="B37" s="801"/>
      <c r="C37" s="801"/>
      <c r="D37" s="803">
        <v>6350</v>
      </c>
    </row>
    <row r="38" spans="1:4" ht="12.75">
      <c r="A38" s="804" t="s">
        <v>872</v>
      </c>
      <c r="B38" s="801"/>
      <c r="C38" s="801"/>
      <c r="D38" s="803">
        <v>9906</v>
      </c>
    </row>
    <row r="39" spans="1:4" ht="12.75">
      <c r="A39" s="802" t="s">
        <v>873</v>
      </c>
      <c r="B39" s="801">
        <f>'[1]Munka1'!$G$58</f>
        <v>0</v>
      </c>
      <c r="C39" s="801"/>
      <c r="D39" s="803"/>
    </row>
    <row r="40" spans="1:4" ht="12.75">
      <c r="A40" s="802" t="s">
        <v>874</v>
      </c>
      <c r="B40" s="801">
        <f>'[1]Munka1'!$G$59</f>
        <v>0</v>
      </c>
      <c r="C40" s="801"/>
      <c r="D40" s="803"/>
    </row>
    <row r="41" spans="1:4" ht="12.75">
      <c r="A41" s="802" t="s">
        <v>875</v>
      </c>
      <c r="B41" s="801">
        <f>'[1]Munka1'!$G$60</f>
        <v>0</v>
      </c>
      <c r="C41" s="801"/>
      <c r="D41" s="803"/>
    </row>
    <row r="42" spans="1:4" ht="25.5">
      <c r="A42" s="805" t="s">
        <v>876</v>
      </c>
      <c r="B42" s="801">
        <f>'[1]Munka1'!$G$69</f>
        <v>0</v>
      </c>
      <c r="C42" s="801"/>
      <c r="D42" s="803"/>
    </row>
    <row r="43" spans="1:4" ht="25.5">
      <c r="A43" s="805" t="s">
        <v>877</v>
      </c>
      <c r="B43" s="801">
        <f>'[1]Munka1'!$G$70</f>
        <v>0</v>
      </c>
      <c r="C43" s="801"/>
      <c r="D43" s="803"/>
    </row>
    <row r="44" spans="1:4" ht="25.5">
      <c r="A44" s="805" t="s">
        <v>878</v>
      </c>
      <c r="B44" s="801">
        <f>'[1]Munka1'!$G$71</f>
        <v>0</v>
      </c>
      <c r="C44" s="801"/>
      <c r="D44" s="803"/>
    </row>
    <row r="45" spans="1:4" ht="25.5">
      <c r="A45" s="805" t="s">
        <v>879</v>
      </c>
      <c r="B45" s="801">
        <f>'[1]Munka1'!$G$77</f>
        <v>0</v>
      </c>
      <c r="C45" s="801"/>
      <c r="D45" s="803"/>
    </row>
    <row r="46" spans="1:4" ht="21.75" customHeight="1">
      <c r="A46" s="805" t="s">
        <v>880</v>
      </c>
      <c r="B46" s="801">
        <f>'[1]Munka1'!$G$78</f>
        <v>0</v>
      </c>
      <c r="C46" s="801"/>
      <c r="D46" s="803"/>
    </row>
    <row r="47" spans="1:4" ht="25.5">
      <c r="A47" s="805" t="s">
        <v>881</v>
      </c>
      <c r="B47" s="801">
        <f>'[1]Munka1'!$G$72</f>
        <v>0</v>
      </c>
      <c r="C47" s="801"/>
      <c r="D47" s="803"/>
    </row>
    <row r="48" spans="1:4" ht="12.75">
      <c r="A48" s="808"/>
      <c r="B48" s="809"/>
      <c r="C48" s="809"/>
      <c r="D48" s="810"/>
    </row>
    <row r="49" spans="1:4" ht="12.75">
      <c r="A49" s="1020">
        <v>2</v>
      </c>
      <c r="B49" s="1020"/>
      <c r="C49" s="1020"/>
      <c r="D49" s="1020"/>
    </row>
    <row r="50" spans="1:4" ht="15.75">
      <c r="A50" s="811" t="s">
        <v>837</v>
      </c>
      <c r="B50" s="812" t="s">
        <v>838</v>
      </c>
      <c r="C50" s="812" t="s">
        <v>839</v>
      </c>
      <c r="D50" s="812" t="s">
        <v>882</v>
      </c>
    </row>
    <row r="51" spans="1:4" ht="12.75">
      <c r="A51" s="800" t="s">
        <v>883</v>
      </c>
      <c r="B51" s="801">
        <f>'[1]Munka1'!$G$61</f>
        <v>0</v>
      </c>
      <c r="C51" s="801"/>
      <c r="D51" s="803"/>
    </row>
    <row r="52" spans="1:4" ht="12.75">
      <c r="A52" s="800" t="s">
        <v>884</v>
      </c>
      <c r="B52" s="801"/>
      <c r="C52" s="801">
        <f>11.3*2550000*8/12/1000</f>
        <v>19210</v>
      </c>
      <c r="D52" s="803"/>
    </row>
    <row r="53" spans="1:4" ht="12.75">
      <c r="A53" s="800" t="s">
        <v>885</v>
      </c>
      <c r="B53" s="801"/>
      <c r="C53" s="801">
        <f>13.3*2550000*8/12/1000</f>
        <v>22610</v>
      </c>
      <c r="D53" s="803"/>
    </row>
    <row r="54" spans="1:4" ht="12.75">
      <c r="A54" s="800" t="s">
        <v>886</v>
      </c>
      <c r="B54" s="801"/>
      <c r="C54" s="801">
        <f>28.9*2550000*8/12/1000</f>
        <v>49130</v>
      </c>
      <c r="D54" s="803"/>
    </row>
    <row r="55" spans="1:4" ht="12.75">
      <c r="A55" s="800" t="s">
        <v>887</v>
      </c>
      <c r="B55" s="801"/>
      <c r="C55" s="801">
        <f>21.3*2550000*4/12/1000</f>
        <v>18105</v>
      </c>
      <c r="D55" s="803">
        <v>34850</v>
      </c>
    </row>
    <row r="56" spans="1:4" ht="12.75">
      <c r="A56" s="800" t="s">
        <v>888</v>
      </c>
      <c r="B56" s="801"/>
      <c r="C56" s="801">
        <f>29*2550000*4/12/1000</f>
        <v>24650</v>
      </c>
      <c r="D56" s="803">
        <v>48620</v>
      </c>
    </row>
    <row r="57" spans="1:4" ht="12.75">
      <c r="A57" s="800" t="s">
        <v>889</v>
      </c>
      <c r="B57" s="801"/>
      <c r="C57" s="801"/>
      <c r="D57" s="803">
        <v>16172</v>
      </c>
    </row>
    <row r="58" spans="1:4" ht="12.75">
      <c r="A58" s="800" t="s">
        <v>890</v>
      </c>
      <c r="B58" s="801"/>
      <c r="C58" s="801"/>
      <c r="D58" s="803">
        <v>9821</v>
      </c>
    </row>
    <row r="59" spans="1:4" ht="12.75">
      <c r="A59" s="800" t="s">
        <v>891</v>
      </c>
      <c r="B59" s="801"/>
      <c r="C59" s="801"/>
      <c r="D59" s="803">
        <v>13123</v>
      </c>
    </row>
    <row r="60" spans="1:4" ht="12.75">
      <c r="A60" s="802" t="s">
        <v>892</v>
      </c>
      <c r="B60" s="801">
        <f>'[1]Munka1'!$G$62</f>
        <v>0</v>
      </c>
      <c r="C60" s="801"/>
      <c r="D60" s="803"/>
    </row>
    <row r="61" spans="1:4" ht="12.75">
      <c r="A61" s="802" t="s">
        <v>893</v>
      </c>
      <c r="B61" s="801">
        <f>'[1]Munka1'!$G$63</f>
        <v>0</v>
      </c>
      <c r="C61" s="801"/>
      <c r="D61" s="803"/>
    </row>
    <row r="62" spans="1:4" ht="12.75">
      <c r="A62" s="802" t="s">
        <v>894</v>
      </c>
      <c r="B62" s="801">
        <f>'[1]Munka1'!$G$64</f>
        <v>0</v>
      </c>
      <c r="C62" s="801"/>
      <c r="D62" s="803"/>
    </row>
    <row r="63" spans="1:4" ht="25.5">
      <c r="A63" s="805" t="s">
        <v>895</v>
      </c>
      <c r="B63" s="801">
        <f>'[1]Munka1'!$G$73</f>
        <v>0</v>
      </c>
      <c r="C63" s="801"/>
      <c r="D63" s="803"/>
    </row>
    <row r="64" spans="1:4" ht="25.5">
      <c r="A64" s="805" t="s">
        <v>896</v>
      </c>
      <c r="B64" s="801">
        <f>'[1]Munka1'!$G$74</f>
        <v>0</v>
      </c>
      <c r="C64" s="801"/>
      <c r="D64" s="803"/>
    </row>
    <row r="65" spans="1:4" ht="25.5">
      <c r="A65" s="805" t="s">
        <v>897</v>
      </c>
      <c r="B65" s="801">
        <f>21*371.2*8/12</f>
        <v>5196.8</v>
      </c>
      <c r="C65" s="801"/>
      <c r="D65" s="803"/>
    </row>
    <row r="66" spans="1:4" ht="25.5">
      <c r="A66" s="805" t="s">
        <v>898</v>
      </c>
      <c r="B66" s="801">
        <f>'[1]Munka1'!$G$79</f>
        <v>0</v>
      </c>
      <c r="C66" s="801"/>
      <c r="D66" s="803"/>
    </row>
    <row r="67" spans="1:4" ht="25.5">
      <c r="A67" s="805" t="s">
        <v>899</v>
      </c>
      <c r="B67" s="801">
        <f>'[1]Munka1'!$G$76</f>
        <v>0</v>
      </c>
      <c r="C67" s="801"/>
      <c r="D67" s="803"/>
    </row>
    <row r="68" spans="1:4" ht="25.5">
      <c r="A68" s="805" t="s">
        <v>900</v>
      </c>
      <c r="B68" s="801">
        <f>'[1]Munka1'!$G$80</f>
        <v>0</v>
      </c>
      <c r="C68" s="801"/>
      <c r="D68" s="803"/>
    </row>
    <row r="69" spans="1:4" ht="12.75">
      <c r="A69" s="805" t="s">
        <v>901</v>
      </c>
      <c r="B69" s="801"/>
      <c r="C69" s="801">
        <f>2*240000*4/12/1000</f>
        <v>160</v>
      </c>
      <c r="D69" s="803">
        <v>320</v>
      </c>
    </row>
    <row r="70" spans="1:4" ht="12.75">
      <c r="A70" s="805" t="s">
        <v>902</v>
      </c>
      <c r="B70" s="801"/>
      <c r="C70" s="801"/>
      <c r="D70" s="803">
        <v>159</v>
      </c>
    </row>
    <row r="71" spans="1:4" ht="25.5">
      <c r="A71" s="805" t="s">
        <v>903</v>
      </c>
      <c r="B71" s="801"/>
      <c r="C71" s="801">
        <f>5*384000*8/12/1000</f>
        <v>1280</v>
      </c>
      <c r="D71" s="803">
        <v>1024</v>
      </c>
    </row>
    <row r="72" spans="1:4" ht="25.5">
      <c r="A72" s="805" t="s">
        <v>904</v>
      </c>
      <c r="B72" s="801"/>
      <c r="C72" s="801">
        <f>4*384000*4/12/1000</f>
        <v>512</v>
      </c>
      <c r="D72" s="803">
        <v>382</v>
      </c>
    </row>
    <row r="73" spans="1:4" ht="38.25">
      <c r="A73" s="805" t="s">
        <v>905</v>
      </c>
      <c r="B73" s="801"/>
      <c r="C73" s="801">
        <f>40*8/12*192000/1000</f>
        <v>5120</v>
      </c>
      <c r="D73" s="803">
        <v>3584</v>
      </c>
    </row>
    <row r="74" spans="1:4" ht="38.25">
      <c r="A74" s="805" t="s">
        <v>906</v>
      </c>
      <c r="B74" s="801"/>
      <c r="C74" s="801">
        <f>35*192000*4/12/1000</f>
        <v>2240</v>
      </c>
      <c r="D74" s="803">
        <v>1593</v>
      </c>
    </row>
    <row r="75" spans="1:4" ht="25.5">
      <c r="A75" s="805" t="s">
        <v>907</v>
      </c>
      <c r="B75" s="801"/>
      <c r="C75" s="801"/>
      <c r="D75" s="803">
        <v>1147</v>
      </c>
    </row>
    <row r="76" spans="1:4" ht="25.5">
      <c r="A76" s="805" t="s">
        <v>908</v>
      </c>
      <c r="B76" s="801"/>
      <c r="C76" s="801">
        <f>30*144000*4/12/1000</f>
        <v>1440</v>
      </c>
      <c r="D76" s="803">
        <v>2592</v>
      </c>
    </row>
    <row r="77" spans="1:4" ht="12.75">
      <c r="A77" s="802" t="s">
        <v>909</v>
      </c>
      <c r="B77" s="801">
        <f>'[1]Munka1'!$G$140+'[1]Munka1'!$G$191</f>
        <v>0</v>
      </c>
      <c r="C77" s="801"/>
      <c r="D77" s="803"/>
    </row>
    <row r="78" spans="1:4" ht="12.75">
      <c r="A78" s="802" t="s">
        <v>910</v>
      </c>
      <c r="B78" s="801">
        <f>'[1]Munka1'!$G$192+'[1]Munka1'!$G$141</f>
        <v>0</v>
      </c>
      <c r="C78" s="801"/>
      <c r="D78" s="803"/>
    </row>
    <row r="79" spans="1:4" ht="12.75">
      <c r="A79" s="802" t="s">
        <v>911</v>
      </c>
      <c r="B79" s="801">
        <f>'[1]Munka1'!$G$142+'[1]Munka1'!$G$193</f>
        <v>0</v>
      </c>
      <c r="C79" s="801"/>
      <c r="D79" s="803"/>
    </row>
    <row r="80" spans="1:4" ht="12.75">
      <c r="A80" s="802" t="s">
        <v>912</v>
      </c>
      <c r="B80" s="801">
        <f>'[1]Munka1'!$G$194+'[1]Munka1'!$G$143</f>
        <v>0</v>
      </c>
      <c r="C80" s="801"/>
      <c r="D80" s="803"/>
    </row>
    <row r="81" spans="1:4" ht="12.75">
      <c r="A81" s="802" t="s">
        <v>913</v>
      </c>
      <c r="B81" s="801"/>
      <c r="C81" s="801">
        <f>28.4*2550000*8/12/1000</f>
        <v>48280</v>
      </c>
      <c r="D81" s="803"/>
    </row>
    <row r="82" spans="1:4" ht="12.75">
      <c r="A82" s="802" t="s">
        <v>914</v>
      </c>
      <c r="B82" s="801"/>
      <c r="C82" s="801">
        <f>32.4*2550000*8/12/1000</f>
        <v>55080</v>
      </c>
      <c r="D82" s="803"/>
    </row>
    <row r="83" spans="1:4" ht="12.75">
      <c r="A83" s="802" t="s">
        <v>915</v>
      </c>
      <c r="B83" s="801"/>
      <c r="C83" s="801">
        <f>53.9*2550000*8/12/1000</f>
        <v>91630</v>
      </c>
      <c r="D83" s="803"/>
    </row>
    <row r="84" spans="1:4" ht="12.75">
      <c r="A84" s="802" t="s">
        <v>916</v>
      </c>
      <c r="B84" s="801"/>
      <c r="C84" s="801">
        <f>60.7*2550000*4/12/1000</f>
        <v>51595</v>
      </c>
      <c r="D84" s="803">
        <v>105740</v>
      </c>
    </row>
    <row r="85" spans="1:4" ht="12.75">
      <c r="A85" s="802" t="s">
        <v>917</v>
      </c>
      <c r="B85" s="801"/>
      <c r="C85" s="801"/>
      <c r="D85" s="803">
        <v>53933</v>
      </c>
    </row>
    <row r="86" spans="1:4" ht="12.75">
      <c r="A86" s="802" t="s">
        <v>918</v>
      </c>
      <c r="B86" s="801"/>
      <c r="C86" s="801">
        <f>58.3*2550000*4/12/1000</f>
        <v>49555</v>
      </c>
      <c r="D86" s="803">
        <v>95710</v>
      </c>
    </row>
    <row r="87" spans="1:4" ht="12.75">
      <c r="A87" s="802" t="s">
        <v>919</v>
      </c>
      <c r="B87" s="801"/>
      <c r="C87" s="801"/>
      <c r="D87" s="803">
        <v>20320</v>
      </c>
    </row>
    <row r="88" spans="1:4" ht="12.75">
      <c r="A88" s="802" t="s">
        <v>920</v>
      </c>
      <c r="B88" s="801"/>
      <c r="C88" s="801"/>
      <c r="D88" s="803">
        <v>26501</v>
      </c>
    </row>
    <row r="89" spans="1:4" ht="12.75">
      <c r="A89" s="804" t="s">
        <v>921</v>
      </c>
      <c r="B89" s="801">
        <f>'[1]Munka1'!$G$144+'[1]Munka1'!$G$195</f>
        <v>0</v>
      </c>
      <c r="C89" s="801"/>
      <c r="D89" s="803"/>
    </row>
    <row r="90" spans="1:4" ht="12.75">
      <c r="A90" s="813"/>
      <c r="B90" s="809"/>
      <c r="C90" s="809"/>
      <c r="D90" s="810"/>
    </row>
    <row r="91" spans="1:4" ht="12.75">
      <c r="A91" s="813"/>
      <c r="B91" s="809"/>
      <c r="C91" s="809"/>
      <c r="D91" s="810"/>
    </row>
    <row r="92" spans="1:4" ht="12.75">
      <c r="A92" s="1085">
        <v>3</v>
      </c>
      <c r="B92" s="1085"/>
      <c r="C92" s="1085"/>
      <c r="D92" s="1085"/>
    </row>
    <row r="93" spans="1:4" ht="15.75">
      <c r="A93" s="811" t="s">
        <v>837</v>
      </c>
      <c r="B93" s="812" t="s">
        <v>838</v>
      </c>
      <c r="C93" s="812" t="s">
        <v>839</v>
      </c>
      <c r="D93" s="812" t="s">
        <v>882</v>
      </c>
    </row>
    <row r="94" spans="1:4" ht="25.5">
      <c r="A94" s="805" t="s">
        <v>922</v>
      </c>
      <c r="B94" s="801">
        <f>'[1]Munka1'!$G$145+'[1]Munka1'!$G$196</f>
        <v>0</v>
      </c>
      <c r="C94" s="801"/>
      <c r="D94" s="803"/>
    </row>
    <row r="95" spans="1:4" ht="25.5">
      <c r="A95" s="805" t="s">
        <v>923</v>
      </c>
      <c r="B95" s="801">
        <f>10.4*2550*4/12</f>
        <v>8840</v>
      </c>
      <c r="C95" s="801"/>
      <c r="D95" s="803"/>
    </row>
    <row r="96" spans="1:4" ht="12.75">
      <c r="A96" s="805" t="s">
        <v>924</v>
      </c>
      <c r="B96" s="801"/>
      <c r="C96" s="801">
        <f>13.4*2550000*8/12/1000</f>
        <v>22780</v>
      </c>
      <c r="D96" s="803">
        <v>38420</v>
      </c>
    </row>
    <row r="97" spans="1:4" ht="12.75">
      <c r="A97" s="805" t="s">
        <v>925</v>
      </c>
      <c r="B97" s="801"/>
      <c r="C97" s="801">
        <f>10.6*2550000*8/12/1000</f>
        <v>18020</v>
      </c>
      <c r="D97" s="803">
        <v>3910</v>
      </c>
    </row>
    <row r="98" spans="1:4" ht="12.75">
      <c r="A98" s="805" t="s">
        <v>926</v>
      </c>
      <c r="B98" s="801"/>
      <c r="C98" s="801">
        <f>22.8*2550000*4/12/1000</f>
        <v>19380</v>
      </c>
      <c r="D98" s="803">
        <v>25061</v>
      </c>
    </row>
    <row r="99" spans="1:4" ht="12.75">
      <c r="A99" s="805" t="s">
        <v>927</v>
      </c>
      <c r="B99" s="801"/>
      <c r="C99" s="801">
        <f>2.7*2550000*4/12/1000</f>
        <v>2295</v>
      </c>
      <c r="D99" s="803"/>
    </row>
    <row r="100" spans="1:4" ht="12.75">
      <c r="A100" s="802" t="s">
        <v>928</v>
      </c>
      <c r="B100" s="801">
        <f>'[1]Munka1'!$G$202</f>
        <v>0</v>
      </c>
      <c r="C100" s="801">
        <f>215*40*8/12</f>
        <v>5733.333333333333</v>
      </c>
      <c r="D100" s="803">
        <v>5627</v>
      </c>
    </row>
    <row r="101" spans="1:4" ht="12.75">
      <c r="A101" s="802" t="s">
        <v>929</v>
      </c>
      <c r="B101" s="801"/>
      <c r="C101" s="801">
        <f>205*40*4/12</f>
        <v>2733.3333333333335</v>
      </c>
      <c r="D101" s="803">
        <v>2609</v>
      </c>
    </row>
    <row r="102" spans="1:4" ht="12.75">
      <c r="A102" s="802" t="s">
        <v>930</v>
      </c>
      <c r="B102" s="801">
        <f>'[1]Munka1'!$G$198</f>
        <v>0</v>
      </c>
      <c r="C102" s="801">
        <f>6*112*4/12</f>
        <v>224</v>
      </c>
      <c r="D102" s="803">
        <v>672</v>
      </c>
    </row>
    <row r="103" spans="1:4" ht="12.75">
      <c r="A103" s="802" t="s">
        <v>931</v>
      </c>
      <c r="B103" s="801"/>
      <c r="C103" s="801"/>
      <c r="D103" s="803">
        <v>671</v>
      </c>
    </row>
    <row r="104" spans="1:4" ht="12.75">
      <c r="A104" s="800" t="s">
        <v>932</v>
      </c>
      <c r="B104" s="801">
        <f>'[1]Munka1'!$G$199</f>
        <v>0</v>
      </c>
      <c r="C104" s="801">
        <f>77*156800*8/12/1000</f>
        <v>8049.066666666667</v>
      </c>
      <c r="D104" s="803">
        <v>4809</v>
      </c>
    </row>
    <row r="105" spans="1:4" ht="12.75">
      <c r="A105" s="802" t="s">
        <v>933</v>
      </c>
      <c r="B105" s="801"/>
      <c r="C105" s="801">
        <f>75*156.8*4/12</f>
        <v>3920</v>
      </c>
      <c r="D105" s="803">
        <v>2177</v>
      </c>
    </row>
    <row r="106" spans="1:4" ht="12.75">
      <c r="A106" s="800" t="s">
        <v>934</v>
      </c>
      <c r="B106" s="801">
        <f>'[1]Munka1'!$G$201</f>
        <v>0</v>
      </c>
      <c r="C106" s="801">
        <f>121*22.4*8/12</f>
        <v>1806.9333333333332</v>
      </c>
      <c r="D106" s="803">
        <v>2494</v>
      </c>
    </row>
    <row r="107" spans="1:4" ht="12.75">
      <c r="A107" s="800" t="s">
        <v>935</v>
      </c>
      <c r="B107" s="801"/>
      <c r="C107" s="801">
        <f>120*22.4*4/12</f>
        <v>896</v>
      </c>
      <c r="D107" s="803">
        <v>1244</v>
      </c>
    </row>
    <row r="108" spans="1:4" ht="12.75">
      <c r="A108" s="800" t="s">
        <v>936</v>
      </c>
      <c r="B108" s="801">
        <f>'[1]Munka1'!$G$200</f>
        <v>0</v>
      </c>
      <c r="C108" s="801">
        <f>63*67.2*8/12</f>
        <v>2822.4</v>
      </c>
      <c r="D108" s="803">
        <v>1882</v>
      </c>
    </row>
    <row r="109" spans="1:4" ht="12.75">
      <c r="A109" s="800" t="s">
        <v>937</v>
      </c>
      <c r="B109" s="801"/>
      <c r="C109" s="801">
        <f>60*67.2*4/12</f>
        <v>1344</v>
      </c>
      <c r="D109" s="803">
        <v>742</v>
      </c>
    </row>
    <row r="110" spans="1:4" ht="12.75">
      <c r="A110" s="800" t="s">
        <v>938</v>
      </c>
      <c r="B110" s="801"/>
      <c r="C110" s="801"/>
      <c r="D110" s="803">
        <v>96</v>
      </c>
    </row>
    <row r="111" spans="1:4" ht="12.75">
      <c r="A111" s="800" t="s">
        <v>939</v>
      </c>
      <c r="B111" s="801">
        <v>0</v>
      </c>
      <c r="C111" s="801">
        <v>0</v>
      </c>
      <c r="D111" s="803"/>
    </row>
    <row r="112" spans="1:4" ht="12.75">
      <c r="A112" s="802" t="s">
        <v>940</v>
      </c>
      <c r="B112" s="801">
        <v>0</v>
      </c>
      <c r="C112" s="801">
        <v>0</v>
      </c>
      <c r="D112" s="803"/>
    </row>
    <row r="113" spans="1:4" ht="12.75">
      <c r="A113" s="800" t="s">
        <v>941</v>
      </c>
      <c r="B113" s="801">
        <v>0</v>
      </c>
      <c r="C113" s="801">
        <v>0</v>
      </c>
      <c r="D113" s="803"/>
    </row>
    <row r="114" spans="1:4" ht="12.75">
      <c r="A114" s="802" t="s">
        <v>942</v>
      </c>
      <c r="B114" s="801">
        <v>0</v>
      </c>
      <c r="C114" s="801">
        <v>0</v>
      </c>
      <c r="D114" s="803"/>
    </row>
    <row r="115" spans="1:4" ht="12.75">
      <c r="A115" s="800" t="s">
        <v>943</v>
      </c>
      <c r="B115" s="801">
        <f>5*240</f>
        <v>1200</v>
      </c>
      <c r="C115" s="801">
        <f>10*240</f>
        <v>2400</v>
      </c>
      <c r="D115" s="803"/>
    </row>
    <row r="116" spans="1:4" ht="12.75">
      <c r="A116" s="800" t="s">
        <v>944</v>
      </c>
      <c r="B116" s="801">
        <f>3*325</f>
        <v>975</v>
      </c>
      <c r="C116" s="801">
        <f>2*325</f>
        <v>650</v>
      </c>
      <c r="D116" s="803"/>
    </row>
    <row r="117" spans="1:4" ht="12.75">
      <c r="A117" s="804" t="s">
        <v>945</v>
      </c>
      <c r="B117" s="801">
        <f>'[1]Munka1'!$G$65</f>
        <v>0</v>
      </c>
      <c r="C117" s="801">
        <f>252*105*8/12</f>
        <v>17640</v>
      </c>
      <c r="D117" s="803">
        <v>8840</v>
      </c>
    </row>
    <row r="118" spans="1:4" ht="12.75">
      <c r="A118" s="814" t="s">
        <v>946</v>
      </c>
      <c r="B118" s="801">
        <f>144*50*8/12/8*6</f>
        <v>3600</v>
      </c>
      <c r="C118" s="801">
        <f>152*40*8/12</f>
        <v>4053.3333333333335</v>
      </c>
      <c r="D118" s="803">
        <v>1870</v>
      </c>
    </row>
    <row r="119" spans="1:4" ht="12.75">
      <c r="A119" s="814" t="s">
        <v>947</v>
      </c>
      <c r="B119" s="801"/>
      <c r="C119" s="801">
        <v>4930</v>
      </c>
      <c r="D119" s="803">
        <v>4403</v>
      </c>
    </row>
    <row r="120" spans="1:4" ht="12.75">
      <c r="A120" s="814" t="s">
        <v>948</v>
      </c>
      <c r="B120" s="801"/>
      <c r="C120" s="801">
        <v>1020</v>
      </c>
      <c r="D120" s="803">
        <v>931</v>
      </c>
    </row>
    <row r="121" spans="1:4" ht="12.75">
      <c r="A121" s="804" t="s">
        <v>949</v>
      </c>
      <c r="B121" s="801">
        <f>116*40*6/12</f>
        <v>2320</v>
      </c>
      <c r="C121" s="801">
        <f>275*51*4/12</f>
        <v>4675</v>
      </c>
      <c r="D121" s="803">
        <v>8364</v>
      </c>
    </row>
    <row r="122" spans="1:4" ht="21.75" customHeight="1">
      <c r="A122" s="804" t="s">
        <v>950</v>
      </c>
      <c r="B122" s="801"/>
      <c r="C122" s="801"/>
      <c r="D122" s="803">
        <v>3977</v>
      </c>
    </row>
    <row r="123" spans="1:4" ht="12.75">
      <c r="A123" s="804" t="s">
        <v>951</v>
      </c>
      <c r="B123" s="801">
        <f>'[1]Munka1'!$G$68</f>
        <v>0</v>
      </c>
      <c r="C123" s="801">
        <f>152*20*4/12</f>
        <v>1013.3333333333334</v>
      </c>
      <c r="D123" s="803">
        <v>1840</v>
      </c>
    </row>
    <row r="124" spans="1:4" ht="12.75">
      <c r="A124" s="804" t="s">
        <v>952</v>
      </c>
      <c r="B124" s="801"/>
      <c r="C124" s="801"/>
      <c r="D124" s="803">
        <v>874</v>
      </c>
    </row>
    <row r="125" spans="1:4" ht="12.75">
      <c r="A125" s="800" t="s">
        <v>953</v>
      </c>
      <c r="B125" s="801">
        <f>'[1]Munka1'!$G$243</f>
        <v>0</v>
      </c>
      <c r="C125" s="801">
        <f>78*318000*8/12/1000</f>
        <v>16536</v>
      </c>
      <c r="D125" s="803">
        <v>6290</v>
      </c>
    </row>
    <row r="126" spans="1:4" ht="12.75">
      <c r="A126" s="800" t="s">
        <v>954</v>
      </c>
      <c r="B126" s="801"/>
      <c r="C126" s="801">
        <f>4.1*2550000*4/12/1000</f>
        <v>3485</v>
      </c>
      <c r="D126" s="803">
        <v>3133</v>
      </c>
    </row>
    <row r="127" spans="1:4" ht="12.75">
      <c r="A127" s="802" t="s">
        <v>955</v>
      </c>
      <c r="B127" s="807"/>
      <c r="C127" s="801">
        <f>78*186*4/12</f>
        <v>4836</v>
      </c>
      <c r="D127" s="803">
        <v>8928</v>
      </c>
    </row>
    <row r="128" spans="1:4" ht="12.75">
      <c r="A128" s="802" t="s">
        <v>956</v>
      </c>
      <c r="B128" s="807"/>
      <c r="C128" s="806"/>
      <c r="D128" s="807">
        <f>177*72*4/12</f>
        <v>4248</v>
      </c>
    </row>
    <row r="129" spans="1:4" ht="12.75">
      <c r="A129" s="800" t="s">
        <v>957</v>
      </c>
      <c r="B129" s="801">
        <f>375*23</f>
        <v>8625</v>
      </c>
      <c r="C129" s="801">
        <f>534*23000*8/12/1000</f>
        <v>8188</v>
      </c>
      <c r="D129" s="803"/>
    </row>
    <row r="130" spans="1:4" ht="12.75">
      <c r="A130" s="800" t="s">
        <v>958</v>
      </c>
      <c r="B130" s="801"/>
      <c r="C130" s="801">
        <v>3230</v>
      </c>
      <c r="D130" s="803">
        <v>6120</v>
      </c>
    </row>
    <row r="131" spans="1:4" ht="12.75">
      <c r="A131" s="800" t="s">
        <v>959</v>
      </c>
      <c r="B131" s="801"/>
      <c r="C131" s="801">
        <v>765</v>
      </c>
      <c r="D131" s="803">
        <v>1530</v>
      </c>
    </row>
    <row r="132" spans="1:4" ht="12.75">
      <c r="A132" s="800" t="s">
        <v>960</v>
      </c>
      <c r="B132" s="801"/>
      <c r="C132" s="801"/>
      <c r="D132" s="803">
        <v>2964</v>
      </c>
    </row>
    <row r="133" spans="1:4" ht="12.75">
      <c r="A133" s="800" t="s">
        <v>961</v>
      </c>
      <c r="B133" s="801"/>
      <c r="C133" s="801"/>
      <c r="D133" s="803">
        <v>677</v>
      </c>
    </row>
    <row r="134" spans="1:4" ht="12.75">
      <c r="A134" s="802" t="s">
        <v>962</v>
      </c>
      <c r="B134" s="801">
        <f>'[1]Munka1'!$G$84</f>
        <v>0</v>
      </c>
      <c r="C134" s="801"/>
      <c r="D134" s="803"/>
    </row>
    <row r="135" spans="1:4" ht="12.75">
      <c r="A135" s="802" t="s">
        <v>963</v>
      </c>
      <c r="B135" s="801">
        <f>'[1]Munka1'!$G$85</f>
        <v>0</v>
      </c>
      <c r="C135" s="801"/>
      <c r="D135" s="803"/>
    </row>
    <row r="136" spans="1:4" ht="12.75">
      <c r="A136" s="800" t="s">
        <v>964</v>
      </c>
      <c r="B136" s="801">
        <f>'[1]Munka1'!$G$204+'[1]Munka1'!$G$203+'[1]Munka1'!$G$151+'[1]Munka1'!$G$152</f>
        <v>0</v>
      </c>
      <c r="C136" s="801">
        <f>49*71.5*8/12</f>
        <v>2335.6666666666665</v>
      </c>
      <c r="D136" s="803">
        <v>10678</v>
      </c>
    </row>
    <row r="137" spans="1:4" ht="12.75">
      <c r="A137" s="800" t="s">
        <v>965</v>
      </c>
      <c r="B137" s="801"/>
      <c r="C137" s="801">
        <f>35*71.5*4/12</f>
        <v>834.1666666666666</v>
      </c>
      <c r="D137" s="803">
        <v>5213</v>
      </c>
    </row>
    <row r="138" spans="1:4" ht="12.75">
      <c r="A138" s="802" t="s">
        <v>966</v>
      </c>
      <c r="B138" s="801"/>
      <c r="C138" s="801">
        <f>173*55</f>
        <v>9515</v>
      </c>
      <c r="D138" s="803">
        <v>10855</v>
      </c>
    </row>
    <row r="139" spans="1:4" ht="12.75">
      <c r="A139" s="802" t="s">
        <v>967</v>
      </c>
      <c r="B139" s="801"/>
      <c r="C139" s="801">
        <f>235*55</f>
        <v>12925</v>
      </c>
      <c r="D139" s="803">
        <v>17745</v>
      </c>
    </row>
    <row r="140" spans="1:4" s="91" customFormat="1" ht="12.75">
      <c r="A140" s="802" t="s">
        <v>968</v>
      </c>
      <c r="B140" s="801"/>
      <c r="C140" s="801">
        <f>75*55</f>
        <v>4125</v>
      </c>
      <c r="D140" s="803"/>
    </row>
    <row r="141" spans="1:4" ht="12.75">
      <c r="A141" s="802" t="s">
        <v>969</v>
      </c>
      <c r="B141" s="801"/>
      <c r="C141" s="801"/>
      <c r="D141" s="803">
        <v>4225</v>
      </c>
    </row>
    <row r="142" spans="1:4" ht="12.75">
      <c r="A142" s="802" t="s">
        <v>970</v>
      </c>
      <c r="B142" s="801"/>
      <c r="C142" s="801"/>
      <c r="D142" s="803">
        <v>910</v>
      </c>
    </row>
    <row r="143" spans="1:4" ht="12.75">
      <c r="A143" s="802" t="s">
        <v>971</v>
      </c>
      <c r="B143" s="801"/>
      <c r="C143" s="801">
        <f>44*55</f>
        <v>2420</v>
      </c>
      <c r="D143" s="803">
        <v>2990</v>
      </c>
    </row>
    <row r="144" spans="1:4" ht="25.5">
      <c r="A144" s="805" t="s">
        <v>972</v>
      </c>
      <c r="B144" s="803"/>
      <c r="C144" s="801">
        <f>27*16</f>
        <v>432</v>
      </c>
      <c r="D144" s="803">
        <v>660</v>
      </c>
    </row>
    <row r="145" spans="1:4" ht="12.75">
      <c r="A145" s="808"/>
      <c r="B145" s="810"/>
      <c r="C145" s="809"/>
      <c r="D145" s="810"/>
    </row>
    <row r="146" spans="1:4" ht="12.75">
      <c r="A146" s="37"/>
      <c r="B146" s="72"/>
      <c r="C146" s="72"/>
      <c r="D146" s="72"/>
    </row>
    <row r="147" spans="1:4" ht="12.75">
      <c r="A147" s="1020">
        <v>4</v>
      </c>
      <c r="B147" s="1020"/>
      <c r="C147" s="1020"/>
      <c r="D147" s="1020"/>
    </row>
    <row r="148" spans="1:4" ht="15.75">
      <c r="A148" s="811" t="s">
        <v>837</v>
      </c>
      <c r="B148" s="812" t="s">
        <v>838</v>
      </c>
      <c r="C148" s="812" t="s">
        <v>839</v>
      </c>
      <c r="D148" s="812" t="s">
        <v>882</v>
      </c>
    </row>
    <row r="149" spans="1:4" ht="12.75">
      <c r="A149" s="802" t="s">
        <v>973</v>
      </c>
      <c r="B149" s="801">
        <f>50*55</f>
        <v>2750</v>
      </c>
      <c r="C149" s="801"/>
      <c r="D149" s="803"/>
    </row>
    <row r="150" spans="1:4" ht="12.75">
      <c r="A150" s="802" t="s">
        <v>974</v>
      </c>
      <c r="B150" s="801">
        <f>255*55</f>
        <v>14025</v>
      </c>
      <c r="C150" s="801"/>
      <c r="D150" s="803"/>
    </row>
    <row r="151" spans="1:4" ht="12.75">
      <c r="A151" s="804" t="s">
        <v>975</v>
      </c>
      <c r="B151" s="801">
        <f>300*55</f>
        <v>16500</v>
      </c>
      <c r="C151" s="801"/>
      <c r="D151" s="803"/>
    </row>
    <row r="152" spans="1:4" ht="12.75">
      <c r="A152" s="802" t="s">
        <v>976</v>
      </c>
      <c r="B152" s="801">
        <f>103*55</f>
        <v>5665</v>
      </c>
      <c r="C152" s="801"/>
      <c r="D152" s="803"/>
    </row>
    <row r="153" spans="1:4" ht="12.75">
      <c r="A153" s="802" t="s">
        <v>977</v>
      </c>
      <c r="B153" s="801">
        <f>150*55</f>
        <v>8250</v>
      </c>
      <c r="C153" s="801"/>
      <c r="D153" s="803"/>
    </row>
    <row r="154" spans="1:4" ht="12.75">
      <c r="A154" s="800" t="s">
        <v>978</v>
      </c>
      <c r="B154" s="801">
        <f>'[1]Munka1'!$G$86</f>
        <v>0</v>
      </c>
      <c r="C154" s="801"/>
      <c r="D154" s="803"/>
    </row>
    <row r="155" spans="1:4" ht="12.75">
      <c r="A155" s="800" t="s">
        <v>979</v>
      </c>
      <c r="B155" s="801">
        <f>'[1]Munka1'!$G$87</f>
        <v>0</v>
      </c>
      <c r="C155" s="801"/>
      <c r="D155" s="803"/>
    </row>
    <row r="156" spans="1:4" ht="12.75">
      <c r="A156" s="800" t="s">
        <v>980</v>
      </c>
      <c r="B156" s="801">
        <f>'[1]Munka1'!$G$16</f>
        <v>0</v>
      </c>
      <c r="C156" s="801"/>
      <c r="D156" s="803"/>
    </row>
    <row r="157" spans="1:4" ht="12.75">
      <c r="A157" s="800" t="s">
        <v>981</v>
      </c>
      <c r="B157" s="801">
        <f>'[1]Munka1'!$G$206+'[1]Munka1'!$G$207+'[1]Munka1'!$G$147+'[1]Munka1'!$G$148</f>
        <v>0</v>
      </c>
      <c r="C157" s="801"/>
      <c r="D157" s="803"/>
    </row>
    <row r="158" spans="1:4" ht="12.75">
      <c r="A158" s="800" t="s">
        <v>982</v>
      </c>
      <c r="B158" s="801">
        <f>'[1]Munka1'!$G$149+'[1]Munka1'!$G$150+'[1]Munka1'!$G$208+'[1]Munka1'!$G$209</f>
        <v>0</v>
      </c>
      <c r="C158" s="801"/>
      <c r="D158" s="803"/>
    </row>
    <row r="159" spans="1:4" ht="12.75">
      <c r="A159" s="800" t="s">
        <v>983</v>
      </c>
      <c r="B159" s="803"/>
      <c r="C159" s="801">
        <f>805*15*8/12</f>
        <v>8050</v>
      </c>
      <c r="D159" s="803">
        <v>10812</v>
      </c>
    </row>
    <row r="160" spans="1:4" ht="12.75">
      <c r="A160" s="800" t="s">
        <v>984</v>
      </c>
      <c r="B160" s="803"/>
      <c r="C160" s="801">
        <f>820*18*4/12</f>
        <v>4920</v>
      </c>
      <c r="D160" s="803">
        <v>5556</v>
      </c>
    </row>
    <row r="161" spans="1:4" ht="12.75">
      <c r="A161" s="800" t="s">
        <v>985</v>
      </c>
      <c r="B161" s="801"/>
      <c r="C161" s="801">
        <f>162*45*8/12</f>
        <v>4860</v>
      </c>
      <c r="D161" s="803"/>
    </row>
    <row r="162" spans="1:4" ht="12.75">
      <c r="A162" s="800" t="s">
        <v>986</v>
      </c>
      <c r="B162" s="801">
        <v>1305</v>
      </c>
      <c r="C162" s="801">
        <f>68*45*4/12</f>
        <v>1020</v>
      </c>
      <c r="D162" s="803">
        <v>1620</v>
      </c>
    </row>
    <row r="163" spans="1:4" ht="12.75">
      <c r="A163" s="800" t="s">
        <v>987</v>
      </c>
      <c r="B163" s="801">
        <v>1185</v>
      </c>
      <c r="C163" s="801">
        <f>23*45*4/12</f>
        <v>345</v>
      </c>
      <c r="D163" s="803">
        <v>630</v>
      </c>
    </row>
    <row r="164" spans="1:4" ht="12.75">
      <c r="A164" s="800" t="s">
        <v>988</v>
      </c>
      <c r="B164" s="801"/>
      <c r="C164" s="801">
        <f>68*45*4/12</f>
        <v>1020</v>
      </c>
      <c r="D164" s="803">
        <v>2070</v>
      </c>
    </row>
    <row r="165" spans="1:4" ht="12.75">
      <c r="A165" s="802" t="s">
        <v>989</v>
      </c>
      <c r="B165" s="388"/>
      <c r="C165" s="801"/>
      <c r="D165" s="803">
        <v>728</v>
      </c>
    </row>
    <row r="166" spans="1:4" ht="12.75">
      <c r="A166" s="802" t="s">
        <v>990</v>
      </c>
      <c r="B166" s="388"/>
      <c r="C166" s="801"/>
      <c r="D166" s="803">
        <v>613</v>
      </c>
    </row>
    <row r="167" spans="1:4" ht="12.75">
      <c r="A167" s="802" t="s">
        <v>991</v>
      </c>
      <c r="B167" s="388"/>
      <c r="C167" s="801"/>
      <c r="D167" s="803">
        <v>713</v>
      </c>
    </row>
    <row r="168" spans="1:4" ht="12.75">
      <c r="A168" s="804" t="s">
        <v>992</v>
      </c>
      <c r="B168" s="801">
        <v>19979</v>
      </c>
      <c r="C168" s="801">
        <f>17520*1.135</f>
        <v>19885.2</v>
      </c>
      <c r="D168" s="803">
        <f>1061*17.389</f>
        <v>18449.729</v>
      </c>
    </row>
    <row r="169" spans="1:4" ht="12.75">
      <c r="A169" s="800" t="s">
        <v>993</v>
      </c>
      <c r="B169" s="801">
        <f>44*3.8</f>
        <v>167.2</v>
      </c>
      <c r="C169" s="801">
        <f>44*3.8</f>
        <v>167.2</v>
      </c>
      <c r="D169" s="803">
        <v>151</v>
      </c>
    </row>
    <row r="170" spans="1:4" ht="12.75">
      <c r="A170" s="802" t="s">
        <v>994</v>
      </c>
      <c r="B170" s="801"/>
      <c r="C170" s="801"/>
      <c r="D170" s="803"/>
    </row>
    <row r="171" spans="1:4" ht="12.75">
      <c r="A171" s="800" t="s">
        <v>995</v>
      </c>
      <c r="B171" s="801">
        <v>3300</v>
      </c>
      <c r="C171" s="801">
        <v>3300</v>
      </c>
      <c r="D171" s="803">
        <v>3300</v>
      </c>
    </row>
    <row r="172" spans="1:4" ht="12.75">
      <c r="A172" s="802" t="s">
        <v>996</v>
      </c>
      <c r="B172" s="806">
        <v>18289</v>
      </c>
      <c r="C172" s="801">
        <f>39886*0.513</f>
        <v>20461.518</v>
      </c>
      <c r="D172" s="801">
        <v>12774</v>
      </c>
    </row>
    <row r="173" spans="1:4" ht="12.75">
      <c r="A173" s="802" t="s">
        <v>997</v>
      </c>
      <c r="B173" s="806">
        <f>45693*0.28</f>
        <v>12794.04</v>
      </c>
      <c r="C173" s="801">
        <f>45326*0.28</f>
        <v>12691.28</v>
      </c>
      <c r="D173" s="801">
        <v>12133</v>
      </c>
    </row>
    <row r="174" spans="1:4" ht="12.75">
      <c r="A174" s="802" t="s">
        <v>998</v>
      </c>
      <c r="B174" s="806">
        <f>27.115*50</f>
        <v>1355.75</v>
      </c>
      <c r="C174" s="801">
        <f>45301*0.05</f>
        <v>2265.05</v>
      </c>
      <c r="D174" s="801">
        <v>3146</v>
      </c>
    </row>
    <row r="175" spans="1:4" ht="12.75">
      <c r="A175" s="802" t="s">
        <v>999</v>
      </c>
      <c r="B175" s="806">
        <f>462*4.6</f>
        <v>2125.2</v>
      </c>
      <c r="C175" s="801">
        <f>479*7.7</f>
        <v>3688.3</v>
      </c>
      <c r="D175" s="801">
        <v>4410</v>
      </c>
    </row>
    <row r="176" spans="1:4" ht="12.75">
      <c r="A176" s="802" t="s">
        <v>1000</v>
      </c>
      <c r="B176" s="806">
        <v>107096</v>
      </c>
      <c r="C176" s="801">
        <v>115509</v>
      </c>
      <c r="D176" s="803">
        <v>116680</v>
      </c>
    </row>
    <row r="177" spans="1:4" s="91" customFormat="1" ht="12.75">
      <c r="A177" s="802" t="s">
        <v>1001</v>
      </c>
      <c r="B177" s="806">
        <v>27593</v>
      </c>
      <c r="C177" s="806">
        <v>0</v>
      </c>
      <c r="D177" s="806">
        <v>0</v>
      </c>
    </row>
    <row r="178" spans="1:4" ht="12.75">
      <c r="A178" s="802" t="s">
        <v>1002</v>
      </c>
      <c r="B178" s="801">
        <v>0</v>
      </c>
      <c r="C178" s="801">
        <v>0</v>
      </c>
      <c r="D178" s="803"/>
    </row>
    <row r="179" spans="1:4" ht="12.75">
      <c r="A179" s="804" t="s">
        <v>1003</v>
      </c>
      <c r="B179" s="801">
        <f>180*81.2</f>
        <v>14616</v>
      </c>
      <c r="C179" s="801"/>
      <c r="D179" s="803"/>
    </row>
    <row r="180" spans="1:4" ht="12.75">
      <c r="A180" s="804" t="s">
        <v>1004</v>
      </c>
      <c r="B180" s="801"/>
      <c r="C180" s="801">
        <f>140*82</f>
        <v>11480</v>
      </c>
      <c r="D180" s="803"/>
    </row>
    <row r="181" spans="1:4" ht="24">
      <c r="A181" s="815" t="s">
        <v>1005</v>
      </c>
      <c r="B181" s="801"/>
      <c r="C181" s="801">
        <f>11*92.5</f>
        <v>1017.5</v>
      </c>
      <c r="D181" s="803">
        <v>6374</v>
      </c>
    </row>
    <row r="182" spans="1:4" ht="24">
      <c r="A182" s="815" t="s">
        <v>1006</v>
      </c>
      <c r="B182" s="801"/>
      <c r="C182" s="801">
        <f>11*82</f>
        <v>902</v>
      </c>
      <c r="D182" s="803">
        <v>7182</v>
      </c>
    </row>
    <row r="183" spans="1:4" ht="24">
      <c r="A183" s="815" t="s">
        <v>1007</v>
      </c>
      <c r="B183" s="801"/>
      <c r="C183" s="801">
        <f>1*65</f>
        <v>65</v>
      </c>
      <c r="D183" s="803">
        <v>640</v>
      </c>
    </row>
    <row r="184" spans="1:4" ht="12.75">
      <c r="A184" s="804" t="s">
        <v>1008</v>
      </c>
      <c r="B184" s="801">
        <f>20*111.5</f>
        <v>2230</v>
      </c>
      <c r="C184" s="801"/>
      <c r="D184" s="803"/>
    </row>
    <row r="185" spans="1:4" ht="12.75">
      <c r="A185" s="804" t="s">
        <v>1009</v>
      </c>
      <c r="B185" s="801"/>
      <c r="C185" s="801">
        <f>12*190</f>
        <v>2280</v>
      </c>
      <c r="D185" s="803"/>
    </row>
    <row r="186" spans="1:4" ht="24">
      <c r="A186" s="815" t="s">
        <v>1010</v>
      </c>
      <c r="B186" s="801"/>
      <c r="C186" s="801">
        <f>3*275</f>
        <v>825</v>
      </c>
      <c r="D186" s="803"/>
    </row>
    <row r="187" spans="1:4" ht="24">
      <c r="A187" s="815" t="s">
        <v>1011</v>
      </c>
      <c r="B187" s="801"/>
      <c r="C187" s="801">
        <f>3*173.7</f>
        <v>521.0999999999999</v>
      </c>
      <c r="D187" s="803"/>
    </row>
    <row r="188" spans="1:4" ht="12.75">
      <c r="A188" s="800" t="s">
        <v>1012</v>
      </c>
      <c r="B188" s="801">
        <v>0</v>
      </c>
      <c r="C188" s="801"/>
      <c r="D188" s="803"/>
    </row>
    <row r="189" spans="1:4" ht="12.75">
      <c r="A189" s="802" t="s">
        <v>1013</v>
      </c>
      <c r="B189" s="801"/>
      <c r="C189" s="801">
        <f>1289*10</f>
        <v>12890</v>
      </c>
      <c r="D189" s="803">
        <v>12270</v>
      </c>
    </row>
    <row r="190" spans="1:4" ht="12.75">
      <c r="A190" s="800" t="s">
        <v>1014</v>
      </c>
      <c r="B190" s="801">
        <v>0</v>
      </c>
      <c r="C190" s="801"/>
      <c r="D190" s="803"/>
    </row>
    <row r="191" spans="1:4" ht="12.75">
      <c r="A191" s="800" t="s">
        <v>1015</v>
      </c>
      <c r="B191" s="801">
        <v>0</v>
      </c>
      <c r="C191" s="801"/>
      <c r="D191" s="803"/>
    </row>
    <row r="192" spans="1:4" ht="12.75">
      <c r="A192" s="800" t="s">
        <v>1016</v>
      </c>
      <c r="B192" s="801">
        <v>0</v>
      </c>
      <c r="C192" s="801"/>
      <c r="D192" s="803"/>
    </row>
    <row r="193" spans="1:4" ht="12.75">
      <c r="A193" s="800" t="s">
        <v>1017</v>
      </c>
      <c r="B193" s="801">
        <v>0</v>
      </c>
      <c r="C193" s="801"/>
      <c r="D193" s="803"/>
    </row>
    <row r="194" spans="1:4" ht="12.75">
      <c r="A194" s="37"/>
      <c r="B194" s="809"/>
      <c r="C194" s="809"/>
      <c r="D194" s="810"/>
    </row>
    <row r="195" spans="1:4" ht="12.75">
      <c r="A195" s="37"/>
      <c r="B195" s="809"/>
      <c r="C195" s="809"/>
      <c r="D195" s="810"/>
    </row>
    <row r="196" spans="1:4" ht="12.75">
      <c r="A196" s="37"/>
      <c r="B196" s="809"/>
      <c r="C196" s="809"/>
      <c r="D196" s="810"/>
    </row>
    <row r="197" spans="1:4" ht="12.75">
      <c r="A197" s="37"/>
      <c r="B197" s="809"/>
      <c r="C197" s="809"/>
      <c r="D197" s="810"/>
    </row>
    <row r="198" spans="1:4" ht="12.75">
      <c r="A198" s="37"/>
      <c r="B198" s="809"/>
      <c r="C198" s="809"/>
      <c r="D198" s="810"/>
    </row>
    <row r="199" spans="1:4" ht="12.75">
      <c r="A199" s="37"/>
      <c r="B199" s="809"/>
      <c r="C199" s="809"/>
      <c r="D199" s="810"/>
    </row>
    <row r="200" spans="1:4" ht="12.75">
      <c r="A200" s="1020">
        <v>5</v>
      </c>
      <c r="B200" s="1020"/>
      <c r="C200" s="1020"/>
      <c r="D200" s="1020"/>
    </row>
    <row r="201" spans="1:4" ht="15.75">
      <c r="A201" s="811" t="s">
        <v>837</v>
      </c>
      <c r="B201" s="812" t="s">
        <v>838</v>
      </c>
      <c r="C201" s="812" t="s">
        <v>839</v>
      </c>
      <c r="D201" s="812" t="s">
        <v>882</v>
      </c>
    </row>
    <row r="202" spans="1:4" ht="12.75">
      <c r="A202" s="800" t="s">
        <v>1018</v>
      </c>
      <c r="B202" s="801">
        <f>99*10</f>
        <v>990</v>
      </c>
      <c r="C202" s="801"/>
      <c r="D202" s="803"/>
    </row>
    <row r="203" spans="1:4" ht="12.75">
      <c r="A203" s="800" t="s">
        <v>1019</v>
      </c>
      <c r="B203" s="801">
        <f>36*10</f>
        <v>360</v>
      </c>
      <c r="C203" s="801"/>
      <c r="D203" s="803"/>
    </row>
    <row r="204" spans="1:4" ht="12.75">
      <c r="A204" s="800" t="s">
        <v>1020</v>
      </c>
      <c r="B204" s="801">
        <f>15*10</f>
        <v>150</v>
      </c>
      <c r="C204" s="801"/>
      <c r="D204" s="803"/>
    </row>
    <row r="205" spans="1:4" ht="12.75">
      <c r="A205" s="800" t="s">
        <v>1021</v>
      </c>
      <c r="B205" s="801">
        <f>630*10</f>
        <v>6300</v>
      </c>
      <c r="C205" s="801"/>
      <c r="D205" s="803"/>
    </row>
    <row r="206" spans="1:4" ht="12.75">
      <c r="A206" s="800" t="s">
        <v>1022</v>
      </c>
      <c r="B206" s="801"/>
      <c r="C206" s="801"/>
      <c r="D206" s="803"/>
    </row>
    <row r="207" spans="1:4" ht="12.75">
      <c r="A207" s="800" t="s">
        <v>1023</v>
      </c>
      <c r="B207" s="801">
        <f>430*10</f>
        <v>4300</v>
      </c>
      <c r="C207" s="801"/>
      <c r="D207" s="803"/>
    </row>
    <row r="208" spans="1:4" ht="12.75">
      <c r="A208" s="800" t="s">
        <v>1024</v>
      </c>
      <c r="B208" s="801">
        <f>'[1]Munka1'!$G$95+'[1]Munka1'!$G$154+'[1]Munka1'!$G$211</f>
        <v>0</v>
      </c>
      <c r="C208" s="801">
        <f>2800*1</f>
        <v>2800</v>
      </c>
      <c r="D208" s="803">
        <v>1704</v>
      </c>
    </row>
    <row r="209" spans="1:4" ht="12.75">
      <c r="A209" s="800" t="s">
        <v>1025</v>
      </c>
      <c r="B209" s="801"/>
      <c r="C209" s="801"/>
      <c r="D209" s="803"/>
    </row>
    <row r="210" spans="1:4" ht="12.75">
      <c r="A210" s="802" t="s">
        <v>1026</v>
      </c>
      <c r="B210" s="801">
        <f>'[1]Munka1'!$G$17+'[1]Munka1'!$G$96+'[1]Munka1'!$G$155+'[1]Munka1'!$G$212</f>
        <v>0</v>
      </c>
      <c r="C210" s="801"/>
      <c r="D210" s="803"/>
    </row>
    <row r="211" spans="1:4" ht="12.75">
      <c r="A211" s="800" t="s">
        <v>1027</v>
      </c>
      <c r="B211" s="801">
        <f>17603*0.515</f>
        <v>9065.545</v>
      </c>
      <c r="C211" s="801">
        <f>17520*0.515</f>
        <v>9022.800000000001</v>
      </c>
      <c r="D211" s="803">
        <f>17.389*515</f>
        <v>8955.335</v>
      </c>
    </row>
    <row r="212" spans="1:4" ht="12.75">
      <c r="A212" s="816" t="s">
        <v>1028</v>
      </c>
      <c r="B212" s="803">
        <f>SUM(B153:B211)+SUM(B8:B152)</f>
        <v>429770.875</v>
      </c>
      <c r="C212" s="803">
        <f>SUM(C153:C211)+SUM(C8:C152)</f>
        <v>1174746.1146666668</v>
      </c>
      <c r="D212" s="803">
        <f>SUM(D153:D211)+SUM(D8:D152)</f>
        <v>1154325.1369999999</v>
      </c>
    </row>
    <row r="213" spans="1:4" ht="12.75">
      <c r="A213" s="37"/>
      <c r="B213" s="72"/>
      <c r="C213" s="496"/>
      <c r="D213" s="496"/>
    </row>
    <row r="214" spans="1:4" ht="12.75">
      <c r="A214" s="1083"/>
      <c r="B214" s="1083"/>
      <c r="C214" s="1083"/>
      <c r="D214" s="817"/>
    </row>
    <row r="215" spans="1:4" ht="12.75">
      <c r="A215" s="37"/>
      <c r="B215" s="72"/>
      <c r="C215" s="496"/>
      <c r="D215" s="496"/>
    </row>
    <row r="216" spans="1:4" ht="12.75">
      <c r="A216" s="1036"/>
      <c r="B216" s="1036"/>
      <c r="C216" s="1036"/>
      <c r="D216" s="753"/>
    </row>
    <row r="217" spans="1:4" ht="15.75">
      <c r="A217" s="1014" t="s">
        <v>1029</v>
      </c>
      <c r="B217" s="1014"/>
      <c r="C217" s="1014"/>
      <c r="D217" s="1014"/>
    </row>
    <row r="218" spans="1:4" ht="12.75">
      <c r="A218" s="37"/>
      <c r="B218" s="72"/>
      <c r="C218" s="496"/>
      <c r="D218" s="496"/>
    </row>
    <row r="219" spans="1:4" ht="15.75">
      <c r="A219" s="811" t="s">
        <v>837</v>
      </c>
      <c r="B219" s="818" t="s">
        <v>838</v>
      </c>
      <c r="C219" s="819" t="s">
        <v>839</v>
      </c>
      <c r="D219" s="812" t="s">
        <v>882</v>
      </c>
    </row>
    <row r="220" spans="1:4" ht="12.75">
      <c r="A220" s="816" t="s">
        <v>1030</v>
      </c>
      <c r="B220" s="801">
        <v>22789</v>
      </c>
      <c r="C220" s="820">
        <v>23567</v>
      </c>
      <c r="D220" s="801"/>
    </row>
    <row r="221" spans="1:4" ht="12.75">
      <c r="A221" s="802" t="s">
        <v>1031</v>
      </c>
      <c r="B221" s="801">
        <f>7*1020</f>
        <v>7140</v>
      </c>
      <c r="C221" s="820">
        <v>7140</v>
      </c>
      <c r="D221" s="803">
        <v>7760</v>
      </c>
    </row>
    <row r="222" spans="1:4" ht="12.75">
      <c r="A222" s="800" t="s">
        <v>1032</v>
      </c>
      <c r="B222" s="801">
        <f>'[1]Munka1'!$G$22+'[1]Munka1'!$G$23+'[1]Munka1'!$G$99+'[1]Munka1'!$G$100+'[1]Munka1'!$G$158+'[1]Munka1'!$G$159+'[1]Munka1'!$G$215+'[1]Munka1'!$G$216+'[1]Munka1'!$G$248+'[1]Munka1'!$G$249</f>
        <v>0</v>
      </c>
      <c r="C222" s="820">
        <f>303*11.7</f>
        <v>3545.1</v>
      </c>
      <c r="D222" s="803">
        <f>301*11.7*8/12+296*11.7*4/12</f>
        <v>3502.2</v>
      </c>
    </row>
    <row r="223" spans="1:4" ht="12.75">
      <c r="A223" s="800" t="s">
        <v>1033</v>
      </c>
      <c r="B223" s="801">
        <f>38*9.4</f>
        <v>357.2</v>
      </c>
      <c r="C223" s="820">
        <f>18*9.4</f>
        <v>169.20000000000002</v>
      </c>
      <c r="D223" s="803">
        <f>16*9.4</f>
        <v>150.4</v>
      </c>
    </row>
    <row r="224" spans="1:4" ht="12.75">
      <c r="A224" s="800" t="s">
        <v>1034</v>
      </c>
      <c r="B224" s="803"/>
      <c r="C224" s="821"/>
      <c r="D224" s="803">
        <v>707</v>
      </c>
    </row>
    <row r="225" spans="1:4" ht="12.75">
      <c r="A225" s="816" t="s">
        <v>463</v>
      </c>
      <c r="B225" s="803">
        <f>SUM(B220:B224)</f>
        <v>30286.2</v>
      </c>
      <c r="C225" s="821">
        <f>SUM(C220:C224)</f>
        <v>34421.299999999996</v>
      </c>
      <c r="D225" s="803">
        <f>SUM(D220:D224)-1</f>
        <v>12118.6</v>
      </c>
    </row>
    <row r="226" spans="1:4" ht="12.75">
      <c r="A226" s="816" t="s">
        <v>1035</v>
      </c>
      <c r="B226" s="822"/>
      <c r="C226" s="821"/>
      <c r="D226" s="803"/>
    </row>
    <row r="227" spans="1:4" ht="12.75">
      <c r="A227" s="800" t="s">
        <v>1036</v>
      </c>
      <c r="B227" s="801"/>
      <c r="C227" s="821"/>
      <c r="D227" s="803"/>
    </row>
    <row r="228" spans="1:4" ht="12.75">
      <c r="A228" s="800" t="s">
        <v>1037</v>
      </c>
      <c r="B228" s="801">
        <f>59*3920.172</f>
        <v>231290.14800000002</v>
      </c>
      <c r="C228" s="820">
        <f>62*3920172/1000-1</f>
        <v>243049.664</v>
      </c>
      <c r="D228" s="803">
        <v>259313</v>
      </c>
    </row>
    <row r="229" spans="1:4" ht="12.75">
      <c r="A229" s="800" t="s">
        <v>526</v>
      </c>
      <c r="B229" s="803"/>
      <c r="C229" s="820"/>
      <c r="D229" s="803"/>
    </row>
    <row r="230" spans="1:4" ht="12.75">
      <c r="A230" s="802" t="s">
        <v>1038</v>
      </c>
      <c r="B230" s="801">
        <f>1083*4.717</f>
        <v>5108.5109999999995</v>
      </c>
      <c r="C230" s="820">
        <f>1083*4717/1000</f>
        <v>5108.511</v>
      </c>
      <c r="D230" s="803">
        <f>1083*4.897+1</f>
        <v>5304.451</v>
      </c>
    </row>
    <row r="231" spans="1:4" ht="32.25" customHeight="1">
      <c r="A231" s="802" t="s">
        <v>1039</v>
      </c>
      <c r="B231" s="801">
        <f>84855*0.115</f>
        <v>9758.325</v>
      </c>
      <c r="C231" s="820">
        <f>84548*115/1000</f>
        <v>9723.02</v>
      </c>
      <c r="D231" s="803">
        <f>87133*0.138</f>
        <v>12024.354000000001</v>
      </c>
    </row>
    <row r="232" spans="1:4" ht="12.75">
      <c r="A232" s="800" t="s">
        <v>1040</v>
      </c>
      <c r="B232" s="801"/>
      <c r="C232" s="820"/>
      <c r="D232" s="803"/>
    </row>
    <row r="233" spans="1:4" ht="12.75">
      <c r="A233" s="802" t="s">
        <v>1041</v>
      </c>
      <c r="B233" s="801">
        <f>3*500</f>
        <v>1500</v>
      </c>
      <c r="C233" s="820">
        <f>3*500</f>
        <v>1500</v>
      </c>
      <c r="D233" s="803">
        <f>3*500</f>
        <v>1500</v>
      </c>
    </row>
    <row r="234" spans="1:4" ht="12.75">
      <c r="A234" s="800" t="s">
        <v>1042</v>
      </c>
      <c r="B234" s="803"/>
      <c r="C234" s="820">
        <v>0</v>
      </c>
      <c r="D234" s="803">
        <v>0</v>
      </c>
    </row>
    <row r="235" spans="1:4" ht="12.75">
      <c r="A235" s="816" t="s">
        <v>463</v>
      </c>
      <c r="B235" s="803">
        <f>SUM(B228:B234)</f>
        <v>247656.98400000003</v>
      </c>
      <c r="C235" s="821">
        <f>SUM(C228:C234)+1</f>
        <v>259382.19499999998</v>
      </c>
      <c r="D235" s="803">
        <f>SUM(D228:D234)-1</f>
        <v>278140.805</v>
      </c>
    </row>
    <row r="236" spans="1:4" ht="12.75">
      <c r="A236" s="816" t="s">
        <v>1043</v>
      </c>
      <c r="B236" s="803">
        <f>B225+B235</f>
        <v>277943.184</v>
      </c>
      <c r="C236" s="821">
        <f>C235+C225</f>
        <v>293803.495</v>
      </c>
      <c r="D236" s="803">
        <f>D235+D225</f>
        <v>290259.40499999997</v>
      </c>
    </row>
    <row r="237" spans="1:4" ht="12.75">
      <c r="A237" s="816" t="s">
        <v>1044</v>
      </c>
      <c r="B237" s="803">
        <f>B212+B236</f>
        <v>707714.059</v>
      </c>
      <c r="C237" s="821">
        <f>C236+C212</f>
        <v>1468549.609666667</v>
      </c>
      <c r="D237" s="803">
        <f>D236+D212</f>
        <v>1444584.542</v>
      </c>
    </row>
    <row r="238" spans="1:4" ht="12.75">
      <c r="A238" s="800"/>
      <c r="B238" s="822"/>
      <c r="C238" s="821"/>
      <c r="D238" s="803"/>
    </row>
    <row r="239" spans="1:4" ht="12.75">
      <c r="A239" s="800" t="s">
        <v>1045</v>
      </c>
      <c r="B239" s="801">
        <v>144041</v>
      </c>
      <c r="C239" s="820">
        <v>162581</v>
      </c>
      <c r="D239" s="803">
        <v>190789</v>
      </c>
    </row>
    <row r="240" spans="1:4" ht="12.75">
      <c r="A240" s="823" t="s">
        <v>1046</v>
      </c>
      <c r="B240" s="801">
        <v>218552</v>
      </c>
      <c r="C240" s="820">
        <v>220829</v>
      </c>
      <c r="D240" s="803">
        <v>241339</v>
      </c>
    </row>
    <row r="241" spans="1:4" ht="12.75">
      <c r="A241" s="816" t="s">
        <v>1044</v>
      </c>
      <c r="B241" s="803">
        <f>SUM(B237:B240)</f>
        <v>1070307.059</v>
      </c>
      <c r="C241" s="821">
        <f>SUM(C237:C240)</f>
        <v>1851959.609666667</v>
      </c>
      <c r="D241" s="803">
        <f>SUM(D237:D240)</f>
        <v>1876712.542</v>
      </c>
    </row>
  </sheetData>
  <sheetProtection/>
  <mergeCells count="9">
    <mergeCell ref="A214:C214"/>
    <mergeCell ref="A216:C216"/>
    <mergeCell ref="A217:D217"/>
    <mergeCell ref="A3:D3"/>
    <mergeCell ref="A4:D4"/>
    <mergeCell ref="A49:D49"/>
    <mergeCell ref="A92:D92"/>
    <mergeCell ref="A147:D147"/>
    <mergeCell ref="A200:D200"/>
  </mergeCells>
  <printOptions/>
  <pageMargins left="0.5513888888888889" right="0.5513888888888889" top="0.7875" bottom="0.7875" header="0.5118055555555556" footer="0.5118055555555556"/>
  <pageSetup horizontalDpi="300" verticalDpi="300"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36"/>
  <sheetViews>
    <sheetView zoomScalePageLayoutView="0" workbookViewId="0" topLeftCell="A1">
      <selection activeCell="A36" sqref="A36"/>
    </sheetView>
  </sheetViews>
  <sheetFormatPr defaultColWidth="9.140625" defaultRowHeight="12.75"/>
  <cols>
    <col min="1" max="1" width="60.57421875" style="0" customWidth="1"/>
    <col min="2" max="2" width="25.00390625" style="0" customWidth="1"/>
  </cols>
  <sheetData>
    <row r="1" ht="12.75">
      <c r="B1" t="s">
        <v>1047</v>
      </c>
    </row>
    <row r="5" spans="1:2" ht="15.75">
      <c r="A5" s="1084" t="s">
        <v>1048</v>
      </c>
      <c r="B5" s="1084"/>
    </row>
    <row r="10" spans="1:2" ht="12.75">
      <c r="A10" s="824" t="s">
        <v>5</v>
      </c>
      <c r="B10" s="824" t="s">
        <v>1049</v>
      </c>
    </row>
    <row r="11" spans="1:2" ht="12.75">
      <c r="A11" s="800"/>
      <c r="B11" s="800"/>
    </row>
    <row r="12" spans="1:2" ht="12.75">
      <c r="A12" s="825" t="s">
        <v>1050</v>
      </c>
      <c r="B12" s="800"/>
    </row>
    <row r="13" spans="1:2" ht="12.75">
      <c r="A13" s="825" t="s">
        <v>1051</v>
      </c>
      <c r="B13" s="800"/>
    </row>
    <row r="14" spans="1:2" ht="12.75">
      <c r="A14" s="800" t="s">
        <v>1052</v>
      </c>
      <c r="B14" s="822">
        <v>4924</v>
      </c>
    </row>
    <row r="15" spans="1:2" ht="12.75">
      <c r="A15" s="800" t="s">
        <v>1053</v>
      </c>
      <c r="B15" s="822">
        <v>76499</v>
      </c>
    </row>
    <row r="16" spans="1:2" ht="12.75">
      <c r="A16" s="800" t="s">
        <v>1054</v>
      </c>
      <c r="B16" s="822">
        <v>19588</v>
      </c>
    </row>
    <row r="17" spans="1:2" ht="12.75">
      <c r="A17" s="800" t="s">
        <v>1055</v>
      </c>
      <c r="B17" s="822">
        <v>9707</v>
      </c>
    </row>
    <row r="18" spans="1:2" ht="12.75">
      <c r="A18" s="800" t="s">
        <v>1056</v>
      </c>
      <c r="B18" s="826">
        <v>19710</v>
      </c>
    </row>
    <row r="19" spans="1:2" ht="12.75">
      <c r="A19" s="800" t="s">
        <v>1057</v>
      </c>
      <c r="B19" s="826">
        <v>19250</v>
      </c>
    </row>
    <row r="20" spans="1:2" ht="12.75">
      <c r="A20" s="800" t="s">
        <v>1058</v>
      </c>
      <c r="B20" s="826">
        <v>9655</v>
      </c>
    </row>
    <row r="21" spans="1:2" ht="12.75">
      <c r="A21" s="825" t="s">
        <v>1059</v>
      </c>
      <c r="B21" s="822">
        <v>29000</v>
      </c>
    </row>
    <row r="22" spans="1:2" ht="12.75">
      <c r="A22" s="825" t="s">
        <v>1060</v>
      </c>
      <c r="B22" s="822">
        <v>24242</v>
      </c>
    </row>
    <row r="23" spans="1:2" ht="12.75">
      <c r="A23" s="825" t="s">
        <v>1061</v>
      </c>
      <c r="B23" s="827">
        <f>SUM(B14:B22)</f>
        <v>212575</v>
      </c>
    </row>
    <row r="24" spans="1:2" ht="12.75">
      <c r="A24" s="800"/>
      <c r="B24" s="800"/>
    </row>
    <row r="25" spans="1:2" ht="12.75">
      <c r="A25" s="800"/>
      <c r="B25" s="800"/>
    </row>
    <row r="26" spans="1:2" ht="12.75">
      <c r="A26" s="800"/>
      <c r="B26" s="800"/>
    </row>
    <row r="27" spans="1:2" ht="12.75">
      <c r="A27" s="825" t="s">
        <v>1062</v>
      </c>
      <c r="B27" s="800"/>
    </row>
    <row r="28" spans="1:2" ht="12.75">
      <c r="A28" s="800" t="s">
        <v>1063</v>
      </c>
      <c r="B28" s="822">
        <v>33955</v>
      </c>
    </row>
    <row r="29" spans="1:2" ht="12.75">
      <c r="A29" s="800" t="s">
        <v>1053</v>
      </c>
      <c r="B29" s="822">
        <v>90000</v>
      </c>
    </row>
    <row r="30" spans="1:2" ht="12.75">
      <c r="A30" s="800" t="s">
        <v>1054</v>
      </c>
      <c r="B30" s="822">
        <v>22080</v>
      </c>
    </row>
    <row r="31" spans="1:2" ht="12.75">
      <c r="A31" s="800" t="s">
        <v>1055</v>
      </c>
      <c r="B31" s="822">
        <v>11100</v>
      </c>
    </row>
    <row r="32" spans="1:2" ht="12.75">
      <c r="A32" s="800" t="s">
        <v>1056</v>
      </c>
      <c r="B32" s="822">
        <v>22200</v>
      </c>
    </row>
    <row r="33" spans="1:2" ht="12.75">
      <c r="A33" s="800" t="s">
        <v>1057</v>
      </c>
      <c r="B33" s="822">
        <v>22200</v>
      </c>
    </row>
    <row r="34" spans="1:2" ht="12.75">
      <c r="A34" s="800" t="s">
        <v>1058</v>
      </c>
      <c r="B34" s="822">
        <v>11040</v>
      </c>
    </row>
    <row r="35" spans="1:2" ht="12.75">
      <c r="A35" s="800"/>
      <c r="B35" s="800"/>
    </row>
    <row r="36" spans="1:2" ht="12.75">
      <c r="A36" s="825" t="s">
        <v>1064</v>
      </c>
      <c r="B36" s="827">
        <f>SUM(B28:B35)</f>
        <v>212575</v>
      </c>
    </row>
  </sheetData>
  <sheetProtection/>
  <mergeCells count="1">
    <mergeCell ref="A5:B5"/>
  </mergeCells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55.7109375" style="0" customWidth="1"/>
    <col min="2" max="2" width="26.28125" style="0" customWidth="1"/>
  </cols>
  <sheetData>
    <row r="1" ht="12.75">
      <c r="B1" s="506" t="s">
        <v>1065</v>
      </c>
    </row>
    <row r="4" spans="1:2" ht="18">
      <c r="A4" s="1062" t="s">
        <v>1066</v>
      </c>
      <c r="B4" s="1062"/>
    </row>
    <row r="7" ht="12.75">
      <c r="B7" s="397" t="s">
        <v>1067</v>
      </c>
    </row>
    <row r="8" spans="1:2" ht="15.75">
      <c r="A8" s="828" t="s">
        <v>5</v>
      </c>
      <c r="B8" s="829" t="s">
        <v>445</v>
      </c>
    </row>
    <row r="9" spans="1:2" ht="15.75">
      <c r="A9" s="830"/>
      <c r="B9" s="831"/>
    </row>
    <row r="10" spans="1:2" ht="15.75">
      <c r="A10" s="830" t="s">
        <v>1068</v>
      </c>
      <c r="B10" s="831"/>
    </row>
    <row r="11" spans="1:2" ht="15.75">
      <c r="A11" s="830" t="s">
        <v>1069</v>
      </c>
      <c r="B11" s="831">
        <v>554</v>
      </c>
    </row>
    <row r="12" spans="1:2" ht="15.75">
      <c r="A12" s="830" t="s">
        <v>1070</v>
      </c>
      <c r="B12" s="831">
        <v>5000</v>
      </c>
    </row>
    <row r="13" spans="1:2" ht="15.75">
      <c r="A13" s="830" t="s">
        <v>1071</v>
      </c>
      <c r="B13" s="831">
        <v>1000</v>
      </c>
    </row>
    <row r="14" spans="1:2" ht="15.75">
      <c r="A14" s="830" t="s">
        <v>1072</v>
      </c>
      <c r="B14" s="831">
        <v>2000</v>
      </c>
    </row>
    <row r="15" spans="1:2" ht="15.75">
      <c r="A15" s="830" t="s">
        <v>1073</v>
      </c>
      <c r="B15" s="831">
        <v>1000</v>
      </c>
    </row>
    <row r="16" spans="1:2" ht="15.75">
      <c r="A16" s="830" t="s">
        <v>1074</v>
      </c>
      <c r="B16" s="831">
        <v>10000</v>
      </c>
    </row>
    <row r="17" spans="1:2" ht="15.75">
      <c r="A17" s="830" t="s">
        <v>1075</v>
      </c>
      <c r="B17" s="831">
        <v>8333</v>
      </c>
    </row>
    <row r="18" spans="1:2" ht="15.75">
      <c r="A18" s="830" t="s">
        <v>1076</v>
      </c>
      <c r="B18" s="831">
        <v>5578</v>
      </c>
    </row>
    <row r="19" spans="1:2" ht="15.75">
      <c r="A19" s="830" t="s">
        <v>1077</v>
      </c>
      <c r="B19" s="831"/>
    </row>
    <row r="20" spans="1:2" ht="15.75">
      <c r="A20" s="832" t="s">
        <v>1078</v>
      </c>
      <c r="B20" s="833">
        <f>SUM(B11:B19)</f>
        <v>33465</v>
      </c>
    </row>
    <row r="21" spans="1:2" ht="15.75">
      <c r="A21" s="832"/>
      <c r="B21" s="833"/>
    </row>
    <row r="22" spans="1:2" ht="15.75">
      <c r="A22" s="830" t="s">
        <v>556</v>
      </c>
      <c r="B22" s="831"/>
    </row>
    <row r="23" spans="1:2" ht="15.75">
      <c r="A23" s="830" t="s">
        <v>558</v>
      </c>
      <c r="B23" s="831">
        <v>32733</v>
      </c>
    </row>
    <row r="24" spans="1:2" ht="15.75">
      <c r="A24" s="832" t="s">
        <v>1079</v>
      </c>
      <c r="B24" s="833">
        <f>SUM(B22:B23)</f>
        <v>32733</v>
      </c>
    </row>
    <row r="25" spans="1:2" ht="15.75">
      <c r="A25" s="832"/>
      <c r="B25" s="833"/>
    </row>
    <row r="26" spans="1:2" ht="15.75">
      <c r="A26" s="834" t="s">
        <v>1080</v>
      </c>
      <c r="B26" s="835">
        <f>B20+B24</f>
        <v>66198</v>
      </c>
    </row>
  </sheetData>
  <sheetProtection/>
  <mergeCells count="1">
    <mergeCell ref="A4:B4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B143"/>
  <sheetViews>
    <sheetView zoomScalePageLayoutView="0" workbookViewId="0" topLeftCell="A1">
      <selection activeCell="B143" sqref="B143"/>
    </sheetView>
  </sheetViews>
  <sheetFormatPr defaultColWidth="9.140625" defaultRowHeight="12.75"/>
  <cols>
    <col min="1" max="1" width="65.28125" style="0" customWidth="1"/>
    <col min="2" max="2" width="19.00390625" style="0" customWidth="1"/>
    <col min="3" max="3" width="13.8515625" style="0" customWidth="1"/>
  </cols>
  <sheetData>
    <row r="1" ht="12.75">
      <c r="B1" s="496" t="s">
        <v>1081</v>
      </c>
    </row>
    <row r="2" ht="9" customHeight="1">
      <c r="B2" s="496"/>
    </row>
    <row r="3" spans="1:2" s="836" customFormat="1" ht="15.75">
      <c r="A3" s="1014" t="s">
        <v>1082</v>
      </c>
      <c r="B3" s="1014"/>
    </row>
    <row r="4" spans="1:2" ht="11.25" customHeight="1">
      <c r="A4" s="27"/>
      <c r="B4" s="27"/>
    </row>
    <row r="5" ht="12.75">
      <c r="B5" s="397" t="s">
        <v>33</v>
      </c>
    </row>
    <row r="6" spans="1:2" ht="25.5">
      <c r="A6" s="837" t="s">
        <v>369</v>
      </c>
      <c r="B6" s="139" t="s">
        <v>179</v>
      </c>
    </row>
    <row r="7" spans="1:2" ht="12.75">
      <c r="A7" s="800" t="s">
        <v>1083</v>
      </c>
      <c r="B7" s="803">
        <f>17389*1.057</f>
        <v>18380.173</v>
      </c>
    </row>
    <row r="8" spans="1:2" ht="15.75" customHeight="1">
      <c r="A8" s="802" t="s">
        <v>843</v>
      </c>
      <c r="B8" s="803">
        <f>17.389*500</f>
        <v>8694.5</v>
      </c>
    </row>
    <row r="9" spans="1:2" ht="15.75" customHeight="1">
      <c r="A9" s="804" t="s">
        <v>844</v>
      </c>
      <c r="B9" s="803">
        <f>12*300</f>
        <v>3600</v>
      </c>
    </row>
    <row r="10" spans="1:2" ht="16.5" customHeight="1">
      <c r="A10" s="800" t="s">
        <v>1084</v>
      </c>
      <c r="B10" s="803">
        <f>16000*2</f>
        <v>32000</v>
      </c>
    </row>
    <row r="11" spans="1:2" ht="18" customHeight="1">
      <c r="A11" s="8" t="s">
        <v>1085</v>
      </c>
      <c r="B11" s="333">
        <f>56*540.15</f>
        <v>30248.399999999998</v>
      </c>
    </row>
    <row r="12" spans="1:2" ht="15" customHeight="1">
      <c r="A12" s="8" t="s">
        <v>1086</v>
      </c>
      <c r="B12" s="333">
        <f>19*65</f>
        <v>1235</v>
      </c>
    </row>
    <row r="13" spans="1:2" ht="24" customHeight="1">
      <c r="A13" s="805" t="s">
        <v>856</v>
      </c>
      <c r="B13" s="807">
        <v>30770</v>
      </c>
    </row>
    <row r="14" spans="1:2" ht="24" customHeight="1">
      <c r="A14" s="805" t="s">
        <v>857</v>
      </c>
      <c r="B14" s="807">
        <v>37230</v>
      </c>
    </row>
    <row r="15" spans="1:2" ht="24" customHeight="1">
      <c r="A15" s="805" t="s">
        <v>858</v>
      </c>
      <c r="B15" s="807">
        <v>30903</v>
      </c>
    </row>
    <row r="16" spans="1:2" ht="24" customHeight="1">
      <c r="A16" s="804" t="s">
        <v>867</v>
      </c>
      <c r="B16" s="803">
        <f>22610</f>
        <v>22610</v>
      </c>
    </row>
    <row r="17" spans="1:2" ht="24" customHeight="1">
      <c r="A17" s="804" t="s">
        <v>868</v>
      </c>
      <c r="B17" s="803">
        <v>14450</v>
      </c>
    </row>
    <row r="18" spans="1:2" ht="24" customHeight="1">
      <c r="A18" s="804" t="s">
        <v>869</v>
      </c>
      <c r="B18" s="803">
        <v>21760</v>
      </c>
    </row>
    <row r="19" spans="1:2" ht="24" customHeight="1">
      <c r="A19" s="804" t="s">
        <v>870</v>
      </c>
      <c r="B19" s="803">
        <v>11007</v>
      </c>
    </row>
    <row r="20" spans="1:2" ht="24" customHeight="1">
      <c r="A20" s="804" t="s">
        <v>871</v>
      </c>
      <c r="B20" s="803">
        <v>6350</v>
      </c>
    </row>
    <row r="21" spans="1:2" ht="24" customHeight="1">
      <c r="A21" s="804" t="s">
        <v>872</v>
      </c>
      <c r="B21" s="803">
        <v>9906</v>
      </c>
    </row>
    <row r="22" spans="1:2" ht="24" customHeight="1">
      <c r="A22" s="800" t="s">
        <v>887</v>
      </c>
      <c r="B22" s="803">
        <v>34850</v>
      </c>
    </row>
    <row r="23" spans="1:2" ht="25.5" customHeight="1">
      <c r="A23" s="800" t="s">
        <v>888</v>
      </c>
      <c r="B23" s="803">
        <v>48620</v>
      </c>
    </row>
    <row r="24" spans="1:2" ht="24" customHeight="1">
      <c r="A24" s="800" t="s">
        <v>889</v>
      </c>
      <c r="B24" s="803">
        <v>16172</v>
      </c>
    </row>
    <row r="25" spans="1:2" ht="18.75" customHeight="1">
      <c r="A25" s="800" t="s">
        <v>890</v>
      </c>
      <c r="B25" s="803">
        <v>9821</v>
      </c>
    </row>
    <row r="26" spans="1:2" ht="18.75" customHeight="1">
      <c r="A26" s="800" t="s">
        <v>891</v>
      </c>
      <c r="B26" s="803">
        <v>13123</v>
      </c>
    </row>
    <row r="27" spans="1:2" ht="24" customHeight="1">
      <c r="A27" s="805" t="s">
        <v>901</v>
      </c>
      <c r="B27" s="803">
        <v>320</v>
      </c>
    </row>
    <row r="28" spans="1:2" ht="24" customHeight="1">
      <c r="A28" s="805" t="s">
        <v>902</v>
      </c>
      <c r="B28" s="803">
        <v>159</v>
      </c>
    </row>
    <row r="29" spans="1:2" ht="24" customHeight="1">
      <c r="A29" s="805" t="s">
        <v>903</v>
      </c>
      <c r="B29" s="803">
        <v>1024</v>
      </c>
    </row>
    <row r="30" spans="1:2" ht="24" customHeight="1">
      <c r="A30" s="805" t="s">
        <v>904</v>
      </c>
      <c r="B30" s="803">
        <v>382</v>
      </c>
    </row>
    <row r="31" spans="1:2" ht="24" customHeight="1">
      <c r="A31" s="805" t="s">
        <v>905</v>
      </c>
      <c r="B31" s="803">
        <v>3584</v>
      </c>
    </row>
    <row r="32" spans="1:2" ht="24" customHeight="1">
      <c r="A32" s="805" t="s">
        <v>906</v>
      </c>
      <c r="B32" s="803">
        <v>1593</v>
      </c>
    </row>
    <row r="33" spans="1:2" ht="24" customHeight="1">
      <c r="A33" s="805" t="s">
        <v>907</v>
      </c>
      <c r="B33" s="803">
        <v>1147</v>
      </c>
    </row>
    <row r="34" spans="1:2" ht="24" customHeight="1">
      <c r="A34" s="805" t="s">
        <v>908</v>
      </c>
      <c r="B34" s="803">
        <v>2592</v>
      </c>
    </row>
    <row r="35" spans="1:2" ht="24" customHeight="1">
      <c r="A35" s="37"/>
      <c r="B35" s="72"/>
    </row>
    <row r="36" spans="1:2" ht="15.75" customHeight="1">
      <c r="A36" s="1086">
        <v>2</v>
      </c>
      <c r="B36" s="1086"/>
    </row>
    <row r="37" ht="15.75" customHeight="1">
      <c r="B37" s="496" t="s">
        <v>1081</v>
      </c>
    </row>
    <row r="38" ht="9.75" customHeight="1"/>
    <row r="39" spans="1:2" ht="16.5" customHeight="1">
      <c r="A39" s="1014" t="s">
        <v>1082</v>
      </c>
      <c r="B39" s="1014"/>
    </row>
    <row r="40" spans="1:2" ht="13.5" customHeight="1">
      <c r="A40" s="27"/>
      <c r="B40" s="27"/>
    </row>
    <row r="41" ht="12" customHeight="1">
      <c r="B41" s="397" t="s">
        <v>33</v>
      </c>
    </row>
    <row r="42" spans="1:2" ht="24" customHeight="1">
      <c r="A42" s="837" t="s">
        <v>369</v>
      </c>
      <c r="B42" s="838" t="s">
        <v>179</v>
      </c>
    </row>
    <row r="43" spans="1:2" ht="18" customHeight="1">
      <c r="A43" s="802" t="s">
        <v>916</v>
      </c>
      <c r="B43" s="803">
        <v>105740</v>
      </c>
    </row>
    <row r="44" spans="1:2" ht="16.5" customHeight="1">
      <c r="A44" s="802" t="s">
        <v>917</v>
      </c>
      <c r="B44" s="803">
        <v>53933</v>
      </c>
    </row>
    <row r="45" spans="1:2" ht="16.5" customHeight="1">
      <c r="A45" s="802" t="s">
        <v>918</v>
      </c>
      <c r="B45" s="803">
        <v>95710</v>
      </c>
    </row>
    <row r="46" spans="1:2" ht="16.5" customHeight="1">
      <c r="A46" s="802" t="s">
        <v>919</v>
      </c>
      <c r="B46" s="803">
        <v>20320</v>
      </c>
    </row>
    <row r="47" spans="1:2" ht="16.5" customHeight="1">
      <c r="A47" s="802" t="s">
        <v>920</v>
      </c>
      <c r="B47" s="803">
        <v>26501</v>
      </c>
    </row>
    <row r="48" spans="1:2" ht="16.5" customHeight="1">
      <c r="A48" s="805" t="s">
        <v>924</v>
      </c>
      <c r="B48" s="803">
        <v>38420</v>
      </c>
    </row>
    <row r="49" spans="1:2" ht="15" customHeight="1">
      <c r="A49" s="805" t="s">
        <v>925</v>
      </c>
      <c r="B49" s="803">
        <v>3910</v>
      </c>
    </row>
    <row r="50" spans="1:2" ht="15.75" customHeight="1">
      <c r="A50" s="805" t="s">
        <v>926</v>
      </c>
      <c r="B50" s="803">
        <v>25061</v>
      </c>
    </row>
    <row r="51" spans="1:2" ht="18.75" customHeight="1">
      <c r="A51" s="802" t="s">
        <v>928</v>
      </c>
      <c r="B51" s="803">
        <v>5627</v>
      </c>
    </row>
    <row r="52" spans="1:2" s="721" customFormat="1" ht="18" customHeight="1">
      <c r="A52" s="802" t="s">
        <v>929</v>
      </c>
      <c r="B52" s="803">
        <v>2609</v>
      </c>
    </row>
    <row r="53" spans="1:2" ht="17.25" customHeight="1">
      <c r="A53" s="802" t="s">
        <v>930</v>
      </c>
      <c r="B53" s="803">
        <v>672</v>
      </c>
    </row>
    <row r="54" spans="1:2" ht="18" customHeight="1">
      <c r="A54" s="802" t="s">
        <v>931</v>
      </c>
      <c r="B54" s="803">
        <v>671</v>
      </c>
    </row>
    <row r="55" spans="1:2" ht="16.5" customHeight="1">
      <c r="A55" s="800" t="s">
        <v>932</v>
      </c>
      <c r="B55" s="803">
        <v>4809</v>
      </c>
    </row>
    <row r="56" spans="1:2" ht="16.5" customHeight="1">
      <c r="A56" s="802" t="s">
        <v>933</v>
      </c>
      <c r="B56" s="803">
        <v>2177</v>
      </c>
    </row>
    <row r="57" spans="1:2" ht="16.5" customHeight="1">
      <c r="A57" s="800" t="s">
        <v>934</v>
      </c>
      <c r="B57" s="803">
        <v>2494</v>
      </c>
    </row>
    <row r="58" spans="1:2" ht="16.5" customHeight="1">
      <c r="A58" s="800" t="s">
        <v>935</v>
      </c>
      <c r="B58" s="803">
        <v>1244</v>
      </c>
    </row>
    <row r="59" spans="1:2" ht="16.5" customHeight="1">
      <c r="A59" s="800" t="s">
        <v>936</v>
      </c>
      <c r="B59" s="803">
        <v>1882</v>
      </c>
    </row>
    <row r="60" spans="1:2" ht="16.5" customHeight="1">
      <c r="A60" s="800" t="s">
        <v>937</v>
      </c>
      <c r="B60" s="803">
        <v>742</v>
      </c>
    </row>
    <row r="61" spans="1:2" ht="16.5" customHeight="1">
      <c r="A61" s="800" t="s">
        <v>938</v>
      </c>
      <c r="B61" s="803">
        <v>96</v>
      </c>
    </row>
    <row r="62" spans="1:2" ht="16.5" customHeight="1">
      <c r="A62" s="804" t="s">
        <v>945</v>
      </c>
      <c r="B62" s="803">
        <v>8840</v>
      </c>
    </row>
    <row r="63" spans="1:2" ht="16.5" customHeight="1">
      <c r="A63" s="814" t="s">
        <v>946</v>
      </c>
      <c r="B63" s="803">
        <v>1870</v>
      </c>
    </row>
    <row r="64" spans="1:2" ht="16.5" customHeight="1">
      <c r="A64" s="814" t="s">
        <v>947</v>
      </c>
      <c r="B64" s="803">
        <v>4403</v>
      </c>
    </row>
    <row r="65" spans="1:2" ht="16.5" customHeight="1">
      <c r="A65" s="814" t="s">
        <v>948</v>
      </c>
      <c r="B65" s="803">
        <v>931</v>
      </c>
    </row>
    <row r="66" spans="1:2" ht="16.5" customHeight="1">
      <c r="A66" s="804" t="s">
        <v>949</v>
      </c>
      <c r="B66" s="803">
        <v>8364</v>
      </c>
    </row>
    <row r="67" spans="1:2" ht="16.5" customHeight="1">
      <c r="A67" s="804" t="s">
        <v>950</v>
      </c>
      <c r="B67" s="803">
        <v>3977</v>
      </c>
    </row>
    <row r="68" spans="1:2" ht="15.75" customHeight="1">
      <c r="A68" s="804" t="s">
        <v>951</v>
      </c>
      <c r="B68" s="803">
        <v>1840</v>
      </c>
    </row>
    <row r="69" spans="1:2" ht="15.75" customHeight="1">
      <c r="A69" s="804" t="s">
        <v>952</v>
      </c>
      <c r="B69" s="803">
        <v>874</v>
      </c>
    </row>
    <row r="70" spans="1:2" ht="17.25" customHeight="1">
      <c r="A70" s="800" t="s">
        <v>953</v>
      </c>
      <c r="B70" s="803">
        <v>6290</v>
      </c>
    </row>
    <row r="71" spans="1:2" ht="16.5" customHeight="1">
      <c r="A71" s="800" t="s">
        <v>954</v>
      </c>
      <c r="B71" s="803">
        <v>3133</v>
      </c>
    </row>
    <row r="72" spans="1:2" ht="16.5" customHeight="1">
      <c r="A72" s="802" t="s">
        <v>955</v>
      </c>
      <c r="B72" s="803">
        <v>8928</v>
      </c>
    </row>
    <row r="73" spans="1:2" ht="16.5" customHeight="1">
      <c r="A73" s="802" t="s">
        <v>956</v>
      </c>
      <c r="B73" s="807">
        <f>177*72*4/12</f>
        <v>4248</v>
      </c>
    </row>
    <row r="74" spans="1:2" ht="16.5" customHeight="1">
      <c r="A74" s="800" t="s">
        <v>958</v>
      </c>
      <c r="B74" s="803">
        <v>6120</v>
      </c>
    </row>
    <row r="75" spans="1:2" ht="16.5" customHeight="1">
      <c r="A75" s="800" t="s">
        <v>959</v>
      </c>
      <c r="B75" s="803">
        <v>1530</v>
      </c>
    </row>
    <row r="76" spans="1:2" ht="16.5" customHeight="1">
      <c r="A76" s="800" t="s">
        <v>960</v>
      </c>
      <c r="B76" s="803">
        <v>2964</v>
      </c>
    </row>
    <row r="77" spans="1:2" ht="16.5" customHeight="1">
      <c r="A77" s="800" t="s">
        <v>961</v>
      </c>
      <c r="B77" s="803">
        <v>677</v>
      </c>
    </row>
    <row r="78" spans="1:2" ht="16.5" customHeight="1">
      <c r="A78" s="839"/>
      <c r="B78" s="809"/>
    </row>
    <row r="79" spans="1:2" ht="16.5" customHeight="1">
      <c r="A79" s="1086">
        <v>3</v>
      </c>
      <c r="B79" s="1086"/>
    </row>
    <row r="80" ht="16.5" customHeight="1">
      <c r="B80" s="496" t="s">
        <v>1081</v>
      </c>
    </row>
    <row r="81" ht="16.5" customHeight="1"/>
    <row r="82" spans="1:2" ht="16.5" customHeight="1">
      <c r="A82" s="1014" t="s">
        <v>1082</v>
      </c>
      <c r="B82" s="1014"/>
    </row>
    <row r="83" spans="1:2" ht="16.5" customHeight="1">
      <c r="A83" s="27"/>
      <c r="B83" s="27"/>
    </row>
    <row r="84" ht="16.5" customHeight="1">
      <c r="B84" s="397" t="s">
        <v>33</v>
      </c>
    </row>
    <row r="85" spans="1:2" ht="25.5" customHeight="1">
      <c r="A85" s="840" t="s">
        <v>369</v>
      </c>
      <c r="B85" s="841" t="s">
        <v>179</v>
      </c>
    </row>
    <row r="86" spans="1:2" ht="16.5" customHeight="1">
      <c r="A86" s="800" t="s">
        <v>964</v>
      </c>
      <c r="B86" s="803">
        <v>10678</v>
      </c>
    </row>
    <row r="87" spans="1:2" ht="16.5" customHeight="1">
      <c r="A87" s="800" t="s">
        <v>965</v>
      </c>
      <c r="B87" s="803">
        <v>5213</v>
      </c>
    </row>
    <row r="88" spans="1:2" ht="16.5" customHeight="1">
      <c r="A88" s="802" t="s">
        <v>966</v>
      </c>
      <c r="B88" s="803">
        <v>10855</v>
      </c>
    </row>
    <row r="89" spans="1:2" ht="16.5" customHeight="1">
      <c r="A89" s="802" t="s">
        <v>967</v>
      </c>
      <c r="B89" s="803">
        <v>17745</v>
      </c>
    </row>
    <row r="90" spans="1:2" ht="16.5" customHeight="1">
      <c r="A90" s="802" t="s">
        <v>969</v>
      </c>
      <c r="B90" s="803">
        <v>4225</v>
      </c>
    </row>
    <row r="91" spans="1:2" ht="16.5" customHeight="1">
      <c r="A91" s="802" t="s">
        <v>970</v>
      </c>
      <c r="B91" s="803">
        <v>910</v>
      </c>
    </row>
    <row r="92" spans="1:2" ht="16.5" customHeight="1">
      <c r="A92" s="802" t="s">
        <v>971</v>
      </c>
      <c r="B92" s="803">
        <v>2990</v>
      </c>
    </row>
    <row r="93" spans="1:2" ht="16.5" customHeight="1">
      <c r="A93" s="805" t="s">
        <v>972</v>
      </c>
      <c r="B93" s="803">
        <v>660</v>
      </c>
    </row>
    <row r="94" spans="1:2" ht="16.5" customHeight="1">
      <c r="A94" s="800" t="s">
        <v>983</v>
      </c>
      <c r="B94" s="803">
        <v>10812</v>
      </c>
    </row>
    <row r="95" spans="1:2" ht="16.5" customHeight="1">
      <c r="A95" s="800" t="s">
        <v>984</v>
      </c>
      <c r="B95" s="803">
        <v>5556</v>
      </c>
    </row>
    <row r="96" spans="1:2" ht="16.5" customHeight="1">
      <c r="A96" s="800" t="s">
        <v>986</v>
      </c>
      <c r="B96" s="803">
        <v>1620</v>
      </c>
    </row>
    <row r="97" spans="1:2" ht="16.5" customHeight="1">
      <c r="A97" s="800" t="s">
        <v>987</v>
      </c>
      <c r="B97" s="803">
        <v>630</v>
      </c>
    </row>
    <row r="98" spans="1:2" ht="16.5" customHeight="1">
      <c r="A98" s="800" t="s">
        <v>988</v>
      </c>
      <c r="B98" s="803">
        <v>2070</v>
      </c>
    </row>
    <row r="99" spans="1:2" ht="16.5" customHeight="1">
      <c r="A99" s="802" t="s">
        <v>989</v>
      </c>
      <c r="B99" s="803">
        <v>728</v>
      </c>
    </row>
    <row r="100" spans="1:2" ht="16.5" customHeight="1">
      <c r="A100" s="802" t="s">
        <v>990</v>
      </c>
      <c r="B100" s="803">
        <v>613</v>
      </c>
    </row>
    <row r="101" spans="1:2" ht="16.5" customHeight="1">
      <c r="A101" s="802" t="s">
        <v>991</v>
      </c>
      <c r="B101" s="803">
        <v>713</v>
      </c>
    </row>
    <row r="102" spans="1:2" ht="16.5" customHeight="1">
      <c r="A102" s="804" t="s">
        <v>992</v>
      </c>
      <c r="B102" s="803">
        <f>1061*17.389</f>
        <v>18449.729</v>
      </c>
    </row>
    <row r="103" spans="1:2" ht="21" customHeight="1">
      <c r="A103" s="800" t="s">
        <v>993</v>
      </c>
      <c r="B103" s="803">
        <v>151</v>
      </c>
    </row>
    <row r="104" spans="1:2" ht="16.5" customHeight="1">
      <c r="A104" s="802" t="s">
        <v>994</v>
      </c>
      <c r="B104" s="803"/>
    </row>
    <row r="105" spans="1:2" ht="16.5" customHeight="1">
      <c r="A105" s="800" t="s">
        <v>995</v>
      </c>
      <c r="B105" s="803">
        <v>3300</v>
      </c>
    </row>
    <row r="106" spans="1:2" ht="24.75" customHeight="1">
      <c r="A106" s="802" t="s">
        <v>996</v>
      </c>
      <c r="B106" s="801">
        <v>12774</v>
      </c>
    </row>
    <row r="107" spans="1:2" ht="26.25" customHeight="1">
      <c r="A107" s="802" t="s">
        <v>997</v>
      </c>
      <c r="B107" s="801">
        <v>12133</v>
      </c>
    </row>
    <row r="108" spans="1:2" ht="16.5" customHeight="1">
      <c r="A108" s="802" t="s">
        <v>998</v>
      </c>
      <c r="B108" s="801">
        <v>3146</v>
      </c>
    </row>
    <row r="109" spans="1:2" ht="16.5" customHeight="1">
      <c r="A109" s="802" t="s">
        <v>999</v>
      </c>
      <c r="B109" s="801">
        <v>4410</v>
      </c>
    </row>
    <row r="110" spans="1:2" ht="16.5" customHeight="1">
      <c r="A110" s="802" t="s">
        <v>1000</v>
      </c>
      <c r="B110" s="803">
        <v>116680</v>
      </c>
    </row>
    <row r="111" spans="1:2" ht="24.75" customHeight="1">
      <c r="A111" s="815" t="s">
        <v>1005</v>
      </c>
      <c r="B111" s="803">
        <v>6374</v>
      </c>
    </row>
    <row r="112" spans="1:2" ht="26.25" customHeight="1">
      <c r="A112" s="815" t="s">
        <v>1006</v>
      </c>
      <c r="B112" s="803">
        <v>7182</v>
      </c>
    </row>
    <row r="113" spans="1:2" ht="21" customHeight="1">
      <c r="A113" s="815" t="s">
        <v>1007</v>
      </c>
      <c r="B113" s="803">
        <v>640</v>
      </c>
    </row>
    <row r="114" spans="1:2" ht="16.5" customHeight="1">
      <c r="A114" s="802" t="s">
        <v>1013</v>
      </c>
      <c r="B114" s="803">
        <v>12270</v>
      </c>
    </row>
    <row r="115" spans="1:2" ht="16.5" customHeight="1">
      <c r="A115" s="800" t="s">
        <v>1024</v>
      </c>
      <c r="B115" s="803">
        <v>1704</v>
      </c>
    </row>
    <row r="116" spans="1:2" ht="16.5" customHeight="1">
      <c r="A116" s="800" t="s">
        <v>1027</v>
      </c>
      <c r="B116" s="803">
        <f>17.389*515</f>
        <v>8955.335</v>
      </c>
    </row>
    <row r="117" spans="1:2" ht="16.5" customHeight="1">
      <c r="A117" s="43" t="s">
        <v>1087</v>
      </c>
      <c r="B117" s="396">
        <f>SUM(B7:B116)</f>
        <v>1154325.137</v>
      </c>
    </row>
    <row r="118" spans="1:2" ht="16.5" customHeight="1">
      <c r="A118" s="1014"/>
      <c r="B118" s="1014"/>
    </row>
    <row r="119" spans="1:2" ht="16.5" customHeight="1">
      <c r="A119" s="37"/>
      <c r="B119" s="496"/>
    </row>
    <row r="120" ht="16.5" customHeight="1">
      <c r="B120" s="496" t="s">
        <v>1088</v>
      </c>
    </row>
    <row r="121" ht="16.5" customHeight="1"/>
    <row r="122" spans="1:2" ht="16.5" customHeight="1">
      <c r="A122" s="1014" t="s">
        <v>1089</v>
      </c>
      <c r="B122" s="1014"/>
    </row>
    <row r="123" ht="16.5" customHeight="1"/>
    <row r="124" ht="16.5" customHeight="1">
      <c r="B124" s="397" t="s">
        <v>33</v>
      </c>
    </row>
    <row r="125" spans="1:2" ht="25.5" customHeight="1">
      <c r="A125" s="840" t="s">
        <v>369</v>
      </c>
      <c r="B125" s="841" t="s">
        <v>179</v>
      </c>
    </row>
    <row r="126" spans="1:2" ht="16.5" customHeight="1">
      <c r="A126" s="44" t="s">
        <v>1090</v>
      </c>
      <c r="B126" s="758"/>
    </row>
    <row r="127" spans="1:2" ht="16.5" customHeight="1">
      <c r="A127" s="8" t="s">
        <v>1091</v>
      </c>
      <c r="B127" s="56"/>
    </row>
    <row r="128" spans="1:2" ht="16.5" customHeight="1">
      <c r="A128" s="8" t="s">
        <v>1092</v>
      </c>
      <c r="B128" s="56">
        <f>8*970</f>
        <v>7760</v>
      </c>
    </row>
    <row r="129" spans="1:2" ht="24" customHeight="1">
      <c r="A129" s="842" t="s">
        <v>1093</v>
      </c>
      <c r="B129" s="56">
        <v>3502</v>
      </c>
    </row>
    <row r="130" spans="1:2" ht="24" customHeight="1">
      <c r="A130" s="842" t="s">
        <v>1034</v>
      </c>
      <c r="B130" s="56">
        <v>707</v>
      </c>
    </row>
    <row r="131" spans="1:2" ht="24" customHeight="1">
      <c r="A131" s="8" t="s">
        <v>1094</v>
      </c>
      <c r="B131" s="56">
        <v>150</v>
      </c>
    </row>
    <row r="132" spans="1:2" ht="24" customHeight="1">
      <c r="A132" s="43" t="s">
        <v>463</v>
      </c>
      <c r="B132" s="434">
        <f>SUM(B127:B131)</f>
        <v>12119</v>
      </c>
    </row>
    <row r="133" spans="1:2" ht="24" customHeight="1">
      <c r="A133" s="816" t="s">
        <v>1035</v>
      </c>
      <c r="B133" s="803"/>
    </row>
    <row r="134" spans="1:2" ht="24" customHeight="1">
      <c r="A134" s="800" t="s">
        <v>1095</v>
      </c>
      <c r="B134" s="803"/>
    </row>
    <row r="135" spans="1:2" ht="24" customHeight="1">
      <c r="A135" s="800" t="s">
        <v>1096</v>
      </c>
      <c r="B135" s="803">
        <v>259313</v>
      </c>
    </row>
    <row r="136" spans="1:2" ht="24" customHeight="1">
      <c r="A136" s="800" t="s">
        <v>526</v>
      </c>
      <c r="B136" s="803"/>
    </row>
    <row r="137" spans="1:2" ht="24" customHeight="1">
      <c r="A137" s="800" t="s">
        <v>1097</v>
      </c>
      <c r="B137" s="803">
        <v>5304</v>
      </c>
    </row>
    <row r="138" spans="1:2" ht="24" customHeight="1">
      <c r="A138" s="800" t="s">
        <v>1098</v>
      </c>
      <c r="B138" s="803">
        <v>12024</v>
      </c>
    </row>
    <row r="139" spans="1:2" ht="24" customHeight="1">
      <c r="A139" s="800" t="s">
        <v>1040</v>
      </c>
      <c r="B139" s="803"/>
    </row>
    <row r="140" spans="1:2" ht="24" customHeight="1">
      <c r="A140" s="800" t="s">
        <v>1099</v>
      </c>
      <c r="B140" s="803">
        <f>3*500</f>
        <v>1500</v>
      </c>
    </row>
    <row r="141" spans="1:2" ht="24" customHeight="1">
      <c r="A141" s="800" t="s">
        <v>1100</v>
      </c>
      <c r="B141" s="803">
        <v>0</v>
      </c>
    </row>
    <row r="142" spans="1:2" ht="24" customHeight="1">
      <c r="A142" s="816" t="s">
        <v>463</v>
      </c>
      <c r="B142" s="803">
        <f>SUM(B135:B141)</f>
        <v>278141</v>
      </c>
    </row>
    <row r="143" spans="1:2" ht="24" customHeight="1">
      <c r="A143" s="816" t="s">
        <v>1101</v>
      </c>
      <c r="B143" s="803">
        <f>B142+B132</f>
        <v>290260</v>
      </c>
    </row>
    <row r="144" ht="15.75" customHeight="1"/>
    <row r="145" ht="15.75" customHeight="1"/>
    <row r="153" ht="19.5" customHeight="1"/>
    <row r="154" ht="21" customHeight="1"/>
    <row r="155" ht="18" customHeight="1"/>
    <row r="156" ht="16.5" customHeight="1"/>
    <row r="157" ht="15" customHeight="1"/>
    <row r="158" ht="18" customHeight="1"/>
    <row r="159" ht="19.5" customHeight="1"/>
  </sheetData>
  <sheetProtection/>
  <mergeCells count="7">
    <mergeCell ref="A122:B122"/>
    <mergeCell ref="A3:B3"/>
    <mergeCell ref="A36:B36"/>
    <mergeCell ref="A39:B39"/>
    <mergeCell ref="A79:B79"/>
    <mergeCell ref="A82:B82"/>
    <mergeCell ref="A118:B118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5"/>
  <sheetViews>
    <sheetView zoomScalePageLayoutView="0" workbookViewId="0" topLeftCell="A1">
      <selection activeCell="A157" sqref="A1:F157"/>
    </sheetView>
  </sheetViews>
  <sheetFormatPr defaultColWidth="9.140625" defaultRowHeight="12.75"/>
  <cols>
    <col min="1" max="1" width="27.00390625" style="0" customWidth="1"/>
    <col min="2" max="2" width="12.00390625" style="0" customWidth="1"/>
    <col min="3" max="3" width="11.140625" style="0" customWidth="1"/>
    <col min="4" max="4" width="10.8515625" style="0" customWidth="1"/>
    <col min="5" max="5" width="11.28125" style="0" customWidth="1"/>
    <col min="6" max="6" width="13.00390625" style="0" customWidth="1"/>
  </cols>
  <sheetData>
    <row r="1" spans="1:6" ht="14.25">
      <c r="A1" s="26"/>
      <c r="B1" s="26"/>
      <c r="C1" s="26"/>
      <c r="D1" s="26"/>
      <c r="E1" s="1015" t="s">
        <v>103</v>
      </c>
      <c r="F1" s="1015"/>
    </row>
    <row r="2" spans="5:6" ht="15">
      <c r="E2" s="30"/>
      <c r="F2" s="30"/>
    </row>
    <row r="3" spans="1:6" ht="15.75">
      <c r="A3" s="1014" t="s">
        <v>104</v>
      </c>
      <c r="B3" s="1014"/>
      <c r="C3" s="1014"/>
      <c r="D3" s="1014"/>
      <c r="E3" s="1014"/>
      <c r="F3" s="1014"/>
    </row>
    <row r="4" spans="1:6" ht="15.75">
      <c r="A4" s="1014" t="s">
        <v>105</v>
      </c>
      <c r="B4" s="1014"/>
      <c r="C4" s="1014"/>
      <c r="D4" s="1014"/>
      <c r="E4" s="1014"/>
      <c r="F4" s="1014"/>
    </row>
    <row r="6" ht="12.75">
      <c r="F6" s="31" t="s">
        <v>80</v>
      </c>
    </row>
    <row r="7" spans="1:6" ht="15.75" customHeight="1">
      <c r="A7" s="118" t="s">
        <v>34</v>
      </c>
      <c r="B7" s="1017" t="s">
        <v>106</v>
      </c>
      <c r="C7" s="1017" t="s">
        <v>107</v>
      </c>
      <c r="D7" s="1017" t="s">
        <v>108</v>
      </c>
      <c r="E7" s="1018" t="s">
        <v>109</v>
      </c>
      <c r="F7" s="1019" t="s">
        <v>110</v>
      </c>
    </row>
    <row r="8" spans="1:6" ht="15.75">
      <c r="A8" s="120" t="s">
        <v>38</v>
      </c>
      <c r="B8" s="1017"/>
      <c r="C8" s="1017"/>
      <c r="D8" s="1017"/>
      <c r="E8" s="1018"/>
      <c r="F8" s="1019"/>
    </row>
    <row r="9" spans="1:6" ht="12.75">
      <c r="A9" s="44" t="s">
        <v>42</v>
      </c>
      <c r="B9" s="110"/>
      <c r="C9" s="69"/>
      <c r="D9" s="69"/>
      <c r="E9" s="52"/>
      <c r="F9" s="52"/>
    </row>
    <row r="10" spans="1:6" ht="12.75">
      <c r="A10" s="121" t="s">
        <v>43</v>
      </c>
      <c r="B10" s="94">
        <v>79392</v>
      </c>
      <c r="C10" s="48">
        <v>135373</v>
      </c>
      <c r="D10" s="39">
        <v>366524</v>
      </c>
      <c r="E10" s="39">
        <v>4602</v>
      </c>
      <c r="F10" s="39">
        <v>29327</v>
      </c>
    </row>
    <row r="11" spans="1:6" ht="12.75">
      <c r="A11" s="19" t="s">
        <v>44</v>
      </c>
      <c r="B11" s="94">
        <v>24297</v>
      </c>
      <c r="C11" s="48">
        <v>42357</v>
      </c>
      <c r="D11" s="39">
        <v>116334</v>
      </c>
      <c r="E11" s="48">
        <v>1532</v>
      </c>
      <c r="F11" s="48">
        <v>9273</v>
      </c>
    </row>
    <row r="12" spans="1:6" ht="12.75">
      <c r="A12" s="19" t="s">
        <v>45</v>
      </c>
      <c r="B12" s="94">
        <v>117500</v>
      </c>
      <c r="C12" s="48">
        <v>7637</v>
      </c>
      <c r="D12" s="39">
        <v>16828</v>
      </c>
      <c r="E12" s="48">
        <v>4232</v>
      </c>
      <c r="F12" s="48">
        <v>3226</v>
      </c>
    </row>
    <row r="13" spans="1:6" ht="12.75">
      <c r="A13" s="19" t="s">
        <v>47</v>
      </c>
      <c r="B13" s="94">
        <v>0</v>
      </c>
      <c r="C13" s="48">
        <v>0</v>
      </c>
      <c r="D13" s="39">
        <v>0</v>
      </c>
      <c r="E13" s="48">
        <v>0</v>
      </c>
      <c r="F13" s="48">
        <v>0</v>
      </c>
    </row>
    <row r="14" spans="1:6" ht="12.75">
      <c r="A14" s="8" t="s">
        <v>86</v>
      </c>
      <c r="B14" s="56">
        <v>0</v>
      </c>
      <c r="C14" s="48">
        <v>0</v>
      </c>
      <c r="D14" s="39">
        <v>0</v>
      </c>
      <c r="E14" s="48">
        <v>0</v>
      </c>
      <c r="F14" s="48">
        <v>0</v>
      </c>
    </row>
    <row r="15" spans="1:6" ht="12.75">
      <c r="A15" s="8" t="s">
        <v>87</v>
      </c>
      <c r="B15" s="56"/>
      <c r="C15" s="48"/>
      <c r="D15" s="39"/>
      <c r="E15" s="48"/>
      <c r="F15" s="48"/>
    </row>
    <row r="16" spans="1:6" ht="12.75">
      <c r="A16" s="122" t="s">
        <v>88</v>
      </c>
      <c r="B16" s="56">
        <v>0</v>
      </c>
      <c r="C16" s="39">
        <v>0</v>
      </c>
      <c r="D16" s="39">
        <v>0</v>
      </c>
      <c r="E16" s="39">
        <v>0</v>
      </c>
      <c r="F16" s="39">
        <v>0</v>
      </c>
    </row>
    <row r="17" spans="1:6" ht="12.75">
      <c r="A17" s="65"/>
      <c r="B17" s="53"/>
      <c r="C17" s="64"/>
      <c r="D17" s="64"/>
      <c r="E17" s="64"/>
      <c r="F17" s="64"/>
    </row>
    <row r="18" spans="1:6" s="91" customFormat="1" ht="12.75">
      <c r="A18" s="43" t="s">
        <v>89</v>
      </c>
      <c r="B18" s="61">
        <f>SUM(B10:B14)</f>
        <v>221189</v>
      </c>
      <c r="C18" s="61">
        <f>SUM(C10:C14)</f>
        <v>185367</v>
      </c>
      <c r="D18" s="61">
        <f>SUM(D10:D16)</f>
        <v>499686</v>
      </c>
      <c r="E18" s="61">
        <f>SUM(E10:E14)</f>
        <v>10366</v>
      </c>
      <c r="F18" s="61">
        <f>SUM(F10:F14)</f>
        <v>41826</v>
      </c>
    </row>
    <row r="19" spans="1:6" ht="12.75">
      <c r="A19" s="33"/>
      <c r="B19" s="52"/>
      <c r="C19" s="123"/>
      <c r="D19" s="52"/>
      <c r="E19" s="92"/>
      <c r="F19" s="64"/>
    </row>
    <row r="20" spans="1:6" ht="12.75">
      <c r="A20" s="47" t="s">
        <v>51</v>
      </c>
      <c r="B20" s="48"/>
      <c r="C20" s="49"/>
      <c r="D20" s="48"/>
      <c r="E20" s="94"/>
      <c r="F20" s="48"/>
    </row>
    <row r="21" spans="1:6" ht="12.75">
      <c r="A21" s="19" t="s">
        <v>52</v>
      </c>
      <c r="B21" s="48">
        <v>0</v>
      </c>
      <c r="C21" s="49">
        <v>0</v>
      </c>
      <c r="D21" s="39">
        <f>'4_sz_ melléklet'!B29</f>
        <v>846</v>
      </c>
      <c r="E21" s="94">
        <v>0</v>
      </c>
      <c r="F21" s="48">
        <v>0</v>
      </c>
    </row>
    <row r="22" spans="1:6" ht="12.75">
      <c r="A22" s="19" t="s">
        <v>90</v>
      </c>
      <c r="B22" s="48">
        <v>0</v>
      </c>
      <c r="C22" s="49">
        <v>0</v>
      </c>
      <c r="D22" s="39">
        <v>0</v>
      </c>
      <c r="E22" s="94">
        <v>0</v>
      </c>
      <c r="F22" s="48">
        <v>0</v>
      </c>
    </row>
    <row r="23" spans="1:6" ht="12.75">
      <c r="A23" s="19" t="s">
        <v>54</v>
      </c>
      <c r="B23" s="48">
        <v>0</v>
      </c>
      <c r="C23" s="49">
        <v>0</v>
      </c>
      <c r="D23" s="39">
        <v>0</v>
      </c>
      <c r="E23" s="94">
        <v>0</v>
      </c>
      <c r="F23" s="48">
        <v>0</v>
      </c>
    </row>
    <row r="24" spans="1:6" ht="12.75">
      <c r="A24" s="8" t="s">
        <v>111</v>
      </c>
      <c r="B24" s="39">
        <v>0</v>
      </c>
      <c r="C24" s="49">
        <v>0</v>
      </c>
      <c r="D24" s="39">
        <v>0</v>
      </c>
      <c r="E24" s="56">
        <v>0</v>
      </c>
      <c r="F24" s="39">
        <v>0</v>
      </c>
    </row>
    <row r="25" spans="1:6" ht="12.75">
      <c r="A25" s="65"/>
      <c r="B25" s="64"/>
      <c r="C25" s="124"/>
      <c r="D25" s="39"/>
      <c r="E25" s="53"/>
      <c r="F25" s="64"/>
    </row>
    <row r="26" spans="1:6" ht="12.75">
      <c r="A26" s="43" t="s">
        <v>91</v>
      </c>
      <c r="B26" s="16">
        <f>B21+B22+B23+B24</f>
        <v>0</v>
      </c>
      <c r="C26" s="16">
        <f>C21+C22+C23+C24</f>
        <v>0</v>
      </c>
      <c r="D26" s="16">
        <f>D21+D22+D23+D24</f>
        <v>846</v>
      </c>
      <c r="E26" s="16">
        <f>E21+E22+E23+E24</f>
        <v>0</v>
      </c>
      <c r="F26" s="16">
        <f>F21+F22+F23+F24</f>
        <v>0</v>
      </c>
    </row>
    <row r="27" spans="1:6" ht="12.75">
      <c r="A27" s="33"/>
      <c r="B27" s="53"/>
      <c r="C27" s="52"/>
      <c r="D27" s="52"/>
      <c r="E27" s="72"/>
      <c r="F27" s="52"/>
    </row>
    <row r="28" spans="1:6" ht="12.75">
      <c r="A28" s="50" t="s">
        <v>92</v>
      </c>
      <c r="B28" s="53"/>
      <c r="C28" s="64"/>
      <c r="D28" s="64"/>
      <c r="E28" s="72"/>
      <c r="F28" s="64"/>
    </row>
    <row r="29" spans="1:6" ht="12.75">
      <c r="A29" s="54" t="s">
        <v>58</v>
      </c>
      <c r="B29" s="56">
        <v>0</v>
      </c>
      <c r="C29" s="39">
        <v>0</v>
      </c>
      <c r="D29" s="39">
        <v>0</v>
      </c>
      <c r="E29" s="40">
        <v>0</v>
      </c>
      <c r="F29" s="39">
        <v>0</v>
      </c>
    </row>
    <row r="30" spans="1:6" ht="12.75">
      <c r="A30" s="125" t="s">
        <v>59</v>
      </c>
      <c r="B30" s="53">
        <v>0</v>
      </c>
      <c r="C30" s="78">
        <v>0</v>
      </c>
      <c r="D30" s="78">
        <v>0</v>
      </c>
      <c r="E30" s="72">
        <v>0</v>
      </c>
      <c r="F30" s="78">
        <v>0</v>
      </c>
    </row>
    <row r="31" spans="1:6" ht="12.75">
      <c r="A31" s="43" t="s">
        <v>93</v>
      </c>
      <c r="B31" s="61">
        <f>B29+B30</f>
        <v>0</v>
      </c>
      <c r="C31" s="61">
        <f>C29+C30</f>
        <v>0</v>
      </c>
      <c r="D31" s="61">
        <f>D29+D30</f>
        <v>0</v>
      </c>
      <c r="E31" s="61">
        <f>E29+E30</f>
        <v>0</v>
      </c>
      <c r="F31" s="61">
        <f>F29+F30</f>
        <v>0</v>
      </c>
    </row>
    <row r="32" spans="1:6" ht="12.75">
      <c r="A32" s="33"/>
      <c r="B32" s="53"/>
      <c r="C32" s="52"/>
      <c r="D32" s="64"/>
      <c r="E32" s="64"/>
      <c r="F32" s="64"/>
    </row>
    <row r="33" spans="1:6" ht="12.75">
      <c r="A33" s="62" t="s">
        <v>94</v>
      </c>
      <c r="B33" s="53"/>
      <c r="C33" s="64"/>
      <c r="D33" s="64"/>
      <c r="E33" s="64"/>
      <c r="F33" s="64"/>
    </row>
    <row r="34" spans="1:6" ht="12.75">
      <c r="A34" s="54" t="s">
        <v>58</v>
      </c>
      <c r="B34" s="56">
        <v>0</v>
      </c>
      <c r="C34" s="39">
        <v>0</v>
      </c>
      <c r="D34" s="39">
        <v>0</v>
      </c>
      <c r="E34" s="39">
        <v>0</v>
      </c>
      <c r="F34" s="39">
        <v>0</v>
      </c>
    </row>
    <row r="35" spans="1:6" ht="12.75">
      <c r="A35" s="126" t="s">
        <v>59</v>
      </c>
      <c r="B35" s="59">
        <v>0</v>
      </c>
      <c r="C35" s="63">
        <v>0</v>
      </c>
      <c r="D35" s="58">
        <v>0</v>
      </c>
      <c r="E35" s="58">
        <v>0</v>
      </c>
      <c r="F35" s="58">
        <v>0</v>
      </c>
    </row>
    <row r="36" spans="1:6" ht="12.75">
      <c r="A36" s="43" t="s">
        <v>95</v>
      </c>
      <c r="B36" s="61">
        <f>B34+B35</f>
        <v>0</v>
      </c>
      <c r="C36" s="61">
        <f>C34+C35</f>
        <v>0</v>
      </c>
      <c r="D36" s="61">
        <f>D34+D35</f>
        <v>0</v>
      </c>
      <c r="E36" s="61">
        <f>E34+E35</f>
        <v>0</v>
      </c>
      <c r="F36" s="61">
        <f>F34+F35</f>
        <v>0</v>
      </c>
    </row>
    <row r="37" spans="1:6" ht="12.75">
      <c r="A37" s="33"/>
      <c r="B37" s="53"/>
      <c r="C37" s="53"/>
      <c r="D37" s="64"/>
      <c r="E37" s="64"/>
      <c r="F37" s="64"/>
    </row>
    <row r="38" spans="1:6" ht="12.75">
      <c r="A38" s="47" t="s">
        <v>63</v>
      </c>
      <c r="B38" s="94"/>
      <c r="C38" s="94"/>
      <c r="D38" s="48"/>
      <c r="E38" s="48"/>
      <c r="F38" s="48"/>
    </row>
    <row r="39" spans="1:6" ht="12.75">
      <c r="A39" s="121" t="s">
        <v>96</v>
      </c>
      <c r="B39" s="94">
        <v>0</v>
      </c>
      <c r="C39" s="48">
        <v>0</v>
      </c>
      <c r="D39" s="48">
        <v>0</v>
      </c>
      <c r="E39" s="48">
        <v>0</v>
      </c>
      <c r="F39" s="48">
        <v>0</v>
      </c>
    </row>
    <row r="40" spans="1:6" ht="12.75">
      <c r="A40" s="127" t="s">
        <v>97</v>
      </c>
      <c r="B40" s="53">
        <v>0</v>
      </c>
      <c r="C40" s="78">
        <v>0</v>
      </c>
      <c r="D40" s="78">
        <v>0</v>
      </c>
      <c r="E40" s="78">
        <v>0</v>
      </c>
      <c r="F40" s="78">
        <v>0</v>
      </c>
    </row>
    <row r="41" spans="1:6" ht="12.75">
      <c r="A41" s="33" t="s">
        <v>98</v>
      </c>
      <c r="B41" s="128">
        <f>B39+B40</f>
        <v>0</v>
      </c>
      <c r="C41" s="128">
        <f>C39+C40</f>
        <v>0</v>
      </c>
      <c r="D41" s="128">
        <f>D39+D40</f>
        <v>0</v>
      </c>
      <c r="E41" s="128">
        <f>E39+E40</f>
        <v>0</v>
      </c>
      <c r="F41" s="128">
        <f>F39+F40</f>
        <v>0</v>
      </c>
    </row>
    <row r="42" spans="1:6" ht="12.75">
      <c r="A42" s="33"/>
      <c r="B42" s="92"/>
      <c r="C42" s="52"/>
      <c r="D42" s="92"/>
      <c r="E42" s="52"/>
      <c r="F42" s="52"/>
    </row>
    <row r="43" spans="1:6" ht="12.75">
      <c r="A43" s="103" t="s">
        <v>67</v>
      </c>
      <c r="B43" s="55"/>
      <c r="C43" s="129"/>
      <c r="D43" s="130"/>
      <c r="E43" s="40"/>
      <c r="F43" s="39"/>
    </row>
    <row r="44" spans="1:6" ht="12.75">
      <c r="A44" s="70" t="s">
        <v>68</v>
      </c>
      <c r="B44" s="131">
        <v>0</v>
      </c>
      <c r="C44" s="131">
        <v>0</v>
      </c>
      <c r="D44" s="48">
        <v>0</v>
      </c>
      <c r="E44" s="49">
        <v>0</v>
      </c>
      <c r="F44" s="48">
        <v>0</v>
      </c>
    </row>
    <row r="45" spans="1:6" ht="12.75">
      <c r="A45" s="71" t="s">
        <v>69</v>
      </c>
      <c r="B45" s="55">
        <v>0</v>
      </c>
      <c r="C45" s="51">
        <v>0</v>
      </c>
      <c r="D45" s="64">
        <v>0</v>
      </c>
      <c r="E45" s="72">
        <v>0</v>
      </c>
      <c r="F45" s="64">
        <v>0</v>
      </c>
    </row>
    <row r="46" spans="1:6" ht="12.75">
      <c r="A46" s="43" t="s">
        <v>70</v>
      </c>
      <c r="B46" s="60">
        <f>B44+B45</f>
        <v>0</v>
      </c>
      <c r="C46" s="60">
        <f>C44+C45</f>
        <v>0</v>
      </c>
      <c r="D46" s="60">
        <f>D44+D45</f>
        <v>0</v>
      </c>
      <c r="E46" s="60">
        <f>E44+E45</f>
        <v>0</v>
      </c>
      <c r="F46" s="16">
        <f>F44+F45</f>
        <v>0</v>
      </c>
    </row>
    <row r="47" spans="1:6" ht="12.75">
      <c r="A47" s="90"/>
      <c r="B47" s="104"/>
      <c r="C47" s="51"/>
      <c r="D47" s="64"/>
      <c r="E47" s="72"/>
      <c r="F47" s="64"/>
    </row>
    <row r="48" spans="1:6" s="91" customFormat="1" ht="12.75">
      <c r="A48" s="132" t="s">
        <v>99</v>
      </c>
      <c r="B48" s="133">
        <f>B46+B41+B36+B31+B26+B18</f>
        <v>221189</v>
      </c>
      <c r="C48" s="133">
        <f>C46+C41+C36+C31+C26+C18</f>
        <v>185367</v>
      </c>
      <c r="D48" s="133">
        <f>D46+D41+D36+D31+D26+D18</f>
        <v>500532</v>
      </c>
      <c r="E48" s="133">
        <f>E46+E41+E36+E31+E26+E18</f>
        <v>10366</v>
      </c>
      <c r="F48" s="133">
        <f>F46+F41+F36+F31+F26+F18</f>
        <v>41826</v>
      </c>
    </row>
    <row r="49" spans="1:6" ht="12.75">
      <c r="A49" s="107"/>
      <c r="B49" s="108"/>
      <c r="C49" s="51"/>
      <c r="D49" s="64"/>
      <c r="E49" s="72"/>
      <c r="F49" s="64"/>
    </row>
    <row r="50" spans="1:6" ht="12.75">
      <c r="A50" s="50" t="s">
        <v>112</v>
      </c>
      <c r="B50" s="51">
        <v>0</v>
      </c>
      <c r="C50" s="104">
        <v>0</v>
      </c>
      <c r="D50" s="67">
        <v>0</v>
      </c>
      <c r="E50" s="134">
        <v>0</v>
      </c>
      <c r="F50" s="67">
        <v>0</v>
      </c>
    </row>
    <row r="51" spans="1:6" ht="12.75">
      <c r="A51" s="135"/>
      <c r="B51" s="104"/>
      <c r="C51" s="51"/>
      <c r="D51" s="64"/>
      <c r="E51" s="72"/>
      <c r="F51" s="64"/>
    </row>
    <row r="52" spans="1:6" ht="12.75">
      <c r="A52" s="117" t="s">
        <v>102</v>
      </c>
      <c r="B52" s="136">
        <f>B48+B50</f>
        <v>221189</v>
      </c>
      <c r="C52" s="136">
        <f>C48+C50</f>
        <v>185367</v>
      </c>
      <c r="D52" s="136">
        <f>D48+D50</f>
        <v>500532</v>
      </c>
      <c r="E52" s="136">
        <f>E48+E50</f>
        <v>10366</v>
      </c>
      <c r="F52" s="133">
        <f>F48+F50</f>
        <v>41826</v>
      </c>
    </row>
    <row r="53" spans="1:6" ht="12.75">
      <c r="A53" s="137"/>
      <c r="B53" s="946"/>
      <c r="C53" s="946"/>
      <c r="D53" s="946"/>
      <c r="E53" s="946"/>
      <c r="F53" s="946"/>
    </row>
    <row r="54" spans="1:6" ht="12.75">
      <c r="A54" s="137"/>
      <c r="B54" s="946"/>
      <c r="C54" s="946"/>
      <c r="D54" s="946"/>
      <c r="E54" s="946"/>
      <c r="F54" s="946"/>
    </row>
    <row r="55" spans="1:6" ht="12.75">
      <c r="A55" s="137"/>
      <c r="B55" s="137"/>
      <c r="C55" s="37"/>
      <c r="D55" s="37"/>
      <c r="E55" s="37"/>
      <c r="F55" s="37"/>
    </row>
    <row r="56" spans="1:6" ht="12.75">
      <c r="A56" s="1016">
        <v>2</v>
      </c>
      <c r="B56" s="1016"/>
      <c r="C56" s="1016"/>
      <c r="D56" s="1016"/>
      <c r="E56" s="1016"/>
      <c r="F56" s="1016"/>
    </row>
    <row r="57" spans="1:6" ht="14.25">
      <c r="A57" s="1015" t="s">
        <v>113</v>
      </c>
      <c r="B57" s="1015"/>
      <c r="C57" s="1015"/>
      <c r="D57" s="1015"/>
      <c r="E57" s="1015"/>
      <c r="F57" s="1015"/>
    </row>
    <row r="58" spans="1:6" ht="15.75">
      <c r="A58" s="1014" t="s">
        <v>104</v>
      </c>
      <c r="B58" s="1014"/>
      <c r="C58" s="1014"/>
      <c r="D58" s="1014"/>
      <c r="E58" s="1014"/>
      <c r="F58" s="1014"/>
    </row>
    <row r="59" spans="1:6" ht="15.75">
      <c r="A59" s="1014" t="s">
        <v>105</v>
      </c>
      <c r="B59" s="1014"/>
      <c r="C59" s="1014"/>
      <c r="D59" s="1014"/>
      <c r="E59" s="1014"/>
      <c r="F59" s="1014"/>
    </row>
    <row r="60" ht="12.75">
      <c r="F60" s="31" t="s">
        <v>80</v>
      </c>
    </row>
    <row r="61" spans="1:6" ht="63" customHeight="1">
      <c r="A61" s="138" t="s">
        <v>114</v>
      </c>
      <c r="B61" s="139" t="s">
        <v>115</v>
      </c>
      <c r="C61" s="139" t="s">
        <v>116</v>
      </c>
      <c r="D61" s="140" t="s">
        <v>117</v>
      </c>
      <c r="E61" s="141" t="s">
        <v>118</v>
      </c>
      <c r="F61" s="142" t="s">
        <v>119</v>
      </c>
    </row>
    <row r="62" spans="1:6" ht="12.75">
      <c r="A62" s="44" t="s">
        <v>42</v>
      </c>
      <c r="B62" s="69"/>
      <c r="C62" s="109"/>
      <c r="D62" s="143"/>
      <c r="E62" s="144"/>
      <c r="F62" s="145"/>
    </row>
    <row r="63" spans="1:6" ht="12.75">
      <c r="A63" s="121" t="s">
        <v>43</v>
      </c>
      <c r="B63" s="48">
        <v>1968</v>
      </c>
      <c r="C63" s="55">
        <f>144707+3265+557</f>
        <v>148529</v>
      </c>
      <c r="D63" s="146">
        <f>199542+4870+869</f>
        <v>205281</v>
      </c>
      <c r="E63" s="147">
        <f>81226+3277+80</f>
        <v>84583</v>
      </c>
      <c r="F63" s="148">
        <f aca="true" t="shared" si="0" ref="F63:F69">E63+D63+C63+B63+B10+C10+D10+E10+F10</f>
        <v>1055579</v>
      </c>
    </row>
    <row r="64" spans="1:6" ht="12.75">
      <c r="A64" s="19" t="s">
        <v>44</v>
      </c>
      <c r="B64" s="48">
        <v>674</v>
      </c>
      <c r="C64" s="55">
        <f>45187+1455</f>
        <v>46642</v>
      </c>
      <c r="D64" s="146">
        <f>61562+2077</f>
        <v>63639</v>
      </c>
      <c r="E64" s="147">
        <f>25204+1066</f>
        <v>26270</v>
      </c>
      <c r="F64" s="148">
        <f t="shared" si="0"/>
        <v>331018</v>
      </c>
    </row>
    <row r="65" spans="1:6" ht="12.75">
      <c r="A65" s="19" t="s">
        <v>45</v>
      </c>
      <c r="B65" s="48">
        <v>693</v>
      </c>
      <c r="C65" s="55">
        <f>15740+541+20+389</f>
        <v>16690</v>
      </c>
      <c r="D65" s="146">
        <f>28179+482+250</f>
        <v>28911</v>
      </c>
      <c r="E65" s="147">
        <f>201095+1303</f>
        <v>202398</v>
      </c>
      <c r="F65" s="148">
        <f t="shared" si="0"/>
        <v>398115</v>
      </c>
    </row>
    <row r="66" spans="1:6" ht="12.75">
      <c r="A66" s="19" t="s">
        <v>47</v>
      </c>
      <c r="B66" s="48"/>
      <c r="C66" s="55">
        <v>830</v>
      </c>
      <c r="D66" s="146">
        <f>358+6033</f>
        <v>6391</v>
      </c>
      <c r="E66" s="147"/>
      <c r="F66" s="148">
        <f t="shared" si="0"/>
        <v>7221</v>
      </c>
    </row>
    <row r="67" spans="1:6" ht="12.75">
      <c r="A67" s="8" t="s">
        <v>86</v>
      </c>
      <c r="B67" s="48">
        <v>0</v>
      </c>
      <c r="C67" s="55"/>
      <c r="D67" s="146">
        <v>0</v>
      </c>
      <c r="E67" s="147"/>
      <c r="F67" s="148">
        <f t="shared" si="0"/>
        <v>0</v>
      </c>
    </row>
    <row r="68" spans="1:6" ht="12.75">
      <c r="A68" s="8" t="s">
        <v>87</v>
      </c>
      <c r="B68" s="48"/>
      <c r="C68" s="55"/>
      <c r="D68" s="146"/>
      <c r="E68" s="147"/>
      <c r="F68" s="148">
        <f t="shared" si="0"/>
        <v>0</v>
      </c>
    </row>
    <row r="69" spans="1:6" ht="12.75">
      <c r="A69" s="122" t="s">
        <v>88</v>
      </c>
      <c r="B69" s="39">
        <v>0</v>
      </c>
      <c r="C69" s="55"/>
      <c r="D69" s="146">
        <v>0</v>
      </c>
      <c r="E69" s="147"/>
      <c r="F69" s="148">
        <f t="shared" si="0"/>
        <v>0</v>
      </c>
    </row>
    <row r="70" spans="1:6" ht="12.75">
      <c r="A70" s="65"/>
      <c r="B70" s="64"/>
      <c r="C70" s="149"/>
      <c r="D70" s="150"/>
      <c r="E70" s="151"/>
      <c r="F70" s="152"/>
    </row>
    <row r="71" spans="1:6" s="91" customFormat="1" ht="12.75">
      <c r="A71" s="43" t="s">
        <v>89</v>
      </c>
      <c r="B71" s="61">
        <f>SUM(B63:B67)</f>
        <v>3335</v>
      </c>
      <c r="C71" s="16">
        <f>SUM(C63:C70)</f>
        <v>212691</v>
      </c>
      <c r="D71" s="153">
        <f>SUM(D63:D67)</f>
        <v>304222</v>
      </c>
      <c r="E71" s="153">
        <f>SUM(E63:E67)</f>
        <v>313251</v>
      </c>
      <c r="F71" s="16">
        <f>SUM(F63:F70)</f>
        <v>1791933</v>
      </c>
    </row>
    <row r="72" spans="1:6" ht="12.75">
      <c r="A72" s="44"/>
      <c r="B72" s="109"/>
      <c r="C72" s="109"/>
      <c r="D72" s="143"/>
      <c r="E72" s="144"/>
      <c r="F72" s="154"/>
    </row>
    <row r="73" spans="1:6" ht="12.75">
      <c r="A73" s="47" t="s">
        <v>51</v>
      </c>
      <c r="B73" s="131"/>
      <c r="C73" s="131"/>
      <c r="D73" s="155"/>
      <c r="E73" s="156"/>
      <c r="F73" s="145"/>
    </row>
    <row r="74" spans="1:6" ht="12.75">
      <c r="A74" s="19" t="s">
        <v>52</v>
      </c>
      <c r="B74" s="131">
        <v>0</v>
      </c>
      <c r="C74" s="55">
        <f>'4_sz_ melléklet'!B35</f>
        <v>4600</v>
      </c>
      <c r="D74" s="146">
        <f>'4_sz_ melléklet'!B40</f>
        <v>1974</v>
      </c>
      <c r="E74" s="147">
        <v>0</v>
      </c>
      <c r="F74" s="148">
        <f>E74+D74+C74+B74+B21+C21+D21+E21+F21</f>
        <v>7420</v>
      </c>
    </row>
    <row r="75" spans="1:6" ht="12.75">
      <c r="A75" s="19" t="s">
        <v>90</v>
      </c>
      <c r="B75" s="131">
        <v>0</v>
      </c>
      <c r="C75" s="55">
        <f>'3_sz_ melléklet'!B22</f>
        <v>2400</v>
      </c>
      <c r="D75" s="146">
        <v>0</v>
      </c>
      <c r="E75" s="147">
        <v>0</v>
      </c>
      <c r="F75" s="148">
        <f>E75+D75+C75+B75+B22+C22+D22+E22+F22</f>
        <v>2400</v>
      </c>
    </row>
    <row r="76" spans="1:6" ht="12.75">
      <c r="A76" s="19" t="s">
        <v>54</v>
      </c>
      <c r="B76" s="131">
        <v>0</v>
      </c>
      <c r="C76" s="55"/>
      <c r="D76" s="146">
        <v>0</v>
      </c>
      <c r="E76" s="147">
        <f>SUM(C76:D76)</f>
        <v>0</v>
      </c>
      <c r="F76" s="148">
        <f>E76+D76+C76+B76+B23+C23+D23+E23+F23</f>
        <v>0</v>
      </c>
    </row>
    <row r="77" spans="1:6" ht="12.75">
      <c r="A77" s="8" t="s">
        <v>111</v>
      </c>
      <c r="B77" s="131">
        <v>0</v>
      </c>
      <c r="C77" s="55"/>
      <c r="D77" s="146">
        <v>0</v>
      </c>
      <c r="E77" s="147">
        <f>SUM(C77:D77)</f>
        <v>0</v>
      </c>
      <c r="F77" s="148">
        <f>E77+D77+C77+B77+B24+C24+D24+E24+F24</f>
        <v>0</v>
      </c>
    </row>
    <row r="78" spans="1:6" ht="12.75">
      <c r="A78" s="65"/>
      <c r="B78" s="157"/>
      <c r="C78" s="149"/>
      <c r="D78" s="158"/>
      <c r="E78" s="147"/>
      <c r="F78" s="152"/>
    </row>
    <row r="79" spans="1:6" s="91" customFormat="1" ht="12.75">
      <c r="A79" s="43" t="s">
        <v>91</v>
      </c>
      <c r="B79" s="61">
        <f>B74+B75+B76+B77</f>
        <v>0</v>
      </c>
      <c r="C79" s="16">
        <f>SUM(C74:C78)</f>
        <v>7000</v>
      </c>
      <c r="D79" s="133">
        <f>SUM(D74:D77)</f>
        <v>1974</v>
      </c>
      <c r="E79" s="133">
        <f>SUM(E74:E77)</f>
        <v>0</v>
      </c>
      <c r="F79" s="16">
        <f>SUM(F74:F78)</f>
        <v>9820</v>
      </c>
    </row>
    <row r="80" spans="1:6" ht="12.75">
      <c r="A80" s="44"/>
      <c r="B80" s="109"/>
      <c r="C80" s="69"/>
      <c r="D80" s="159"/>
      <c r="E80" s="160"/>
      <c r="F80" s="145"/>
    </row>
    <row r="81" spans="1:6" ht="12.75">
      <c r="A81" s="50" t="s">
        <v>92</v>
      </c>
      <c r="B81" s="51"/>
      <c r="C81" s="48"/>
      <c r="D81" s="161"/>
      <c r="E81" s="161"/>
      <c r="F81" s="162"/>
    </row>
    <row r="82" spans="1:6" ht="12.75">
      <c r="A82" s="54" t="s">
        <v>58</v>
      </c>
      <c r="B82" s="55">
        <v>0</v>
      </c>
      <c r="C82" s="39">
        <f>B82+F29+E29+D29+C29+B29</f>
        <v>0</v>
      </c>
      <c r="D82" s="147">
        <v>0</v>
      </c>
      <c r="E82" s="161">
        <f>SUM(C82:D82)</f>
        <v>0</v>
      </c>
      <c r="F82" s="148">
        <f>E82+D82+C82+B82+B29+C29+D29+E29+F29</f>
        <v>0</v>
      </c>
    </row>
    <row r="83" spans="1:6" ht="12.75">
      <c r="A83" s="125" t="s">
        <v>59</v>
      </c>
      <c r="B83" s="157">
        <v>0</v>
      </c>
      <c r="C83" s="39">
        <f>B83+F30+E30+D30+C30+B30</f>
        <v>0</v>
      </c>
      <c r="D83" s="163">
        <v>0</v>
      </c>
      <c r="E83" s="161">
        <f>SUM(C83:D83)</f>
        <v>0</v>
      </c>
      <c r="F83" s="148">
        <f>E83+D83+C83+B83+B30+C30+D30+E30+F30</f>
        <v>0</v>
      </c>
    </row>
    <row r="84" spans="1:6" ht="12.75">
      <c r="A84" s="43" t="s">
        <v>93</v>
      </c>
      <c r="B84" s="61">
        <f>B82+B83</f>
        <v>0</v>
      </c>
      <c r="C84" s="16">
        <f>SUM(C82:C83)</f>
        <v>0</v>
      </c>
      <c r="D84" s="133">
        <f>D82+D83</f>
        <v>0</v>
      </c>
      <c r="E84" s="133">
        <f>E82+E83</f>
        <v>0</v>
      </c>
      <c r="F84" s="16">
        <f>SUM(F82:F83)</f>
        <v>0</v>
      </c>
    </row>
    <row r="85" spans="1:6" ht="12.75">
      <c r="A85" s="44"/>
      <c r="B85" s="109"/>
      <c r="C85" s="69"/>
      <c r="D85" s="159"/>
      <c r="E85" s="144"/>
      <c r="F85" s="154"/>
    </row>
    <row r="86" spans="1:6" ht="12.75">
      <c r="A86" s="62" t="s">
        <v>94</v>
      </c>
      <c r="B86" s="51"/>
      <c r="C86" s="48"/>
      <c r="D86" s="163"/>
      <c r="E86" s="161"/>
      <c r="F86" s="145"/>
    </row>
    <row r="87" spans="1:6" ht="12.75">
      <c r="A87" s="54" t="s">
        <v>58</v>
      </c>
      <c r="B87" s="55">
        <v>0</v>
      </c>
      <c r="C87" s="39"/>
      <c r="D87" s="164">
        <v>0</v>
      </c>
      <c r="E87" s="147">
        <f>SUM(C87:D87)</f>
        <v>0</v>
      </c>
      <c r="F87" s="148">
        <f>E87+D87+C87+B87+B34+C34+D34+E34+F34</f>
        <v>0</v>
      </c>
    </row>
    <row r="88" spans="1:6" ht="12.75">
      <c r="A88" s="126" t="s">
        <v>59</v>
      </c>
      <c r="B88" s="165">
        <v>0</v>
      </c>
      <c r="C88" s="63"/>
      <c r="D88" s="164">
        <v>0</v>
      </c>
      <c r="E88" s="151">
        <f>SUM(C88:D88)</f>
        <v>0</v>
      </c>
      <c r="F88" s="148">
        <f>E88+D88+C88+B88+B35+C35+D35+E35+F35</f>
        <v>0</v>
      </c>
    </row>
    <row r="89" spans="1:6" ht="12.75">
      <c r="A89" s="43" t="s">
        <v>95</v>
      </c>
      <c r="B89" s="61">
        <f>B87+B88</f>
        <v>0</v>
      </c>
      <c r="C89" s="16">
        <f>SUM(C87:C88)</f>
        <v>0</v>
      </c>
      <c r="D89" s="133">
        <f>D87+D88</f>
        <v>0</v>
      </c>
      <c r="E89" s="133">
        <f>E87+E88</f>
        <v>0</v>
      </c>
      <c r="F89" s="16">
        <f>SUM(F87:F88)</f>
        <v>0</v>
      </c>
    </row>
    <row r="90" spans="1:6" ht="12.75">
      <c r="A90" s="44"/>
      <c r="B90" s="166"/>
      <c r="C90" s="109"/>
      <c r="D90" s="143"/>
      <c r="E90" s="160"/>
      <c r="F90" s="145"/>
    </row>
    <row r="91" spans="1:6" ht="12.75">
      <c r="A91" s="47" t="s">
        <v>63</v>
      </c>
      <c r="B91" s="49"/>
      <c r="C91" s="131"/>
      <c r="D91" s="167"/>
      <c r="E91" s="161"/>
      <c r="F91" s="162"/>
    </row>
    <row r="92" spans="1:6" ht="12.75">
      <c r="A92" s="121" t="s">
        <v>96</v>
      </c>
      <c r="B92" s="131">
        <v>0</v>
      </c>
      <c r="C92" s="55"/>
      <c r="D92" s="167">
        <v>0</v>
      </c>
      <c r="E92" s="161">
        <f>SUM(C92:D92)</f>
        <v>0</v>
      </c>
      <c r="F92" s="148">
        <f>E92+D92+C92+B92+B39+C39+D39+E39+F39</f>
        <v>0</v>
      </c>
    </row>
    <row r="93" spans="1:6" ht="12.75">
      <c r="A93" s="127" t="s">
        <v>97</v>
      </c>
      <c r="B93" s="157">
        <v>0</v>
      </c>
      <c r="C93" s="165"/>
      <c r="D93" s="167">
        <v>0</v>
      </c>
      <c r="E93" s="156">
        <f>SUM(C93:D93)</f>
        <v>0</v>
      </c>
      <c r="F93" s="148">
        <f>E93+D93+C93+B93+B40+C40+D40+E40+F40</f>
        <v>0</v>
      </c>
    </row>
    <row r="94" spans="1:6" ht="12.75">
      <c r="A94" s="33" t="s">
        <v>98</v>
      </c>
      <c r="B94" s="128">
        <f>B92+B93</f>
        <v>0</v>
      </c>
      <c r="C94" s="60">
        <f>SUM(C92:C93)</f>
        <v>0</v>
      </c>
      <c r="D94" s="133">
        <f>D92+D93</f>
        <v>0</v>
      </c>
      <c r="E94" s="133">
        <f>E92+E93</f>
        <v>0</v>
      </c>
      <c r="F94" s="16">
        <f>SUM(F92:F93)</f>
        <v>0</v>
      </c>
    </row>
    <row r="95" spans="1:6" ht="12.75">
      <c r="A95" s="43"/>
      <c r="B95" s="67"/>
      <c r="C95" s="51"/>
      <c r="D95" s="144"/>
      <c r="E95" s="144"/>
      <c r="F95" s="168"/>
    </row>
    <row r="96" spans="1:6" ht="12.75">
      <c r="A96" s="90" t="s">
        <v>67</v>
      </c>
      <c r="B96" s="108"/>
      <c r="C96" s="67"/>
      <c r="D96" s="144"/>
      <c r="E96" s="144"/>
      <c r="F96" s="169"/>
    </row>
    <row r="97" spans="1:6" ht="12.75">
      <c r="A97" s="70" t="s">
        <v>68</v>
      </c>
      <c r="B97" s="131">
        <v>0</v>
      </c>
      <c r="C97" s="131"/>
      <c r="D97" s="144">
        <v>0</v>
      </c>
      <c r="E97" s="144">
        <f>SUM(C97:D97)</f>
        <v>0</v>
      </c>
      <c r="F97" s="170">
        <f>E97+D97+C97+B97+B44+C44+D44+E44+F44</f>
        <v>0</v>
      </c>
    </row>
    <row r="98" spans="1:6" ht="12.75">
      <c r="A98" s="71" t="s">
        <v>69</v>
      </c>
      <c r="B98" s="51">
        <v>0</v>
      </c>
      <c r="C98" s="131"/>
      <c r="D98" s="161">
        <v>0</v>
      </c>
      <c r="E98" s="161">
        <f>SUM(C98:D98)</f>
        <v>0</v>
      </c>
      <c r="F98" s="170">
        <f>E98+D98+C98+B98+B45+C45+D45+E45+F45</f>
        <v>0</v>
      </c>
    </row>
    <row r="99" spans="1:6" ht="12.75">
      <c r="A99" s="43" t="s">
        <v>70</v>
      </c>
      <c r="B99" s="60">
        <f>B97+B98</f>
        <v>0</v>
      </c>
      <c r="C99" s="16">
        <f>SUM(C97:C98)</f>
        <v>0</v>
      </c>
      <c r="D99" s="171">
        <f>D97+D98</f>
        <v>0</v>
      </c>
      <c r="E99" s="171">
        <f>E97+E98</f>
        <v>0</v>
      </c>
      <c r="F99" s="16">
        <f>SUM(F97:F98)</f>
        <v>0</v>
      </c>
    </row>
    <row r="100" spans="1:6" ht="12.75">
      <c r="A100" s="90"/>
      <c r="B100" s="51"/>
      <c r="C100" s="51"/>
      <c r="D100" s="144"/>
      <c r="E100" s="144"/>
      <c r="F100" s="168"/>
    </row>
    <row r="101" spans="1:6" s="91" customFormat="1" ht="12.75">
      <c r="A101" s="132" t="s">
        <v>99</v>
      </c>
      <c r="B101" s="60">
        <f>B99+B94+B89+B84+B79+B71</f>
        <v>3335</v>
      </c>
      <c r="C101" s="16">
        <f>C99+C94+C89+C84+C79+C71</f>
        <v>219691</v>
      </c>
      <c r="D101" s="171">
        <f>D99+D94+D89+D84+D79+D71</f>
        <v>306196</v>
      </c>
      <c r="E101" s="171">
        <f>E99+E94+E89+E84+E79+E71</f>
        <v>313251</v>
      </c>
      <c r="F101" s="172">
        <f>F99+F94+F89+F84+F79+F71</f>
        <v>1801753</v>
      </c>
    </row>
    <row r="102" spans="1:6" ht="14.25" customHeight="1">
      <c r="A102" s="107"/>
      <c r="B102" s="51"/>
      <c r="C102" s="51"/>
      <c r="D102" s="144"/>
      <c r="E102" s="144"/>
      <c r="F102" s="168"/>
    </row>
    <row r="103" spans="1:6" ht="12.75">
      <c r="A103" s="50" t="s">
        <v>112</v>
      </c>
      <c r="B103" s="104">
        <v>0</v>
      </c>
      <c r="C103" s="67">
        <f>B103+F50+E50+D50+C50+B50</f>
        <v>0</v>
      </c>
      <c r="D103" s="144">
        <v>0</v>
      </c>
      <c r="E103" s="144">
        <f>SUM(C103:D103)</f>
        <v>0</v>
      </c>
      <c r="F103" s="67">
        <f>E103+D103+C103+B103+B50+C50+D50+E50+F50</f>
        <v>0</v>
      </c>
    </row>
    <row r="104" spans="1:6" ht="14.25" customHeight="1">
      <c r="A104" s="135"/>
      <c r="B104" s="51"/>
      <c r="C104" s="51"/>
      <c r="D104" s="144"/>
      <c r="E104" s="144"/>
      <c r="F104" s="168"/>
    </row>
    <row r="105" spans="1:6" s="91" customFormat="1" ht="12.75">
      <c r="A105" s="117" t="s">
        <v>102</v>
      </c>
      <c r="B105" s="60">
        <f>B101+B103</f>
        <v>3335</v>
      </c>
      <c r="C105" s="60">
        <f>C101+C103</f>
        <v>219691</v>
      </c>
      <c r="D105" s="136">
        <f>D103+D101</f>
        <v>306196</v>
      </c>
      <c r="E105" s="136">
        <f>E103+E101</f>
        <v>313251</v>
      </c>
      <c r="F105" s="133">
        <f>F103+F101</f>
        <v>1801753</v>
      </c>
    </row>
    <row r="106" spans="1:6" s="91" customFormat="1" ht="12.75">
      <c r="A106" s="137"/>
      <c r="B106" s="947"/>
      <c r="C106" s="947"/>
      <c r="D106" s="946"/>
      <c r="E106" s="946"/>
      <c r="F106" s="946"/>
    </row>
    <row r="107" spans="1:6" ht="12.75">
      <c r="A107" s="1016">
        <v>3</v>
      </c>
      <c r="B107" s="1016"/>
      <c r="C107" s="1016"/>
      <c r="D107" s="1016"/>
      <c r="E107" s="1016"/>
      <c r="F107" s="1016"/>
    </row>
    <row r="108" spans="1:6" ht="14.25">
      <c r="A108" s="1015" t="s">
        <v>113</v>
      </c>
      <c r="B108" s="1015"/>
      <c r="C108" s="1015"/>
      <c r="D108" s="1015"/>
      <c r="E108" s="1015"/>
      <c r="F108" s="1015"/>
    </row>
    <row r="109" spans="1:6" ht="15.75">
      <c r="A109" s="1014" t="s">
        <v>104</v>
      </c>
      <c r="B109" s="1014"/>
      <c r="C109" s="1014"/>
      <c r="D109" s="1014"/>
      <c r="E109" s="1014"/>
      <c r="F109" s="1014"/>
    </row>
    <row r="110" spans="1:6" ht="15.75">
      <c r="A110" s="1014" t="s">
        <v>105</v>
      </c>
      <c r="B110" s="1014"/>
      <c r="C110" s="1014"/>
      <c r="D110" s="1014"/>
      <c r="E110" s="1014"/>
      <c r="F110" s="1014"/>
    </row>
    <row r="111" ht="12.75">
      <c r="F111" s="31" t="s">
        <v>80</v>
      </c>
    </row>
    <row r="112" spans="1:3" ht="72.75">
      <c r="A112" s="138" t="s">
        <v>114</v>
      </c>
      <c r="B112" s="139" t="s">
        <v>120</v>
      </c>
      <c r="C112" s="142" t="s">
        <v>121</v>
      </c>
    </row>
    <row r="113" spans="1:3" ht="12.75">
      <c r="A113" s="44" t="s">
        <v>42</v>
      </c>
      <c r="B113" s="69"/>
      <c r="C113" s="69"/>
    </row>
    <row r="114" spans="1:3" ht="12.75">
      <c r="A114" s="121" t="s">
        <v>43</v>
      </c>
      <c r="B114" s="48">
        <v>499</v>
      </c>
      <c r="C114" s="39">
        <f aca="true" t="shared" si="1" ref="C114:C120">B114+F63</f>
        <v>1056078</v>
      </c>
    </row>
    <row r="115" spans="1:3" ht="12.75">
      <c r="A115" s="19" t="s">
        <v>44</v>
      </c>
      <c r="B115" s="48">
        <v>155</v>
      </c>
      <c r="C115" s="39">
        <f t="shared" si="1"/>
        <v>331173</v>
      </c>
    </row>
    <row r="116" spans="1:3" ht="12.75">
      <c r="A116" s="19" t="s">
        <v>45</v>
      </c>
      <c r="B116" s="48">
        <v>750</v>
      </c>
      <c r="C116" s="39">
        <f t="shared" si="1"/>
        <v>398865</v>
      </c>
    </row>
    <row r="117" spans="1:3" ht="12.75">
      <c r="A117" s="19" t="s">
        <v>47</v>
      </c>
      <c r="B117" s="48"/>
      <c r="C117" s="39">
        <f t="shared" si="1"/>
        <v>7221</v>
      </c>
    </row>
    <row r="118" spans="1:3" ht="12.75">
      <c r="A118" s="8" t="s">
        <v>86</v>
      </c>
      <c r="B118" s="48">
        <v>0</v>
      </c>
      <c r="C118" s="39">
        <f t="shared" si="1"/>
        <v>0</v>
      </c>
    </row>
    <row r="119" spans="1:3" ht="12.75">
      <c r="A119" s="8" t="s">
        <v>87</v>
      </c>
      <c r="B119" s="48"/>
      <c r="C119" s="39">
        <f t="shared" si="1"/>
        <v>0</v>
      </c>
    </row>
    <row r="120" spans="1:3" ht="12.75">
      <c r="A120" s="122" t="s">
        <v>88</v>
      </c>
      <c r="B120" s="39">
        <v>0</v>
      </c>
      <c r="C120" s="39">
        <f t="shared" si="1"/>
        <v>0</v>
      </c>
    </row>
    <row r="121" spans="1:3" ht="12.75">
      <c r="A121" s="43" t="s">
        <v>89</v>
      </c>
      <c r="B121" s="61">
        <f>SUM(B114:B118)</f>
        <v>1404</v>
      </c>
      <c r="C121" s="16">
        <f>SUM(C114:C120)</f>
        <v>1793337</v>
      </c>
    </row>
    <row r="122" spans="1:3" ht="12.75">
      <c r="A122" s="33"/>
      <c r="B122" s="173"/>
      <c r="C122" s="52"/>
    </row>
    <row r="123" spans="1:3" ht="12.75">
      <c r="A123" s="47" t="s">
        <v>51</v>
      </c>
      <c r="B123" s="131"/>
      <c r="C123" s="48"/>
    </row>
    <row r="124" spans="1:3" ht="12.75">
      <c r="A124" s="19" t="s">
        <v>52</v>
      </c>
      <c r="B124" s="131">
        <v>0</v>
      </c>
      <c r="C124" s="39">
        <f>B124+F74</f>
        <v>7420</v>
      </c>
    </row>
    <row r="125" spans="1:3" ht="12.75">
      <c r="A125" s="19" t="s">
        <v>90</v>
      </c>
      <c r="B125" s="131">
        <v>0</v>
      </c>
      <c r="C125" s="39">
        <f>B125+F75</f>
        <v>2400</v>
      </c>
    </row>
    <row r="126" spans="1:3" ht="12.75">
      <c r="A126" s="19" t="s">
        <v>54</v>
      </c>
      <c r="B126" s="131">
        <v>0</v>
      </c>
      <c r="C126" s="39">
        <f>B126+F76</f>
        <v>0</v>
      </c>
    </row>
    <row r="127" spans="1:3" ht="12.75">
      <c r="A127" s="8" t="s">
        <v>111</v>
      </c>
      <c r="B127" s="131">
        <v>0</v>
      </c>
      <c r="C127" s="39">
        <f>B127+F77</f>
        <v>0</v>
      </c>
    </row>
    <row r="128" spans="1:3" ht="12.75">
      <c r="A128" s="65"/>
      <c r="B128" s="157"/>
      <c r="C128" s="58"/>
    </row>
    <row r="129" spans="1:3" ht="12.75">
      <c r="A129" s="43" t="s">
        <v>91</v>
      </c>
      <c r="B129" s="61">
        <f>B124+B125+B126+B127</f>
        <v>0</v>
      </c>
      <c r="C129" s="16">
        <f>SUM(C124:C128)</f>
        <v>9820</v>
      </c>
    </row>
    <row r="130" spans="1:3" ht="12.75">
      <c r="A130" s="44"/>
      <c r="B130" s="109"/>
      <c r="C130" s="69"/>
    </row>
    <row r="131" spans="1:3" ht="12.75">
      <c r="A131" s="50" t="s">
        <v>92</v>
      </c>
      <c r="B131" s="51"/>
      <c r="C131" s="48"/>
    </row>
    <row r="132" spans="1:3" ht="12.75">
      <c r="A132" s="54" t="s">
        <v>58</v>
      </c>
      <c r="B132" s="55">
        <v>0</v>
      </c>
      <c r="C132" s="39">
        <f>B132+F82</f>
        <v>0</v>
      </c>
    </row>
    <row r="133" spans="1:3" ht="12.75">
      <c r="A133" s="125" t="s">
        <v>59</v>
      </c>
      <c r="B133" s="157">
        <v>0</v>
      </c>
      <c r="C133" s="39">
        <f>B133+F83</f>
        <v>0</v>
      </c>
    </row>
    <row r="134" spans="1:3" ht="12.75">
      <c r="A134" s="43" t="s">
        <v>93</v>
      </c>
      <c r="B134" s="61">
        <f>B132+B133</f>
        <v>0</v>
      </c>
      <c r="C134" s="16">
        <f>SUM(C132:C133)</f>
        <v>0</v>
      </c>
    </row>
    <row r="135" spans="1:3" ht="12.75">
      <c r="A135" s="33"/>
      <c r="B135" s="173"/>
      <c r="C135" s="52"/>
    </row>
    <row r="136" spans="1:3" ht="12.75">
      <c r="A136" s="62" t="s">
        <v>94</v>
      </c>
      <c r="B136" s="51"/>
      <c r="C136" s="48"/>
    </row>
    <row r="137" spans="1:3" ht="12.75">
      <c r="A137" s="54" t="s">
        <v>58</v>
      </c>
      <c r="B137" s="55">
        <v>0</v>
      </c>
      <c r="C137" s="39">
        <f>B137+F87</f>
        <v>0</v>
      </c>
    </row>
    <row r="138" spans="1:3" ht="12.75">
      <c r="A138" s="126" t="s">
        <v>59</v>
      </c>
      <c r="B138" s="165">
        <v>0</v>
      </c>
      <c r="C138" s="39">
        <f>B138+F88</f>
        <v>0</v>
      </c>
    </row>
    <row r="139" spans="1:3" ht="12.75">
      <c r="A139" s="43" t="s">
        <v>95</v>
      </c>
      <c r="B139" s="61">
        <f>B137+B138</f>
        <v>0</v>
      </c>
      <c r="C139" s="16">
        <f>SUM(C137:C138)</f>
        <v>0</v>
      </c>
    </row>
    <row r="140" spans="1:3" ht="12.75">
      <c r="A140" s="44"/>
      <c r="B140" s="166"/>
      <c r="C140" s="69"/>
    </row>
    <row r="141" spans="1:3" ht="12.75">
      <c r="A141" s="47" t="s">
        <v>63</v>
      </c>
      <c r="B141" s="49"/>
      <c r="C141" s="48"/>
    </row>
    <row r="142" spans="1:3" ht="12.75">
      <c r="A142" s="121" t="s">
        <v>96</v>
      </c>
      <c r="B142" s="131">
        <v>0</v>
      </c>
      <c r="C142" s="39">
        <f>B142+F92</f>
        <v>0</v>
      </c>
    </row>
    <row r="143" spans="1:3" ht="12.75">
      <c r="A143" s="127" t="s">
        <v>97</v>
      </c>
      <c r="B143" s="157">
        <v>0</v>
      </c>
      <c r="C143" s="39">
        <f>B143+F93</f>
        <v>0</v>
      </c>
    </row>
    <row r="144" spans="1:3" ht="12.75">
      <c r="A144" s="33" t="s">
        <v>98</v>
      </c>
      <c r="B144" s="128">
        <f>B142+B143</f>
        <v>0</v>
      </c>
      <c r="C144" s="16">
        <f>SUM(C142:C143)</f>
        <v>0</v>
      </c>
    </row>
    <row r="145" spans="1:3" ht="12.75">
      <c r="A145" s="43"/>
      <c r="B145" s="67"/>
      <c r="C145" s="64"/>
    </row>
    <row r="146" spans="1:3" ht="12.75">
      <c r="A146" s="90" t="s">
        <v>67</v>
      </c>
      <c r="B146" s="108"/>
      <c r="C146" s="67"/>
    </row>
    <row r="147" spans="1:3" ht="12.75">
      <c r="A147" s="70" t="s">
        <v>68</v>
      </c>
      <c r="B147" s="131">
        <v>0</v>
      </c>
      <c r="C147" s="48">
        <f>B147+F97</f>
        <v>0</v>
      </c>
    </row>
    <row r="148" spans="1:3" ht="12.75">
      <c r="A148" s="71" t="s">
        <v>69</v>
      </c>
      <c r="B148" s="51">
        <v>0</v>
      </c>
      <c r="C148" s="48">
        <f>B148+F98</f>
        <v>0</v>
      </c>
    </row>
    <row r="149" spans="1:3" ht="12.75">
      <c r="A149" s="43" t="s">
        <v>70</v>
      </c>
      <c r="B149" s="60">
        <f>B147+B148</f>
        <v>0</v>
      </c>
      <c r="C149" s="16">
        <f>SUM(C147:C148)</f>
        <v>0</v>
      </c>
    </row>
    <row r="150" spans="1:3" ht="12.75">
      <c r="A150" s="90"/>
      <c r="B150" s="51"/>
      <c r="C150" s="64"/>
    </row>
    <row r="151" spans="1:3" ht="12.75">
      <c r="A151" s="132" t="s">
        <v>99</v>
      </c>
      <c r="B151" s="60">
        <f>B149+B144+B139+B134+B129+B121</f>
        <v>1404</v>
      </c>
      <c r="C151" s="16">
        <f>C149+C144+C139+C134+C129+C121</f>
        <v>1803157</v>
      </c>
    </row>
    <row r="152" spans="1:3" ht="12.75">
      <c r="A152" s="107"/>
      <c r="B152" s="51"/>
      <c r="C152" s="64"/>
    </row>
    <row r="153" spans="1:3" ht="12.75">
      <c r="A153" s="50" t="s">
        <v>112</v>
      </c>
      <c r="B153" s="104">
        <v>0</v>
      </c>
      <c r="C153" s="67">
        <f>B153+F103</f>
        <v>0</v>
      </c>
    </row>
    <row r="154" spans="1:3" ht="12.75">
      <c r="A154" s="135"/>
      <c r="B154" s="51"/>
      <c r="C154" s="64"/>
    </row>
    <row r="155" spans="1:3" ht="12.75">
      <c r="A155" s="117" t="s">
        <v>102</v>
      </c>
      <c r="B155" s="60">
        <f>B151+B153</f>
        <v>1404</v>
      </c>
      <c r="C155" s="16">
        <f>C153+C151</f>
        <v>1803157</v>
      </c>
    </row>
  </sheetData>
  <sheetProtection/>
  <mergeCells count="16">
    <mergeCell ref="E1:F1"/>
    <mergeCell ref="A3:F3"/>
    <mergeCell ref="A4:F4"/>
    <mergeCell ref="B7:B8"/>
    <mergeCell ref="C7:C8"/>
    <mergeCell ref="D7:D8"/>
    <mergeCell ref="E7:E8"/>
    <mergeCell ref="F7:F8"/>
    <mergeCell ref="A109:F109"/>
    <mergeCell ref="A110:F110"/>
    <mergeCell ref="A56:F56"/>
    <mergeCell ref="A57:F57"/>
    <mergeCell ref="A58:F58"/>
    <mergeCell ref="A59:F59"/>
    <mergeCell ref="A107:F107"/>
    <mergeCell ref="A108:F108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67"/>
  <sheetViews>
    <sheetView zoomScalePageLayoutView="0" workbookViewId="0" topLeftCell="A1">
      <selection activeCell="A367" sqref="A1:F367"/>
    </sheetView>
  </sheetViews>
  <sheetFormatPr defaultColWidth="9.140625" defaultRowHeight="12.75"/>
  <cols>
    <col min="1" max="1" width="30.140625" style="0" customWidth="1"/>
    <col min="2" max="2" width="10.7109375" style="0" customWidth="1"/>
    <col min="3" max="3" width="10.8515625" style="0" customWidth="1"/>
    <col min="4" max="4" width="10.57421875" style="0" customWidth="1"/>
    <col min="5" max="5" width="11.140625" style="0" customWidth="1"/>
    <col min="6" max="6" width="11.00390625" style="0" customWidth="1"/>
  </cols>
  <sheetData>
    <row r="1" spans="1:5" ht="14.25">
      <c r="A1" s="1015" t="s">
        <v>122</v>
      </c>
      <c r="B1" s="1015"/>
      <c r="C1" s="1015"/>
      <c r="D1" s="1015"/>
      <c r="E1" s="1015"/>
    </row>
    <row r="2" spans="1:6" ht="15.75">
      <c r="A2" s="1014" t="s">
        <v>123</v>
      </c>
      <c r="B2" s="1014"/>
      <c r="C2" s="1014"/>
      <c r="D2" s="1014"/>
      <c r="E2" s="1014"/>
      <c r="F2" s="1014"/>
    </row>
    <row r="3" spans="1:6" ht="15.75">
      <c r="A3" s="1014" t="s">
        <v>124</v>
      </c>
      <c r="B3" s="1014"/>
      <c r="C3" s="1014"/>
      <c r="D3" s="1014"/>
      <c r="E3" s="1014"/>
      <c r="F3" s="1014"/>
    </row>
    <row r="4" ht="12.75">
      <c r="E4" s="31" t="s">
        <v>80</v>
      </c>
    </row>
    <row r="5" spans="1:6" ht="42" customHeight="1">
      <c r="A5" s="32" t="s">
        <v>125</v>
      </c>
      <c r="B5" s="174" t="s">
        <v>126</v>
      </c>
      <c r="C5" s="175" t="s">
        <v>127</v>
      </c>
      <c r="D5" s="176" t="s">
        <v>128</v>
      </c>
      <c r="E5" s="176" t="s">
        <v>129</v>
      </c>
      <c r="F5" s="176" t="s">
        <v>130</v>
      </c>
    </row>
    <row r="6" spans="1:6" ht="12.75">
      <c r="A6" s="44" t="s">
        <v>42</v>
      </c>
      <c r="B6" s="177"/>
      <c r="C6" s="177"/>
      <c r="D6" s="177"/>
      <c r="E6" s="178"/>
      <c r="F6" s="177"/>
    </row>
    <row r="7" spans="1:6" ht="12.75">
      <c r="A7" s="121" t="s">
        <v>43</v>
      </c>
      <c r="B7" s="48">
        <v>300</v>
      </c>
      <c r="C7" s="39"/>
      <c r="D7" s="48"/>
      <c r="E7" s="49"/>
      <c r="F7" s="39"/>
    </row>
    <row r="8" spans="1:6" ht="12.75">
      <c r="A8" s="19" t="s">
        <v>44</v>
      </c>
      <c r="B8" s="48">
        <v>86</v>
      </c>
      <c r="C8" s="39"/>
      <c r="D8" s="48"/>
      <c r="E8" s="49"/>
      <c r="F8" s="39"/>
    </row>
    <row r="9" spans="1:6" ht="12.75">
      <c r="A9" s="19" t="s">
        <v>45</v>
      </c>
      <c r="B9" s="48">
        <v>21623</v>
      </c>
      <c r="C9" s="39"/>
      <c r="D9" s="48">
        <v>33465</v>
      </c>
      <c r="E9" s="49"/>
      <c r="F9" s="39">
        <v>9100</v>
      </c>
    </row>
    <row r="10" spans="1:6" ht="12.75">
      <c r="A10" s="19" t="s">
        <v>131</v>
      </c>
      <c r="B10" s="48">
        <v>-2597</v>
      </c>
      <c r="C10" s="39"/>
      <c r="D10" s="48"/>
      <c r="E10" s="49"/>
      <c r="F10" s="39"/>
    </row>
    <row r="11" spans="1:6" ht="12.75">
      <c r="A11" s="19" t="s">
        <v>47</v>
      </c>
      <c r="B11" s="48">
        <v>0</v>
      </c>
      <c r="C11" s="39">
        <v>0</v>
      </c>
      <c r="D11" s="48">
        <v>0</v>
      </c>
      <c r="E11" s="49">
        <v>0</v>
      </c>
      <c r="F11" s="39">
        <v>0</v>
      </c>
    </row>
    <row r="12" spans="1:6" ht="12.75">
      <c r="A12" s="8" t="s">
        <v>48</v>
      </c>
      <c r="B12" s="48">
        <v>0</v>
      </c>
      <c r="C12" s="39">
        <v>0</v>
      </c>
      <c r="D12" s="48">
        <v>0</v>
      </c>
      <c r="E12" s="49">
        <v>0</v>
      </c>
      <c r="F12" s="39">
        <v>0</v>
      </c>
    </row>
    <row r="13" spans="1:6" ht="12.75">
      <c r="A13" s="122" t="s">
        <v>132</v>
      </c>
      <c r="B13" s="39">
        <f>B12</f>
        <v>0</v>
      </c>
      <c r="C13" s="39">
        <f>C12</f>
        <v>0</v>
      </c>
      <c r="D13" s="39">
        <f>D12</f>
        <v>0</v>
      </c>
      <c r="E13" s="39">
        <f>E12</f>
        <v>0</v>
      </c>
      <c r="F13" s="39">
        <f>F12</f>
        <v>0</v>
      </c>
    </row>
    <row r="14" spans="1:6" s="91" customFormat="1" ht="12.75">
      <c r="A14" s="43" t="s">
        <v>133</v>
      </c>
      <c r="B14" s="16">
        <f>SUM(B7:B12)</f>
        <v>19412</v>
      </c>
      <c r="C14" s="16">
        <f>SUM(C7:C12)</f>
        <v>0</v>
      </c>
      <c r="D14" s="16">
        <f>SUM(D7:D12)</f>
        <v>33465</v>
      </c>
      <c r="E14" s="16">
        <f>SUM(E7:E12)</f>
        <v>0</v>
      </c>
      <c r="F14" s="16">
        <f>SUM(F7:F12)</f>
        <v>9100</v>
      </c>
    </row>
    <row r="15" spans="1:6" ht="20.25" customHeight="1">
      <c r="A15" s="47" t="s">
        <v>51</v>
      </c>
      <c r="B15" s="48"/>
      <c r="C15" s="94"/>
      <c r="D15" s="48"/>
      <c r="E15" s="131"/>
      <c r="F15" s="39"/>
    </row>
    <row r="16" spans="1:6" ht="12.75">
      <c r="A16" s="19" t="s">
        <v>52</v>
      </c>
      <c r="B16" s="48">
        <f>'4_sz_ melléklet'!B68</f>
        <v>33955</v>
      </c>
      <c r="C16" s="56">
        <v>0</v>
      </c>
      <c r="D16" s="48">
        <v>0</v>
      </c>
      <c r="E16" s="131"/>
      <c r="F16" s="39">
        <v>0</v>
      </c>
    </row>
    <row r="17" spans="1:6" ht="12.75">
      <c r="A17" s="19" t="s">
        <v>53</v>
      </c>
      <c r="B17" s="48">
        <f>'3_sz_ melléklet'!B35</f>
        <v>0</v>
      </c>
      <c r="C17" s="56">
        <f>'3_sz_ melléklet'!B32</f>
        <v>32733</v>
      </c>
      <c r="D17" s="48">
        <v>0</v>
      </c>
      <c r="E17" s="131">
        <v>0</v>
      </c>
      <c r="F17" s="39">
        <v>0</v>
      </c>
    </row>
    <row r="18" spans="1:6" ht="12.75">
      <c r="A18" s="19" t="s">
        <v>54</v>
      </c>
      <c r="B18" s="48">
        <v>0</v>
      </c>
      <c r="C18" s="56">
        <v>0</v>
      </c>
      <c r="D18" s="48">
        <v>0</v>
      </c>
      <c r="E18" s="131">
        <v>0</v>
      </c>
      <c r="F18" s="39">
        <v>0</v>
      </c>
    </row>
    <row r="19" spans="1:6" ht="12.75">
      <c r="A19" s="179" t="s">
        <v>111</v>
      </c>
      <c r="B19" s="48">
        <f>-B10</f>
        <v>2597</v>
      </c>
      <c r="C19" s="48">
        <f>-C10</f>
        <v>0</v>
      </c>
      <c r="D19" s="48">
        <f>-D10</f>
        <v>0</v>
      </c>
      <c r="E19" s="48">
        <f>-E10</f>
        <v>0</v>
      </c>
      <c r="F19" s="48">
        <f>-F10</f>
        <v>0</v>
      </c>
    </row>
    <row r="20" spans="1:6" s="91" customFormat="1" ht="12.75">
      <c r="A20" s="43" t="s">
        <v>91</v>
      </c>
      <c r="B20" s="16">
        <f>B16+B17+B18+B19</f>
        <v>36552</v>
      </c>
      <c r="C20" s="16">
        <f>C16+C17+C18+C19</f>
        <v>32733</v>
      </c>
      <c r="D20" s="16">
        <f>D16+D17+D18+D19</f>
        <v>0</v>
      </c>
      <c r="E20" s="16">
        <f>E16+E17+E18+E19</f>
        <v>0</v>
      </c>
      <c r="F20" s="16">
        <f>F16+F17+F18+F19</f>
        <v>0</v>
      </c>
    </row>
    <row r="21" spans="1:6" ht="12.75">
      <c r="A21" s="96"/>
      <c r="B21" s="64"/>
      <c r="C21" s="51"/>
      <c r="D21" s="64"/>
      <c r="E21" s="53"/>
      <c r="F21" s="64"/>
    </row>
    <row r="22" spans="1:6" ht="12.75">
      <c r="A22" s="96" t="s">
        <v>57</v>
      </c>
      <c r="B22" s="64"/>
      <c r="C22" s="51"/>
      <c r="D22" s="64"/>
      <c r="E22" s="53"/>
      <c r="F22" s="64"/>
    </row>
    <row r="23" spans="1:6" ht="12.75">
      <c r="A23" s="180" t="s">
        <v>58</v>
      </c>
      <c r="B23" s="39">
        <v>0</v>
      </c>
      <c r="C23" s="55">
        <v>0</v>
      </c>
      <c r="D23" s="39">
        <v>0</v>
      </c>
      <c r="E23" s="56">
        <v>0</v>
      </c>
      <c r="F23" s="39">
        <v>0</v>
      </c>
    </row>
    <row r="24" spans="1:6" ht="12.75">
      <c r="A24" s="125" t="s">
        <v>59</v>
      </c>
      <c r="B24" s="64">
        <v>0</v>
      </c>
      <c r="C24" s="51">
        <v>0</v>
      </c>
      <c r="D24" s="64">
        <v>0</v>
      </c>
      <c r="E24" s="53">
        <v>0</v>
      </c>
      <c r="F24" s="58">
        <v>0</v>
      </c>
    </row>
    <row r="25" spans="1:6" ht="12.75">
      <c r="A25" s="43" t="s">
        <v>134</v>
      </c>
      <c r="B25" s="16">
        <f>B23+B24</f>
        <v>0</v>
      </c>
      <c r="C25" s="16">
        <f>C23+C24</f>
        <v>0</v>
      </c>
      <c r="D25" s="16">
        <f>D23+D24</f>
        <v>0</v>
      </c>
      <c r="E25" s="16">
        <f>E23+E24</f>
        <v>0</v>
      </c>
      <c r="F25" s="16">
        <f>F23+F24</f>
        <v>0</v>
      </c>
    </row>
    <row r="26" spans="1:6" ht="12.75">
      <c r="A26" s="96"/>
      <c r="B26" s="64"/>
      <c r="C26" s="51"/>
      <c r="D26" s="64"/>
      <c r="E26" s="64"/>
      <c r="F26" s="53"/>
    </row>
    <row r="27" spans="1:6" ht="12.75">
      <c r="A27" s="62" t="s">
        <v>94</v>
      </c>
      <c r="B27" s="48"/>
      <c r="C27" s="131"/>
      <c r="D27" s="48"/>
      <c r="E27" s="48"/>
      <c r="F27" s="94"/>
    </row>
    <row r="28" spans="1:6" ht="12.75">
      <c r="A28" s="54" t="s">
        <v>58</v>
      </c>
      <c r="B28" s="48">
        <v>0</v>
      </c>
      <c r="C28" s="131">
        <v>0</v>
      </c>
      <c r="D28" s="48">
        <v>0</v>
      </c>
      <c r="E28" s="48">
        <f>1_e_f_sz_melléklet!D40</f>
        <v>3977</v>
      </c>
      <c r="F28" s="56">
        <f>1_e_f_sz_melléklet!D42</f>
        <v>1000</v>
      </c>
    </row>
    <row r="29" spans="1:6" ht="12.75">
      <c r="A29" s="126" t="s">
        <v>59</v>
      </c>
      <c r="B29" s="64">
        <v>0</v>
      </c>
      <c r="C29" s="51">
        <v>0</v>
      </c>
      <c r="D29" s="64">
        <v>0</v>
      </c>
      <c r="E29" s="64">
        <v>0</v>
      </c>
      <c r="F29" s="59">
        <f>1_e_f_sz_melléklet!C49</f>
        <v>400</v>
      </c>
    </row>
    <row r="30" spans="1:6" ht="12.75">
      <c r="A30" s="43" t="s">
        <v>95</v>
      </c>
      <c r="B30" s="16">
        <f>B28+B29</f>
        <v>0</v>
      </c>
      <c r="C30" s="16">
        <f>C28+C29</f>
        <v>0</v>
      </c>
      <c r="D30" s="16">
        <f>D28+D29</f>
        <v>0</v>
      </c>
      <c r="E30" s="16">
        <f>E28+E29</f>
        <v>3977</v>
      </c>
      <c r="F30" s="16">
        <f>F28+F29</f>
        <v>1400</v>
      </c>
    </row>
    <row r="31" spans="1:6" ht="20.25" customHeight="1">
      <c r="A31" s="44" t="s">
        <v>63</v>
      </c>
      <c r="B31" s="48"/>
      <c r="C31" s="48"/>
      <c r="D31" s="48"/>
      <c r="E31" s="131"/>
      <c r="F31" s="48"/>
    </row>
    <row r="32" spans="1:6" ht="12.75">
      <c r="A32" s="57" t="s">
        <v>96</v>
      </c>
      <c r="B32" s="64">
        <v>0</v>
      </c>
      <c r="C32" s="64">
        <v>0</v>
      </c>
      <c r="D32" s="64">
        <v>0</v>
      </c>
      <c r="E32" s="51">
        <v>0</v>
      </c>
      <c r="F32" s="39">
        <v>0</v>
      </c>
    </row>
    <row r="33" spans="1:6" ht="12.75">
      <c r="A33" s="8" t="s">
        <v>135</v>
      </c>
      <c r="B33" s="39">
        <v>0</v>
      </c>
      <c r="C33" s="39">
        <v>0</v>
      </c>
      <c r="D33" s="39">
        <v>0</v>
      </c>
      <c r="E33" s="55">
        <v>0</v>
      </c>
      <c r="F33" s="58">
        <v>0</v>
      </c>
    </row>
    <row r="34" spans="1:6" ht="12.75">
      <c r="A34" s="43" t="s">
        <v>98</v>
      </c>
      <c r="B34" s="16">
        <f>B33+B32</f>
        <v>0</v>
      </c>
      <c r="C34" s="16">
        <f>C33+C32</f>
        <v>0</v>
      </c>
      <c r="D34" s="16">
        <f>D33+D32</f>
        <v>0</v>
      </c>
      <c r="E34" s="16">
        <f>E33+E32</f>
        <v>0</v>
      </c>
      <c r="F34" s="16">
        <f>F33+F32</f>
        <v>0</v>
      </c>
    </row>
    <row r="35" spans="1:6" ht="19.5" customHeight="1">
      <c r="A35" s="47" t="s">
        <v>67</v>
      </c>
      <c r="B35" s="109"/>
      <c r="C35" s="69"/>
      <c r="D35" s="166"/>
      <c r="E35" s="109"/>
      <c r="F35" s="48"/>
    </row>
    <row r="36" spans="1:6" ht="12.75">
      <c r="A36" s="38" t="s">
        <v>136</v>
      </c>
      <c r="B36" s="131">
        <v>0</v>
      </c>
      <c r="C36" s="48">
        <v>0</v>
      </c>
      <c r="D36" s="49">
        <v>0</v>
      </c>
      <c r="E36" s="131">
        <v>0</v>
      </c>
      <c r="F36" s="39">
        <v>0</v>
      </c>
    </row>
    <row r="37" spans="1:6" ht="12.75">
      <c r="A37" s="38" t="s">
        <v>137</v>
      </c>
      <c r="B37" s="55">
        <v>0</v>
      </c>
      <c r="C37" s="39">
        <v>0</v>
      </c>
      <c r="D37" s="40">
        <v>0</v>
      </c>
      <c r="E37" s="55">
        <v>0</v>
      </c>
      <c r="F37" s="39">
        <v>0</v>
      </c>
    </row>
    <row r="38" spans="1:6" ht="12.75">
      <c r="A38" s="90" t="s">
        <v>70</v>
      </c>
      <c r="B38" s="16">
        <f>B37+B36</f>
        <v>0</v>
      </c>
      <c r="C38" s="16">
        <f>C37+C36</f>
        <v>0</v>
      </c>
      <c r="D38" s="16">
        <f>D37+D36</f>
        <v>0</v>
      </c>
      <c r="E38" s="16">
        <f>E37+E36</f>
        <v>0</v>
      </c>
      <c r="F38" s="16">
        <f>F37+F36</f>
        <v>0</v>
      </c>
    </row>
    <row r="39" spans="1:6" ht="12.75">
      <c r="A39" s="96"/>
      <c r="B39" s="52"/>
      <c r="C39" s="52"/>
      <c r="D39" s="52"/>
      <c r="E39" s="173"/>
      <c r="F39" s="64"/>
    </row>
    <row r="40" spans="1:6" ht="12.75">
      <c r="A40" s="181" t="s">
        <v>138</v>
      </c>
      <c r="B40" s="182"/>
      <c r="C40" s="182"/>
      <c r="D40" s="183"/>
      <c r="E40" s="183"/>
      <c r="F40" s="183"/>
    </row>
    <row r="41" spans="1:6" s="91" customFormat="1" ht="12.75">
      <c r="A41" s="184" t="s">
        <v>99</v>
      </c>
      <c r="B41" s="185">
        <f>B38+B34+B30+B25+B20+B14</f>
        <v>55964</v>
      </c>
      <c r="C41" s="185">
        <f>C38+C34+C30+C25+C20+C14</f>
        <v>32733</v>
      </c>
      <c r="D41" s="185">
        <f>D38+D34+D30+D25+D20+D14</f>
        <v>33465</v>
      </c>
      <c r="E41" s="185">
        <f>E38+E34+E30+E25+E20+E14</f>
        <v>3977</v>
      </c>
      <c r="F41" s="185">
        <f>F38+F34+F30+F25+F20+F14</f>
        <v>10500</v>
      </c>
    </row>
    <row r="42" spans="1:6" ht="12.75">
      <c r="A42" s="186"/>
      <c r="B42" s="187"/>
      <c r="C42" s="187"/>
      <c r="D42" s="69"/>
      <c r="E42" s="110"/>
      <c r="F42" s="110"/>
    </row>
    <row r="43" spans="1:6" ht="12.75">
      <c r="A43" s="188" t="s">
        <v>100</v>
      </c>
      <c r="B43" s="129"/>
      <c r="C43" s="129"/>
      <c r="D43" s="39"/>
      <c r="E43" s="56"/>
      <c r="F43" s="56"/>
    </row>
    <row r="44" spans="1:6" ht="12.75">
      <c r="A44" s="70" t="s">
        <v>73</v>
      </c>
      <c r="B44" s="129">
        <v>0</v>
      </c>
      <c r="C44" s="129">
        <v>0</v>
      </c>
      <c r="D44" s="39">
        <v>0</v>
      </c>
      <c r="E44" s="56">
        <v>0</v>
      </c>
      <c r="F44" s="56">
        <v>0</v>
      </c>
    </row>
    <row r="45" spans="1:6" ht="12.75">
      <c r="A45" s="113" t="s">
        <v>101</v>
      </c>
      <c r="B45" s="189">
        <f>'12_sz_ melléklet'!F11</f>
        <v>1875</v>
      </c>
      <c r="C45" s="189"/>
      <c r="D45" s="58">
        <v>0</v>
      </c>
      <c r="E45" s="59">
        <v>0</v>
      </c>
      <c r="F45" s="59">
        <v>0</v>
      </c>
    </row>
    <row r="46" spans="1:6" s="91" customFormat="1" ht="12.75">
      <c r="A46" s="90" t="s">
        <v>75</v>
      </c>
      <c r="B46" s="106">
        <f>SUM(B44:B45)</f>
        <v>1875</v>
      </c>
      <c r="C46" s="106">
        <f>SUM(C44:C45)</f>
        <v>0</v>
      </c>
      <c r="D46" s="106">
        <v>0</v>
      </c>
      <c r="E46" s="106">
        <f>SUM(E44:E45)</f>
        <v>0</v>
      </c>
      <c r="F46" s="74">
        <f>SUM(F44:F45)</f>
        <v>0</v>
      </c>
    </row>
    <row r="47" spans="1:6" ht="12.75">
      <c r="A47" s="90"/>
      <c r="B47" s="78"/>
      <c r="C47" s="78"/>
      <c r="D47" s="78"/>
      <c r="E47" s="157"/>
      <c r="F47" s="190"/>
    </row>
    <row r="48" spans="1:6" s="91" customFormat="1" ht="27" customHeight="1">
      <c r="A48" s="132" t="s">
        <v>139</v>
      </c>
      <c r="B48" s="74">
        <f>B41+B46</f>
        <v>57839</v>
      </c>
      <c r="C48" s="74">
        <f>C41+C46</f>
        <v>32733</v>
      </c>
      <c r="D48" s="74">
        <f>D41+D46</f>
        <v>33465</v>
      </c>
      <c r="E48" s="74">
        <f>E41+E46</f>
        <v>3977</v>
      </c>
      <c r="F48" s="74">
        <f>F41+F46</f>
        <v>10500</v>
      </c>
    </row>
    <row r="50" ht="12" customHeight="1"/>
    <row r="51" spans="1:6" ht="12.75">
      <c r="A51" s="1020">
        <v>2</v>
      </c>
      <c r="B51" s="1020"/>
      <c r="C51" s="1020"/>
      <c r="D51" s="1020"/>
      <c r="E51" s="1020"/>
      <c r="F51" s="1020"/>
    </row>
    <row r="52" spans="1:5" ht="14.25">
      <c r="A52" s="1015" t="s">
        <v>122</v>
      </c>
      <c r="B52" s="1015"/>
      <c r="C52" s="1015"/>
      <c r="D52" s="1015"/>
      <c r="E52" s="1015"/>
    </row>
    <row r="53" spans="1:6" ht="15.75">
      <c r="A53" s="1014" t="s">
        <v>123</v>
      </c>
      <c r="B53" s="1014"/>
      <c r="C53" s="1014"/>
      <c r="D53" s="1014"/>
      <c r="E53" s="1014"/>
      <c r="F53" s="1014"/>
    </row>
    <row r="54" spans="1:6" ht="15.75">
      <c r="A54" s="1014" t="s">
        <v>124</v>
      </c>
      <c r="B54" s="1014"/>
      <c r="C54" s="1014"/>
      <c r="D54" s="1014"/>
      <c r="E54" s="1014"/>
      <c r="F54" s="1014"/>
    </row>
    <row r="55" ht="12.75">
      <c r="E55" s="31" t="s">
        <v>80</v>
      </c>
    </row>
    <row r="56" spans="1:6" ht="30" customHeight="1">
      <c r="A56" s="32" t="s">
        <v>125</v>
      </c>
      <c r="B56" s="191" t="s">
        <v>140</v>
      </c>
      <c r="C56" s="175" t="s">
        <v>141</v>
      </c>
      <c r="D56" s="176" t="s">
        <v>142</v>
      </c>
      <c r="E56" s="192" t="s">
        <v>143</v>
      </c>
      <c r="F56" s="192" t="s">
        <v>144</v>
      </c>
    </row>
    <row r="57" spans="1:6" ht="12.75">
      <c r="A57" s="44" t="s">
        <v>42</v>
      </c>
      <c r="B57" s="69"/>
      <c r="C57" s="69"/>
      <c r="D57" s="69"/>
      <c r="E57" s="166"/>
      <c r="F57" s="69"/>
    </row>
    <row r="58" spans="1:6" ht="12.75">
      <c r="A58" s="121" t="s">
        <v>43</v>
      </c>
      <c r="B58" s="48">
        <f>39508+386</f>
        <v>39894</v>
      </c>
      <c r="C58" s="39">
        <f>238055+2075+618+11063</f>
        <v>251811</v>
      </c>
      <c r="D58" s="48">
        <v>15</v>
      </c>
      <c r="E58" s="49">
        <f>1618+30</f>
        <v>1648</v>
      </c>
      <c r="F58" s="39"/>
    </row>
    <row r="59" spans="1:6" ht="12.75">
      <c r="A59" s="19" t="s">
        <v>44</v>
      </c>
      <c r="B59" s="48">
        <f>12279+124</f>
        <v>12403</v>
      </c>
      <c r="C59" s="39">
        <f>73875+664+2752</f>
        <v>77291</v>
      </c>
      <c r="D59" s="48">
        <v>5</v>
      </c>
      <c r="E59" s="49">
        <f>533+10</f>
        <v>543</v>
      </c>
      <c r="F59" s="39"/>
    </row>
    <row r="60" spans="1:6" ht="12.75">
      <c r="A60" s="19" t="s">
        <v>45</v>
      </c>
      <c r="B60" s="48">
        <v>3068</v>
      </c>
      <c r="C60" s="193">
        <f>210564-1+18890</f>
        <v>229453</v>
      </c>
      <c r="D60" s="48">
        <f>1296+1</f>
        <v>1297</v>
      </c>
      <c r="E60" s="49">
        <v>3800</v>
      </c>
      <c r="F60" s="39">
        <v>4220</v>
      </c>
    </row>
    <row r="61" spans="1:6" ht="12.75">
      <c r="A61" s="19" t="s">
        <v>145</v>
      </c>
      <c r="B61" s="48">
        <v>-269</v>
      </c>
      <c r="C61" s="39">
        <v>-106000</v>
      </c>
      <c r="D61" s="48"/>
      <c r="E61" s="49"/>
      <c r="F61" s="39">
        <v>-4220</v>
      </c>
    </row>
    <row r="62" spans="1:6" ht="12.75">
      <c r="A62" s="19" t="s">
        <v>47</v>
      </c>
      <c r="B62" s="48">
        <v>0</v>
      </c>
      <c r="C62" s="39">
        <v>0</v>
      </c>
      <c r="D62" s="48">
        <v>0</v>
      </c>
      <c r="E62" s="49">
        <v>0</v>
      </c>
      <c r="F62" s="39">
        <v>0</v>
      </c>
    </row>
    <row r="63" spans="1:6" ht="12.75">
      <c r="A63" s="8" t="s">
        <v>48</v>
      </c>
      <c r="B63" s="48">
        <v>0</v>
      </c>
      <c r="C63" s="39">
        <v>0</v>
      </c>
      <c r="D63" s="48">
        <v>0</v>
      </c>
      <c r="E63" s="49">
        <v>0</v>
      </c>
      <c r="F63" s="39">
        <v>0</v>
      </c>
    </row>
    <row r="64" spans="1:6" ht="12.75">
      <c r="A64" s="122" t="s">
        <v>146</v>
      </c>
      <c r="B64" s="39">
        <f>B63</f>
        <v>0</v>
      </c>
      <c r="C64" s="39">
        <f>C63</f>
        <v>0</v>
      </c>
      <c r="D64" s="39">
        <f>D63</f>
        <v>0</v>
      </c>
      <c r="E64" s="39">
        <f>E63</f>
        <v>0</v>
      </c>
      <c r="F64" s="39">
        <f>F63</f>
        <v>0</v>
      </c>
    </row>
    <row r="65" spans="1:6" s="91" customFormat="1" ht="12.75">
      <c r="A65" s="43" t="s">
        <v>133</v>
      </c>
      <c r="B65" s="16">
        <f>SUM(B58:B63)</f>
        <v>55096</v>
      </c>
      <c r="C65" s="16">
        <f>SUM(C58:C63)</f>
        <v>452555</v>
      </c>
      <c r="D65" s="16">
        <f>SUM(D58:D63)</f>
        <v>1317</v>
      </c>
      <c r="E65" s="16">
        <f>SUM(E58:E63)</f>
        <v>5991</v>
      </c>
      <c r="F65" s="16">
        <f>SUM(F58:F63)</f>
        <v>0</v>
      </c>
    </row>
    <row r="66" spans="1:6" ht="12.75">
      <c r="A66" s="93"/>
      <c r="B66" s="69"/>
      <c r="C66" s="110"/>
      <c r="D66" s="69"/>
      <c r="E66" s="166"/>
      <c r="F66" s="48"/>
    </row>
    <row r="67" spans="1:6" ht="12.75">
      <c r="A67" s="47" t="s">
        <v>51</v>
      </c>
      <c r="B67" s="48"/>
      <c r="C67" s="94"/>
      <c r="D67" s="48"/>
      <c r="E67" s="131"/>
      <c r="F67" s="39"/>
    </row>
    <row r="68" spans="1:6" ht="12.75">
      <c r="A68" s="19" t="s">
        <v>52</v>
      </c>
      <c r="B68" s="48">
        <v>0</v>
      </c>
      <c r="C68" s="56">
        <v>0</v>
      </c>
      <c r="D68" s="48">
        <v>0</v>
      </c>
      <c r="E68" s="131">
        <v>0</v>
      </c>
      <c r="F68" s="39">
        <v>0</v>
      </c>
    </row>
    <row r="69" spans="1:6" ht="12.75">
      <c r="A69" s="19" t="s">
        <v>53</v>
      </c>
      <c r="B69" s="48">
        <v>0</v>
      </c>
      <c r="C69" s="56">
        <v>0</v>
      </c>
      <c r="D69" s="48">
        <v>0</v>
      </c>
      <c r="E69" s="131">
        <v>0</v>
      </c>
      <c r="F69" s="39">
        <v>0</v>
      </c>
    </row>
    <row r="70" spans="1:6" ht="12.75">
      <c r="A70" s="19" t="s">
        <v>54</v>
      </c>
      <c r="B70" s="48">
        <v>0</v>
      </c>
      <c r="C70" s="56">
        <v>0</v>
      </c>
      <c r="D70" s="48">
        <v>0</v>
      </c>
      <c r="E70" s="131">
        <v>0</v>
      </c>
      <c r="F70" s="39">
        <v>0</v>
      </c>
    </row>
    <row r="71" spans="1:6" ht="12.75">
      <c r="A71" s="179" t="s">
        <v>111</v>
      </c>
      <c r="B71" s="63">
        <f>-B61</f>
        <v>269</v>
      </c>
      <c r="C71" s="63">
        <f>-C61</f>
        <v>106000</v>
      </c>
      <c r="D71" s="63">
        <f>-D61</f>
        <v>0</v>
      </c>
      <c r="E71" s="63">
        <f>-E61</f>
        <v>0</v>
      </c>
      <c r="F71" s="63">
        <f>-F61</f>
        <v>4220</v>
      </c>
    </row>
    <row r="72" spans="1:6" ht="12.75">
      <c r="A72" s="194"/>
      <c r="B72" s="64"/>
      <c r="C72" s="53"/>
      <c r="D72" s="64"/>
      <c r="E72" s="51"/>
      <c r="F72" s="64"/>
    </row>
    <row r="73" spans="1:6" s="91" customFormat="1" ht="12.75">
      <c r="A73" s="43" t="s">
        <v>91</v>
      </c>
      <c r="B73" s="16">
        <f>SUM(B68:B71)</f>
        <v>269</v>
      </c>
      <c r="C73" s="16">
        <f>SUM(C68:C71)</f>
        <v>106000</v>
      </c>
      <c r="D73" s="16">
        <f>SUM(D68:D71)</f>
        <v>0</v>
      </c>
      <c r="E73" s="16">
        <f>SUM(E68:E71)</f>
        <v>0</v>
      </c>
      <c r="F73" s="16">
        <f>SUM(F68:F71)</f>
        <v>4220</v>
      </c>
    </row>
    <row r="74" spans="1:6" ht="8.25" customHeight="1">
      <c r="A74" s="96"/>
      <c r="B74" s="64"/>
      <c r="C74" s="51"/>
      <c r="D74" s="64"/>
      <c r="E74" s="53"/>
      <c r="F74" s="64"/>
    </row>
    <row r="75" spans="1:6" ht="12.75">
      <c r="A75" s="96" t="s">
        <v>57</v>
      </c>
      <c r="B75" s="64"/>
      <c r="C75" s="51"/>
      <c r="D75" s="64"/>
      <c r="E75" s="53"/>
      <c r="F75" s="64"/>
    </row>
    <row r="76" spans="1:6" ht="12.75">
      <c r="A76" s="180" t="s">
        <v>58</v>
      </c>
      <c r="B76" s="39">
        <v>0</v>
      </c>
      <c r="C76" s="55">
        <v>0</v>
      </c>
      <c r="D76" s="39">
        <v>0</v>
      </c>
      <c r="E76" s="56">
        <v>0</v>
      </c>
      <c r="F76" s="39">
        <f>1_e_f_sz_melléklet!C10+1_e_f_sz_melléklet!B11+1_e_f_sz_melléklet!B12</f>
        <v>4308</v>
      </c>
    </row>
    <row r="77" spans="1:6" ht="12.75">
      <c r="A77" s="125" t="s">
        <v>59</v>
      </c>
      <c r="B77" s="64">
        <v>0</v>
      </c>
      <c r="C77" s="51">
        <v>0</v>
      </c>
      <c r="D77" s="64">
        <v>0</v>
      </c>
      <c r="E77" s="53">
        <v>0</v>
      </c>
      <c r="F77" s="58">
        <v>0</v>
      </c>
    </row>
    <row r="78" spans="1:6" s="91" customFormat="1" ht="12.75">
      <c r="A78" s="43" t="s">
        <v>134</v>
      </c>
      <c r="B78" s="16">
        <f>B76+B77</f>
        <v>0</v>
      </c>
      <c r="C78" s="16">
        <f>C76+C77</f>
        <v>0</v>
      </c>
      <c r="D78" s="16">
        <f>D76+D77</f>
        <v>0</v>
      </c>
      <c r="E78" s="16">
        <f>E76+E77</f>
        <v>0</v>
      </c>
      <c r="F78" s="16">
        <f>F76+F77</f>
        <v>4308</v>
      </c>
    </row>
    <row r="79" spans="1:6" ht="12.75">
      <c r="A79" s="96"/>
      <c r="B79" s="64"/>
      <c r="C79" s="51"/>
      <c r="D79" s="64"/>
      <c r="E79" s="64"/>
      <c r="F79" s="53"/>
    </row>
    <row r="80" spans="1:6" ht="12.75">
      <c r="A80" s="62" t="s">
        <v>94</v>
      </c>
      <c r="B80" s="48"/>
      <c r="C80" s="131"/>
      <c r="D80" s="48"/>
      <c r="E80" s="48"/>
      <c r="F80" s="94"/>
    </row>
    <row r="81" spans="1:6" ht="12.75">
      <c r="A81" s="54" t="s">
        <v>58</v>
      </c>
      <c r="B81" s="48">
        <v>0</v>
      </c>
      <c r="C81" s="131">
        <v>0</v>
      </c>
      <c r="D81" s="48">
        <f>1_e_f_sz_melléklet!C38</f>
        <v>416</v>
      </c>
      <c r="E81" s="48">
        <v>0</v>
      </c>
      <c r="F81" s="56">
        <f>1_e_f_sz_melléklet!C26+1_e_f_sz_melléklet!C27+1_e_f_sz_melléklet!C28+1_e_f_sz_melléklet!C29+1_e_f_sz_melléklet!C30+1_e_f_sz_melléklet!C31+1_e_f_sz_melléklet!C32+1_e_f_sz_melléklet!C33+1_e_f_sz_melléklet!C35+1_e_f_sz_melléklet!C36+1_e_f_sz_melléklet!C37+1_e_f_sz_melléklet!D41</f>
        <v>163075</v>
      </c>
    </row>
    <row r="82" spans="1:6" ht="12.75">
      <c r="A82" s="126" t="s">
        <v>59</v>
      </c>
      <c r="B82" s="64">
        <v>0</v>
      </c>
      <c r="C82" s="51">
        <v>0</v>
      </c>
      <c r="D82" s="64">
        <v>0</v>
      </c>
      <c r="E82" s="64">
        <v>0</v>
      </c>
      <c r="F82" s="59">
        <f>1_e_f_sz_melléklet!C46+1_e_f_sz_melléklet!C47+1_e_f_sz_melléklet!C48</f>
        <v>21000</v>
      </c>
    </row>
    <row r="83" spans="1:6" s="91" customFormat="1" ht="12.75">
      <c r="A83" s="43" t="s">
        <v>95</v>
      </c>
      <c r="B83" s="16">
        <f>B81+B82</f>
        <v>0</v>
      </c>
      <c r="C83" s="16">
        <f>C81+C82</f>
        <v>0</v>
      </c>
      <c r="D83" s="16">
        <f>D81+D82</f>
        <v>416</v>
      </c>
      <c r="E83" s="16">
        <f>E81+E82</f>
        <v>0</v>
      </c>
      <c r="F83" s="16">
        <f>F81+F82</f>
        <v>184075</v>
      </c>
    </row>
    <row r="84" spans="1:6" ht="18" customHeight="1">
      <c r="A84" s="44" t="s">
        <v>63</v>
      </c>
      <c r="B84" s="48"/>
      <c r="C84" s="48"/>
      <c r="D84" s="48"/>
      <c r="E84" s="131"/>
      <c r="F84" s="48"/>
    </row>
    <row r="85" spans="1:6" ht="12.75">
      <c r="A85" s="57" t="s">
        <v>96</v>
      </c>
      <c r="B85" s="64">
        <v>0</v>
      </c>
      <c r="C85" s="64">
        <v>0</v>
      </c>
      <c r="D85" s="64">
        <v>0</v>
      </c>
      <c r="E85" s="51">
        <v>0</v>
      </c>
      <c r="F85" s="39">
        <f>1_g_h_sz_melléklet!B10</f>
        <v>1000</v>
      </c>
    </row>
    <row r="86" spans="1:6" ht="12.75">
      <c r="A86" s="8" t="s">
        <v>135</v>
      </c>
      <c r="B86" s="39">
        <v>0</v>
      </c>
      <c r="C86" s="39">
        <v>0</v>
      </c>
      <c r="D86" s="39">
        <v>0</v>
      </c>
      <c r="E86" s="55">
        <v>0</v>
      </c>
      <c r="F86" s="58">
        <f>1_g_h_sz_melléklet!B15</f>
        <v>5000</v>
      </c>
    </row>
    <row r="87" spans="1:6" s="91" customFormat="1" ht="12.75">
      <c r="A87" s="43" t="s">
        <v>98</v>
      </c>
      <c r="B87" s="16">
        <f>B85+B86</f>
        <v>0</v>
      </c>
      <c r="C87" s="16">
        <f>C85+C86</f>
        <v>0</v>
      </c>
      <c r="D87" s="16">
        <f>D85+D86</f>
        <v>0</v>
      </c>
      <c r="E87" s="16">
        <f>E85+E86</f>
        <v>0</v>
      </c>
      <c r="F87" s="16">
        <f>F85+F86</f>
        <v>6000</v>
      </c>
    </row>
    <row r="88" spans="1:6" ht="17.25" customHeight="1">
      <c r="A88" s="47" t="s">
        <v>67</v>
      </c>
      <c r="B88" s="109"/>
      <c r="C88" s="69"/>
      <c r="D88" s="166"/>
      <c r="E88" s="109"/>
      <c r="F88" s="48"/>
    </row>
    <row r="89" spans="1:6" ht="12.75">
      <c r="A89" s="38" t="s">
        <v>136</v>
      </c>
      <c r="B89" s="131"/>
      <c r="C89" s="48"/>
      <c r="D89" s="49"/>
      <c r="E89" s="131"/>
      <c r="F89" s="39">
        <v>0</v>
      </c>
    </row>
    <row r="90" spans="1:6" ht="12.75">
      <c r="A90" s="38" t="s">
        <v>137</v>
      </c>
      <c r="B90" s="55"/>
      <c r="C90" s="39"/>
      <c r="D90" s="40"/>
      <c r="E90" s="55"/>
      <c r="F90" s="39">
        <v>0</v>
      </c>
    </row>
    <row r="91" spans="1:6" s="91" customFormat="1" ht="12.75">
      <c r="A91" s="90" t="s">
        <v>70</v>
      </c>
      <c r="B91" s="16">
        <f>B89+B90</f>
        <v>0</v>
      </c>
      <c r="C91" s="16">
        <f>C89+C90</f>
        <v>0</v>
      </c>
      <c r="D91" s="16">
        <f>D89+D90</f>
        <v>0</v>
      </c>
      <c r="E91" s="16">
        <f>E89+E90</f>
        <v>0</v>
      </c>
      <c r="F91" s="16">
        <f>F89+F90</f>
        <v>0</v>
      </c>
    </row>
    <row r="92" spans="1:6" ht="12.75">
      <c r="A92" s="96"/>
      <c r="B92" s="52"/>
      <c r="C92" s="52"/>
      <c r="D92" s="52"/>
      <c r="E92" s="173"/>
      <c r="F92" s="64"/>
    </row>
    <row r="93" spans="1:6" ht="12.75">
      <c r="A93" s="181" t="s">
        <v>138</v>
      </c>
      <c r="B93" s="182"/>
      <c r="C93" s="182"/>
      <c r="D93" s="52"/>
      <c r="E93" s="173"/>
      <c r="F93" s="52"/>
    </row>
    <row r="94" spans="1:6" s="91" customFormat="1" ht="12.75">
      <c r="A94" s="184" t="s">
        <v>99</v>
      </c>
      <c r="B94" s="185">
        <f>B91+B87+B83+B78+B73+B65</f>
        <v>55365</v>
      </c>
      <c r="C94" s="185">
        <f>C91+C87+C83+C78+C73+C65</f>
        <v>558555</v>
      </c>
      <c r="D94" s="185">
        <f>D91+D87+D83+D78+D73+D65</f>
        <v>1733</v>
      </c>
      <c r="E94" s="185">
        <f>E91+E87+E83+E78+E73+E65</f>
        <v>5991</v>
      </c>
      <c r="F94" s="185">
        <f>F91+F87+F83+F78+F73+F65</f>
        <v>198603</v>
      </c>
    </row>
    <row r="95" spans="1:6" ht="12.75">
      <c r="A95" s="195"/>
      <c r="B95" s="187"/>
      <c r="C95" s="196"/>
      <c r="D95" s="166"/>
      <c r="E95" s="69"/>
      <c r="F95" s="110"/>
    </row>
    <row r="96" spans="1:6" ht="12.75">
      <c r="A96" s="188" t="s">
        <v>100</v>
      </c>
      <c r="B96" s="129"/>
      <c r="C96" s="130"/>
      <c r="D96" s="40"/>
      <c r="E96" s="39"/>
      <c r="F96" s="56"/>
    </row>
    <row r="97" spans="1:6" ht="12.75">
      <c r="A97" s="70" t="s">
        <v>73</v>
      </c>
      <c r="B97" s="129">
        <v>0</v>
      </c>
      <c r="C97" s="130"/>
      <c r="D97" s="40">
        <v>0</v>
      </c>
      <c r="E97" s="39">
        <v>0</v>
      </c>
      <c r="F97" s="56">
        <v>0</v>
      </c>
    </row>
    <row r="98" spans="1:6" ht="12.75">
      <c r="A98" s="113" t="s">
        <v>101</v>
      </c>
      <c r="B98" s="189">
        <f>'12_sz_ melléklet'!G11</f>
        <v>217</v>
      </c>
      <c r="C98" s="197">
        <v>0</v>
      </c>
      <c r="D98" s="42">
        <v>0</v>
      </c>
      <c r="E98" s="58">
        <v>0</v>
      </c>
      <c r="F98" s="59">
        <f>'12_sz_ melléklet'!E11</f>
        <v>2940</v>
      </c>
    </row>
    <row r="99" spans="1:6" s="91" customFormat="1" ht="12.75">
      <c r="A99" s="90" t="s">
        <v>112</v>
      </c>
      <c r="B99" s="60">
        <f>B97+B98</f>
        <v>217</v>
      </c>
      <c r="C99" s="60">
        <f>C97+C98</f>
        <v>0</v>
      </c>
      <c r="D99" s="60">
        <f>D97+D98</f>
        <v>0</v>
      </c>
      <c r="E99" s="60">
        <f>E97+E98</f>
        <v>0</v>
      </c>
      <c r="F99" s="16">
        <f>F97+F98</f>
        <v>2940</v>
      </c>
    </row>
    <row r="100" spans="1:6" ht="12.75">
      <c r="A100" s="194"/>
      <c r="B100" s="64"/>
      <c r="C100" s="39"/>
      <c r="D100" s="67"/>
      <c r="E100" s="104"/>
      <c r="F100" s="64"/>
    </row>
    <row r="101" spans="1:6" s="91" customFormat="1" ht="13.5" thickBot="1">
      <c r="A101" s="132" t="s">
        <v>139</v>
      </c>
      <c r="B101" s="74">
        <f>B99+B94</f>
        <v>55582</v>
      </c>
      <c r="C101" s="74">
        <f>C99+C94</f>
        <v>558555</v>
      </c>
      <c r="D101" s="74">
        <f>D99+D94</f>
        <v>1733</v>
      </c>
      <c r="E101" s="74">
        <f>E99+E94</f>
        <v>5991</v>
      </c>
      <c r="F101" s="74">
        <f>F99+F94</f>
        <v>201543</v>
      </c>
    </row>
    <row r="102" spans="1:6" s="91" customFormat="1" ht="12.75">
      <c r="A102" s="198"/>
      <c r="B102" s="199"/>
      <c r="C102" s="199"/>
      <c r="D102" s="199"/>
      <c r="E102" s="199"/>
      <c r="F102" s="199"/>
    </row>
    <row r="103" spans="1:6" s="91" customFormat="1" ht="12.75">
      <c r="A103" s="198"/>
      <c r="B103" s="199"/>
      <c r="C103" s="199"/>
      <c r="D103" s="199"/>
      <c r="E103" s="199"/>
      <c r="F103" s="199"/>
    </row>
    <row r="104" spans="1:6" ht="12.75">
      <c r="A104" s="1020">
        <v>3</v>
      </c>
      <c r="B104" s="1020"/>
      <c r="C104" s="1020"/>
      <c r="D104" s="1020"/>
      <c r="E104" s="1020"/>
      <c r="F104" s="1020"/>
    </row>
    <row r="106" spans="1:5" ht="14.25">
      <c r="A106" s="1015" t="s">
        <v>147</v>
      </c>
      <c r="B106" s="1015"/>
      <c r="C106" s="1015"/>
      <c r="D106" s="1015"/>
      <c r="E106" s="1015"/>
    </row>
    <row r="107" spans="1:6" ht="15.75">
      <c r="A107" s="1014" t="s">
        <v>123</v>
      </c>
      <c r="B107" s="1014"/>
      <c r="C107" s="1014"/>
      <c r="D107" s="1014"/>
      <c r="E107" s="1014"/>
      <c r="F107" s="1014"/>
    </row>
    <row r="108" spans="1:6" ht="15.75">
      <c r="A108" s="1014" t="s">
        <v>124</v>
      </c>
      <c r="B108" s="1014"/>
      <c r="C108" s="1014"/>
      <c r="D108" s="1014"/>
      <c r="E108" s="1014"/>
      <c r="F108" s="1014"/>
    </row>
    <row r="109" ht="12.75">
      <c r="E109" s="31" t="s">
        <v>80</v>
      </c>
    </row>
    <row r="110" spans="1:6" ht="30" customHeight="1">
      <c r="A110" s="32" t="s">
        <v>125</v>
      </c>
      <c r="B110" s="174" t="s">
        <v>148</v>
      </c>
      <c r="C110" s="200" t="s">
        <v>149</v>
      </c>
      <c r="D110" s="176" t="s">
        <v>150</v>
      </c>
      <c r="E110" s="176" t="s">
        <v>151</v>
      </c>
      <c r="F110" s="176" t="s">
        <v>152</v>
      </c>
    </row>
    <row r="111" spans="1:6" ht="12.75">
      <c r="A111" s="44" t="s">
        <v>42</v>
      </c>
      <c r="B111" s="69"/>
      <c r="C111" s="69"/>
      <c r="D111" s="69"/>
      <c r="E111" s="166"/>
      <c r="F111" s="69"/>
    </row>
    <row r="112" spans="1:6" ht="12.75">
      <c r="A112" s="121" t="s">
        <v>43</v>
      </c>
      <c r="B112" s="48">
        <f>101274+51-101-2788-839</f>
        <v>97597</v>
      </c>
      <c r="C112" s="39"/>
      <c r="D112" s="48"/>
      <c r="E112" s="49">
        <f>7655+67-3828</f>
        <v>3894</v>
      </c>
      <c r="F112" s="39"/>
    </row>
    <row r="113" spans="1:6" ht="12.75">
      <c r="A113" s="19" t="s">
        <v>44</v>
      </c>
      <c r="B113" s="48">
        <f>36098+16-17-594-185</f>
        <v>35318</v>
      </c>
      <c r="C113" s="39"/>
      <c r="D113" s="48"/>
      <c r="E113" s="49">
        <f>1052+21</f>
        <v>1073</v>
      </c>
      <c r="F113" s="39"/>
    </row>
    <row r="114" spans="1:6" ht="12.75">
      <c r="A114" s="19" t="s">
        <v>45</v>
      </c>
      <c r="B114" s="48">
        <f>77970+2500</f>
        <v>80470</v>
      </c>
      <c r="C114" s="39">
        <v>1320</v>
      </c>
      <c r="D114" s="48">
        <v>41400</v>
      </c>
      <c r="E114" s="49">
        <v>20546</v>
      </c>
      <c r="F114" s="39">
        <v>936</v>
      </c>
    </row>
    <row r="115" spans="1:6" ht="12.75">
      <c r="A115" s="19" t="s">
        <v>153</v>
      </c>
      <c r="B115" s="48"/>
      <c r="C115" s="39"/>
      <c r="D115" s="48"/>
      <c r="E115" s="49"/>
      <c r="F115" s="39"/>
    </row>
    <row r="116" spans="1:6" ht="12.75">
      <c r="A116" s="19" t="s">
        <v>47</v>
      </c>
      <c r="B116" s="48">
        <v>0</v>
      </c>
      <c r="C116" s="39">
        <v>0</v>
      </c>
      <c r="D116" s="48">
        <v>0</v>
      </c>
      <c r="E116" s="49">
        <v>0</v>
      </c>
      <c r="F116" s="39">
        <v>0</v>
      </c>
    </row>
    <row r="117" spans="1:6" ht="12.75">
      <c r="A117" s="8" t="s">
        <v>48</v>
      </c>
      <c r="B117" s="48">
        <v>0</v>
      </c>
      <c r="C117" s="39">
        <v>0</v>
      </c>
      <c r="D117" s="48">
        <v>0</v>
      </c>
      <c r="E117" s="49">
        <v>0</v>
      </c>
      <c r="F117" s="39">
        <v>0</v>
      </c>
    </row>
    <row r="118" spans="1:6" ht="12.75">
      <c r="A118" s="122" t="s">
        <v>154</v>
      </c>
      <c r="B118" s="39">
        <f>B117</f>
        <v>0</v>
      </c>
      <c r="C118" s="39">
        <f>C117</f>
        <v>0</v>
      </c>
      <c r="D118" s="39">
        <f>D117</f>
        <v>0</v>
      </c>
      <c r="E118" s="39">
        <f>E117</f>
        <v>0</v>
      </c>
      <c r="F118" s="39">
        <f>F117</f>
        <v>0</v>
      </c>
    </row>
    <row r="119" spans="1:6" s="91" customFormat="1" ht="12.75">
      <c r="A119" s="43" t="s">
        <v>133</v>
      </c>
      <c r="B119" s="16">
        <f>SUM(B112:B117)</f>
        <v>213385</v>
      </c>
      <c r="C119" s="16">
        <f>SUM(C112:C117)</f>
        <v>1320</v>
      </c>
      <c r="D119" s="16">
        <f>SUM(D112:D117)</f>
        <v>41400</v>
      </c>
      <c r="E119" s="16">
        <f>SUM(E112:E117)</f>
        <v>25513</v>
      </c>
      <c r="F119" s="16">
        <f>SUM(F112:F117)</f>
        <v>936</v>
      </c>
    </row>
    <row r="120" spans="1:6" ht="12.75">
      <c r="A120" s="93"/>
      <c r="B120" s="52"/>
      <c r="C120" s="110"/>
      <c r="D120" s="69"/>
      <c r="E120" s="166"/>
      <c r="F120" s="48"/>
    </row>
    <row r="121" spans="1:6" ht="12.75">
      <c r="A121" s="47" t="s">
        <v>51</v>
      </c>
      <c r="B121" s="39"/>
      <c r="C121" s="94"/>
      <c r="D121" s="48"/>
      <c r="E121" s="131"/>
      <c r="F121" s="39"/>
    </row>
    <row r="122" spans="1:6" ht="12.75">
      <c r="A122" s="19" t="s">
        <v>52</v>
      </c>
      <c r="B122" s="48">
        <f>'4_sz_ melléklet'!B54</f>
        <v>88752</v>
      </c>
      <c r="C122" s="56">
        <v>0</v>
      </c>
      <c r="D122" s="48">
        <f>'4_sz_ melléklet'!B61</f>
        <v>3500</v>
      </c>
      <c r="E122" s="131">
        <v>0</v>
      </c>
      <c r="F122" s="39">
        <v>0</v>
      </c>
    </row>
    <row r="123" spans="1:6" ht="12.75">
      <c r="A123" s="19" t="s">
        <v>53</v>
      </c>
      <c r="B123" s="48">
        <f>'3_sz_ melléklet'!B38</f>
        <v>1500</v>
      </c>
      <c r="C123" s="56">
        <f>'3_sz_ melléklet'!B41</f>
        <v>15000</v>
      </c>
      <c r="D123" s="48">
        <v>0</v>
      </c>
      <c r="E123" s="131">
        <v>0</v>
      </c>
      <c r="F123" s="39">
        <v>0</v>
      </c>
    </row>
    <row r="124" spans="1:6" ht="12.75">
      <c r="A124" s="19" t="s">
        <v>54</v>
      </c>
      <c r="B124" s="48">
        <f>1_g_h_sz_melléklet!B39</f>
        <v>1500</v>
      </c>
      <c r="C124" s="56">
        <v>0</v>
      </c>
      <c r="D124" s="48">
        <v>0</v>
      </c>
      <c r="E124" s="131">
        <v>0</v>
      </c>
      <c r="F124" s="39">
        <v>0</v>
      </c>
    </row>
    <row r="125" spans="1:6" ht="12.75">
      <c r="A125" s="179" t="s">
        <v>111</v>
      </c>
      <c r="B125" s="48">
        <f>-B115</f>
        <v>0</v>
      </c>
      <c r="C125" s="48">
        <f>-C115</f>
        <v>0</v>
      </c>
      <c r="D125" s="48">
        <f>-D115</f>
        <v>0</v>
      </c>
      <c r="E125" s="48">
        <f>-E115</f>
        <v>0</v>
      </c>
      <c r="F125" s="48">
        <f>-F115</f>
        <v>0</v>
      </c>
    </row>
    <row r="126" spans="1:6" ht="12.75">
      <c r="A126" s="194"/>
      <c r="B126" s="64"/>
      <c r="C126" s="53"/>
      <c r="D126" s="64"/>
      <c r="E126" s="51"/>
      <c r="F126" s="58"/>
    </row>
    <row r="127" spans="1:6" s="91" customFormat="1" ht="12.75">
      <c r="A127" s="43" t="s">
        <v>91</v>
      </c>
      <c r="B127" s="16">
        <f>B122+B123+B124+B125+B126</f>
        <v>91752</v>
      </c>
      <c r="C127" s="201">
        <f>C122+C123+C124+C125+C126</f>
        <v>15000</v>
      </c>
      <c r="D127" s="201">
        <f>D122+D123+D124+D125+D126</f>
        <v>3500</v>
      </c>
      <c r="E127" s="201">
        <f>E122+E123+E124+E125+E126</f>
        <v>0</v>
      </c>
      <c r="F127" s="201">
        <f>F122+F123+F124+F125+F126</f>
        <v>0</v>
      </c>
    </row>
    <row r="128" spans="1:6" ht="12.75">
      <c r="A128" s="96"/>
      <c r="B128" s="51"/>
      <c r="C128" s="52"/>
      <c r="D128" s="173"/>
      <c r="E128" s="52"/>
      <c r="F128" s="92"/>
    </row>
    <row r="129" spans="1:6" ht="12.75">
      <c r="A129" s="96" t="s">
        <v>57</v>
      </c>
      <c r="B129" s="51"/>
      <c r="C129" s="64"/>
      <c r="D129" s="51"/>
      <c r="E129" s="64"/>
      <c r="F129" s="53"/>
    </row>
    <row r="130" spans="1:6" ht="12.75">
      <c r="A130" s="180" t="s">
        <v>58</v>
      </c>
      <c r="B130" s="55">
        <f>1_e_f_sz_melléklet!C9</f>
        <v>32632</v>
      </c>
      <c r="C130" s="39">
        <v>0</v>
      </c>
      <c r="D130" s="55">
        <v>0</v>
      </c>
      <c r="E130" s="39">
        <v>0</v>
      </c>
      <c r="F130" s="56">
        <v>0</v>
      </c>
    </row>
    <row r="131" spans="1:6" ht="12.75">
      <c r="A131" s="125" t="s">
        <v>59</v>
      </c>
      <c r="B131" s="51">
        <v>0</v>
      </c>
      <c r="C131" s="78">
        <v>0</v>
      </c>
      <c r="D131" s="157">
        <v>0</v>
      </c>
      <c r="E131" s="78">
        <v>0</v>
      </c>
      <c r="F131" s="202">
        <v>0</v>
      </c>
    </row>
    <row r="132" spans="1:6" ht="12.75">
      <c r="A132" s="43" t="s">
        <v>134</v>
      </c>
      <c r="B132" s="16">
        <f>B130+B131</f>
        <v>32632</v>
      </c>
      <c r="C132" s="16">
        <f>C130+C131</f>
        <v>0</v>
      </c>
      <c r="D132" s="16">
        <f>D130+D131</f>
        <v>0</v>
      </c>
      <c r="E132" s="16">
        <f>E130+E131</f>
        <v>0</v>
      </c>
      <c r="F132" s="16">
        <f>F130+F131</f>
        <v>0</v>
      </c>
    </row>
    <row r="133" spans="1:6" ht="9" customHeight="1">
      <c r="A133" s="96"/>
      <c r="B133" s="64"/>
      <c r="C133" s="51"/>
      <c r="D133" s="64"/>
      <c r="E133" s="64"/>
      <c r="F133" s="53"/>
    </row>
    <row r="134" spans="1:6" ht="12.75">
      <c r="A134" s="62" t="s">
        <v>94</v>
      </c>
      <c r="B134" s="48"/>
      <c r="C134" s="131"/>
      <c r="D134" s="48"/>
      <c r="E134" s="48"/>
      <c r="F134" s="94"/>
    </row>
    <row r="135" spans="1:6" ht="12.75">
      <c r="A135" s="54" t="s">
        <v>58</v>
      </c>
      <c r="B135" s="48">
        <v>0</v>
      </c>
      <c r="C135" s="131">
        <v>0</v>
      </c>
      <c r="D135" s="48">
        <v>0</v>
      </c>
      <c r="E135" s="48">
        <v>0</v>
      </c>
      <c r="F135" s="56">
        <v>0</v>
      </c>
    </row>
    <row r="136" spans="1:6" ht="12.75">
      <c r="A136" s="126" t="s">
        <v>59</v>
      </c>
      <c r="B136" s="64">
        <v>0</v>
      </c>
      <c r="C136" s="51">
        <v>0</v>
      </c>
      <c r="D136" s="64">
        <v>0</v>
      </c>
      <c r="E136" s="64">
        <v>0</v>
      </c>
      <c r="F136" s="59">
        <v>0</v>
      </c>
    </row>
    <row r="137" spans="1:6" s="91" customFormat="1" ht="12.75">
      <c r="A137" s="43" t="s">
        <v>95</v>
      </c>
      <c r="B137" s="16">
        <f>B135+B136</f>
        <v>0</v>
      </c>
      <c r="C137" s="16">
        <f>C135+C136</f>
        <v>0</v>
      </c>
      <c r="D137" s="16">
        <f>D135+D136</f>
        <v>0</v>
      </c>
      <c r="E137" s="16">
        <f>E135+E136</f>
        <v>0</v>
      </c>
      <c r="F137" s="16">
        <f>F135+F136</f>
        <v>0</v>
      </c>
    </row>
    <row r="138" spans="1:6" ht="18.75" customHeight="1">
      <c r="A138" s="44" t="s">
        <v>63</v>
      </c>
      <c r="B138" s="48"/>
      <c r="C138" s="48"/>
      <c r="D138" s="48"/>
      <c r="E138" s="131"/>
      <c r="F138" s="48"/>
    </row>
    <row r="139" spans="1:6" ht="12.75">
      <c r="A139" s="57" t="s">
        <v>96</v>
      </c>
      <c r="B139" s="64">
        <v>0</v>
      </c>
      <c r="C139" s="64">
        <v>0</v>
      </c>
      <c r="D139" s="64">
        <v>0</v>
      </c>
      <c r="E139" s="51">
        <v>0</v>
      </c>
      <c r="F139" s="39">
        <v>0</v>
      </c>
    </row>
    <row r="140" spans="1:6" ht="12.75">
      <c r="A140" s="8" t="s">
        <v>135</v>
      </c>
      <c r="B140" s="39">
        <v>0</v>
      </c>
      <c r="C140" s="39">
        <v>0</v>
      </c>
      <c r="D140" s="39">
        <v>0</v>
      </c>
      <c r="E140" s="55">
        <v>0</v>
      </c>
      <c r="F140" s="58">
        <v>0</v>
      </c>
    </row>
    <row r="141" spans="1:6" s="91" customFormat="1" ht="12.75">
      <c r="A141" s="43" t="s">
        <v>98</v>
      </c>
      <c r="B141" s="16">
        <f>B139+B140</f>
        <v>0</v>
      </c>
      <c r="C141" s="16">
        <f>C139+C140</f>
        <v>0</v>
      </c>
      <c r="D141" s="16">
        <f>D139+D140</f>
        <v>0</v>
      </c>
      <c r="E141" s="16">
        <f>E139+E140</f>
        <v>0</v>
      </c>
      <c r="F141" s="16">
        <f>F139+F140</f>
        <v>0</v>
      </c>
    </row>
    <row r="142" spans="1:6" ht="19.5" customHeight="1">
      <c r="A142" s="47" t="s">
        <v>67</v>
      </c>
      <c r="B142" s="109"/>
      <c r="C142" s="69"/>
      <c r="D142" s="166"/>
      <c r="E142" s="109"/>
      <c r="F142" s="48"/>
    </row>
    <row r="143" spans="1:6" ht="12.75">
      <c r="A143" s="38" t="s">
        <v>136</v>
      </c>
      <c r="B143" s="131">
        <v>0</v>
      </c>
      <c r="C143" s="48">
        <v>0</v>
      </c>
      <c r="D143" s="49">
        <v>0</v>
      </c>
      <c r="E143" s="131">
        <v>0</v>
      </c>
      <c r="F143" s="39">
        <v>0</v>
      </c>
    </row>
    <row r="144" spans="1:6" ht="12.75">
      <c r="A144" s="38" t="s">
        <v>137</v>
      </c>
      <c r="B144" s="55">
        <v>0</v>
      </c>
      <c r="C144" s="39">
        <v>0</v>
      </c>
      <c r="D144" s="40">
        <v>0</v>
      </c>
      <c r="E144" s="55">
        <v>0</v>
      </c>
      <c r="F144" s="39">
        <v>0</v>
      </c>
    </row>
    <row r="145" spans="1:6" ht="12.75">
      <c r="A145" s="90" t="s">
        <v>70</v>
      </c>
      <c r="B145" s="67"/>
      <c r="C145" s="67"/>
      <c r="D145" s="67"/>
      <c r="E145" s="104"/>
      <c r="F145" s="67"/>
    </row>
    <row r="146" spans="1:6" ht="12.75">
      <c r="A146" s="96"/>
      <c r="B146" s="52"/>
      <c r="C146" s="52"/>
      <c r="D146" s="52"/>
      <c r="E146" s="173"/>
      <c r="F146" s="64"/>
    </row>
    <row r="147" spans="1:6" ht="12.75">
      <c r="A147" s="181" t="s">
        <v>138</v>
      </c>
      <c r="B147" s="182"/>
      <c r="C147" s="182"/>
      <c r="D147" s="52"/>
      <c r="E147" s="173"/>
      <c r="F147" s="52"/>
    </row>
    <row r="148" spans="1:6" s="91" customFormat="1" ht="12.75">
      <c r="A148" s="184" t="s">
        <v>99</v>
      </c>
      <c r="B148" s="203">
        <f>B141+B137+B132+B127+B119</f>
        <v>337769</v>
      </c>
      <c r="C148" s="203">
        <f>C141+C137+C132+C127+C119</f>
        <v>16320</v>
      </c>
      <c r="D148" s="203">
        <f>D141+D137+D132+D127+D119</f>
        <v>44900</v>
      </c>
      <c r="E148" s="203">
        <f>E141+E137+E132+E127+E119</f>
        <v>25513</v>
      </c>
      <c r="F148" s="203">
        <f>F141+F137+F132+F127+F119</f>
        <v>936</v>
      </c>
    </row>
    <row r="149" spans="1:6" ht="12.75">
      <c r="A149" s="204" t="s">
        <v>100</v>
      </c>
      <c r="B149" s="196"/>
      <c r="C149" s="205"/>
      <c r="D149" s="206"/>
      <c r="E149" s="205"/>
      <c r="F149" s="206"/>
    </row>
    <row r="150" spans="1:6" ht="12.75">
      <c r="A150" s="70" t="s">
        <v>73</v>
      </c>
      <c r="B150" s="130"/>
      <c r="C150" s="207">
        <f aca="true" t="shared" si="0" ref="C150:F151">C144+C140+C135+C130+C122</f>
        <v>0</v>
      </c>
      <c r="D150" s="208">
        <v>0</v>
      </c>
      <c r="E150" s="207">
        <f t="shared" si="0"/>
        <v>0</v>
      </c>
      <c r="F150" s="208">
        <v>0</v>
      </c>
    </row>
    <row r="151" spans="1:6" ht="12.75">
      <c r="A151" s="113" t="s">
        <v>101</v>
      </c>
      <c r="B151" s="209">
        <v>0</v>
      </c>
      <c r="C151" s="210">
        <v>0</v>
      </c>
      <c r="D151" s="211">
        <v>0</v>
      </c>
      <c r="E151" s="210">
        <f t="shared" si="0"/>
        <v>0</v>
      </c>
      <c r="F151" s="211">
        <f t="shared" si="0"/>
        <v>0</v>
      </c>
    </row>
    <row r="152" spans="1:6" s="91" customFormat="1" ht="12.75">
      <c r="A152" s="90" t="s">
        <v>112</v>
      </c>
      <c r="B152" s="16">
        <f>B150+B151</f>
        <v>0</v>
      </c>
      <c r="C152" s="16">
        <f>C150+C151</f>
        <v>0</v>
      </c>
      <c r="D152" s="16">
        <f>D150+D151</f>
        <v>0</v>
      </c>
      <c r="E152" s="16">
        <f>E150+E151</f>
        <v>0</v>
      </c>
      <c r="F152" s="16">
        <f>F150+F151</f>
        <v>0</v>
      </c>
    </row>
    <row r="153" spans="1:6" ht="12.75">
      <c r="A153" s="194"/>
      <c r="B153" s="64"/>
      <c r="C153" s="212"/>
      <c r="D153" s="212"/>
      <c r="E153" s="212"/>
      <c r="F153" s="212"/>
    </row>
    <row r="154" spans="1:6" s="91" customFormat="1" ht="13.5" thickBot="1">
      <c r="A154" s="132" t="s">
        <v>139</v>
      </c>
      <c r="B154" s="74">
        <f>B148+B152</f>
        <v>337769</v>
      </c>
      <c r="C154" s="203">
        <f>C148+C144+C139+C134+C126</f>
        <v>16320</v>
      </c>
      <c r="D154" s="203">
        <f>D148+D144+D139+D134+D126</f>
        <v>44900</v>
      </c>
      <c r="E154" s="203">
        <f>E148+E144+E139+E134+E126</f>
        <v>25513</v>
      </c>
      <c r="F154" s="203">
        <f>F148+F144+F139+F134+F126</f>
        <v>936</v>
      </c>
    </row>
    <row r="155" spans="1:6" s="91" customFormat="1" ht="12.75">
      <c r="A155" s="198"/>
      <c r="B155" s="199"/>
      <c r="C155" s="213"/>
      <c r="D155" s="213"/>
      <c r="E155" s="213"/>
      <c r="F155" s="213"/>
    </row>
    <row r="156" spans="1:6" s="91" customFormat="1" ht="12.75">
      <c r="A156" s="198"/>
      <c r="B156" s="199"/>
      <c r="C156" s="213"/>
      <c r="D156" s="213"/>
      <c r="E156" s="213"/>
      <c r="F156" s="213"/>
    </row>
    <row r="157" spans="1:6" ht="12.75">
      <c r="A157" s="1020">
        <v>4</v>
      </c>
      <c r="B157" s="1020"/>
      <c r="C157" s="1020"/>
      <c r="D157" s="1020"/>
      <c r="E157" s="1020"/>
      <c r="F157" s="1020"/>
    </row>
    <row r="158" spans="1:5" ht="14.25">
      <c r="A158" s="1015" t="s">
        <v>122</v>
      </c>
      <c r="B158" s="1015"/>
      <c r="C158" s="1015"/>
      <c r="D158" s="1015"/>
      <c r="E158" s="1015"/>
    </row>
    <row r="159" spans="1:6" ht="15.75">
      <c r="A159" s="1014" t="s">
        <v>123</v>
      </c>
      <c r="B159" s="1014"/>
      <c r="C159" s="1014"/>
      <c r="D159" s="1014"/>
      <c r="E159" s="1014"/>
      <c r="F159" s="1014"/>
    </row>
    <row r="160" spans="1:6" ht="15.75">
      <c r="A160" s="1014" t="s">
        <v>124</v>
      </c>
      <c r="B160" s="1014"/>
      <c r="C160" s="1014"/>
      <c r="D160" s="1014"/>
      <c r="E160" s="1014"/>
      <c r="F160" s="1014"/>
    </row>
    <row r="161" ht="12.75">
      <c r="E161" s="31" t="s">
        <v>80</v>
      </c>
    </row>
    <row r="162" spans="1:6" ht="30.75" customHeight="1">
      <c r="A162" s="32" t="s">
        <v>125</v>
      </c>
      <c r="B162" s="175" t="s">
        <v>155</v>
      </c>
      <c r="C162" s="214" t="s">
        <v>156</v>
      </c>
      <c r="D162" s="176" t="s">
        <v>157</v>
      </c>
      <c r="E162" s="215" t="s">
        <v>158</v>
      </c>
      <c r="F162" s="216" t="s">
        <v>159</v>
      </c>
    </row>
    <row r="163" spans="1:6" ht="15.75" customHeight="1">
      <c r="A163" s="44" t="s">
        <v>42</v>
      </c>
      <c r="B163" s="69"/>
      <c r="C163" s="69"/>
      <c r="D163" s="69"/>
      <c r="E163" s="166"/>
      <c r="F163" s="69"/>
    </row>
    <row r="164" spans="1:6" ht="12.75">
      <c r="A164" s="121" t="s">
        <v>43</v>
      </c>
      <c r="B164" s="48"/>
      <c r="C164" s="39"/>
      <c r="D164" s="48"/>
      <c r="E164" s="49"/>
      <c r="F164" s="39">
        <v>480</v>
      </c>
    </row>
    <row r="165" spans="1:6" ht="12.75">
      <c r="A165" s="19" t="s">
        <v>44</v>
      </c>
      <c r="B165" s="48"/>
      <c r="C165" s="39">
        <v>11614</v>
      </c>
      <c r="D165" s="48"/>
      <c r="E165" s="49"/>
      <c r="F165" s="39"/>
    </row>
    <row r="166" spans="1:6" ht="12.75">
      <c r="A166" s="19" t="s">
        <v>45</v>
      </c>
      <c r="B166" s="48">
        <v>1639</v>
      </c>
      <c r="C166" s="39">
        <v>5000</v>
      </c>
      <c r="D166" s="48"/>
      <c r="E166" s="49"/>
      <c r="F166" s="39">
        <v>2340</v>
      </c>
    </row>
    <row r="167" spans="1:6" ht="12.75">
      <c r="A167" s="19" t="s">
        <v>160</v>
      </c>
      <c r="B167" s="48"/>
      <c r="C167" s="39"/>
      <c r="D167" s="48"/>
      <c r="E167" s="49"/>
      <c r="F167" s="39"/>
    </row>
    <row r="168" spans="1:6" ht="12.75">
      <c r="A168" s="19" t="s">
        <v>47</v>
      </c>
      <c r="B168" s="48"/>
      <c r="C168" s="39"/>
      <c r="D168" s="48"/>
      <c r="E168" s="49"/>
      <c r="F168" s="39"/>
    </row>
    <row r="169" spans="1:6" ht="12.75">
      <c r="A169" s="8" t="s">
        <v>48</v>
      </c>
      <c r="B169" s="48"/>
      <c r="C169" s="39">
        <v>131000</v>
      </c>
      <c r="D169" s="48">
        <v>1010</v>
      </c>
      <c r="E169" s="49">
        <v>95748</v>
      </c>
      <c r="F169" s="39">
        <v>27000</v>
      </c>
    </row>
    <row r="170" spans="1:6" ht="12.75">
      <c r="A170" s="122" t="s">
        <v>154</v>
      </c>
      <c r="B170" s="39">
        <f>B169</f>
        <v>0</v>
      </c>
      <c r="C170" s="39">
        <f>C169</f>
        <v>131000</v>
      </c>
      <c r="D170" s="39">
        <f>D169</f>
        <v>1010</v>
      </c>
      <c r="E170" s="39">
        <f>E169</f>
        <v>95748</v>
      </c>
      <c r="F170" s="39">
        <f>F169</f>
        <v>27000</v>
      </c>
    </row>
    <row r="171" spans="1:6" s="91" customFormat="1" ht="12.75">
      <c r="A171" s="43" t="s">
        <v>133</v>
      </c>
      <c r="B171" s="16">
        <f>SUM(B164:B169)</f>
        <v>1639</v>
      </c>
      <c r="C171" s="16">
        <f>SUM(C164:C169)</f>
        <v>147614</v>
      </c>
      <c r="D171" s="16">
        <f>SUM(D164:D169)</f>
        <v>1010</v>
      </c>
      <c r="E171" s="16">
        <f>SUM(E164:E169)</f>
        <v>95748</v>
      </c>
      <c r="F171" s="16">
        <f>SUM(F164:F169)</f>
        <v>29820</v>
      </c>
    </row>
    <row r="172" spans="1:6" ht="8.25" customHeight="1">
      <c r="A172" s="93"/>
      <c r="B172" s="52"/>
      <c r="C172" s="110"/>
      <c r="D172" s="69"/>
      <c r="E172" s="166"/>
      <c r="F172" s="48"/>
    </row>
    <row r="173" spans="1:6" ht="12.75">
      <c r="A173" s="47" t="s">
        <v>51</v>
      </c>
      <c r="B173" s="48"/>
      <c r="C173" s="94"/>
      <c r="D173" s="48"/>
      <c r="E173" s="131"/>
      <c r="F173" s="39"/>
    </row>
    <row r="174" spans="1:6" ht="12.75">
      <c r="A174" s="19" t="s">
        <v>52</v>
      </c>
      <c r="B174" s="48">
        <v>0</v>
      </c>
      <c r="C174" s="56">
        <v>0</v>
      </c>
      <c r="D174" s="48">
        <v>0</v>
      </c>
      <c r="E174" s="131">
        <v>0</v>
      </c>
      <c r="F174" s="39">
        <v>0</v>
      </c>
    </row>
    <row r="175" spans="1:6" ht="12.75">
      <c r="A175" s="19" t="s">
        <v>53</v>
      </c>
      <c r="B175" s="48">
        <v>0</v>
      </c>
      <c r="C175" s="56">
        <v>0</v>
      </c>
      <c r="D175" s="48">
        <v>0</v>
      </c>
      <c r="E175" s="131">
        <v>0</v>
      </c>
      <c r="F175" s="39">
        <v>0</v>
      </c>
    </row>
    <row r="176" spans="1:6" ht="12.75">
      <c r="A176" s="19" t="s">
        <v>54</v>
      </c>
      <c r="B176" s="48">
        <v>0</v>
      </c>
      <c r="C176" s="56">
        <v>0</v>
      </c>
      <c r="D176" s="48">
        <v>0</v>
      </c>
      <c r="E176" s="131">
        <v>0</v>
      </c>
      <c r="F176" s="39">
        <v>0</v>
      </c>
    </row>
    <row r="177" spans="1:6" ht="12.75">
      <c r="A177" s="8" t="s">
        <v>111</v>
      </c>
      <c r="B177" s="48">
        <f>-B167</f>
        <v>0</v>
      </c>
      <c r="C177" s="48">
        <f>-C167</f>
        <v>0</v>
      </c>
      <c r="D177" s="48">
        <f>-D167</f>
        <v>0</v>
      </c>
      <c r="E177" s="48">
        <f>-E167</f>
        <v>0</v>
      </c>
      <c r="F177" s="48">
        <f>-F167</f>
        <v>0</v>
      </c>
    </row>
    <row r="178" spans="1:6" ht="7.5" customHeight="1">
      <c r="A178" s="194"/>
      <c r="B178" s="64"/>
      <c r="C178" s="53"/>
      <c r="D178" s="64"/>
      <c r="E178" s="51"/>
      <c r="F178" s="58"/>
    </row>
    <row r="179" spans="1:6" ht="12.75">
      <c r="A179" s="43" t="s">
        <v>91</v>
      </c>
      <c r="B179" s="16">
        <f>B174+B175+B176+B177</f>
        <v>0</v>
      </c>
      <c r="C179" s="16">
        <f>C174+C175+C176+C177</f>
        <v>0</v>
      </c>
      <c r="D179" s="16">
        <f>D174+D175+D176+D177</f>
        <v>0</v>
      </c>
      <c r="E179" s="16">
        <f>E174+E175+E176+E177</f>
        <v>0</v>
      </c>
      <c r="F179" s="16">
        <f>F174+F175+F176+F177</f>
        <v>0</v>
      </c>
    </row>
    <row r="180" spans="1:6" ht="6" customHeight="1">
      <c r="A180" s="96"/>
      <c r="B180" s="64"/>
      <c r="C180" s="51"/>
      <c r="D180" s="64"/>
      <c r="E180" s="53"/>
      <c r="F180" s="64"/>
    </row>
    <row r="181" spans="1:6" ht="12.75">
      <c r="A181" s="96" t="s">
        <v>57</v>
      </c>
      <c r="B181" s="64"/>
      <c r="C181" s="51"/>
      <c r="D181" s="64"/>
      <c r="E181" s="53"/>
      <c r="F181" s="64"/>
    </row>
    <row r="182" spans="1:6" ht="12.75">
      <c r="A182" s="180" t="s">
        <v>58</v>
      </c>
      <c r="B182" s="39">
        <v>0</v>
      </c>
      <c r="C182" s="55">
        <v>0</v>
      </c>
      <c r="D182" s="39">
        <v>0</v>
      </c>
      <c r="E182" s="56">
        <v>0</v>
      </c>
      <c r="F182" s="39">
        <v>0</v>
      </c>
    </row>
    <row r="183" spans="1:6" ht="12.75">
      <c r="A183" s="125" t="s">
        <v>59</v>
      </c>
      <c r="B183" s="64">
        <v>0</v>
      </c>
      <c r="C183" s="51">
        <v>0</v>
      </c>
      <c r="D183" s="64">
        <v>0</v>
      </c>
      <c r="E183" s="53">
        <v>0</v>
      </c>
      <c r="F183" s="58">
        <v>0</v>
      </c>
    </row>
    <row r="184" spans="1:6" ht="12.75">
      <c r="A184" s="43" t="s">
        <v>134</v>
      </c>
      <c r="B184" s="16">
        <f>B182+B183</f>
        <v>0</v>
      </c>
      <c r="C184" s="16">
        <f>C182+C183</f>
        <v>0</v>
      </c>
      <c r="D184" s="16">
        <f>D182+D183</f>
        <v>0</v>
      </c>
      <c r="E184" s="16">
        <f>E182+E183</f>
        <v>0</v>
      </c>
      <c r="F184" s="16">
        <f>F182+F183</f>
        <v>0</v>
      </c>
    </row>
    <row r="185" spans="1:6" ht="12.75">
      <c r="A185" s="96"/>
      <c r="B185" s="64"/>
      <c r="C185" s="51"/>
      <c r="D185" s="64"/>
      <c r="E185" s="64"/>
      <c r="F185" s="53"/>
    </row>
    <row r="186" spans="1:6" ht="12.75">
      <c r="A186" s="62" t="s">
        <v>94</v>
      </c>
      <c r="B186" s="48"/>
      <c r="C186" s="131"/>
      <c r="D186" s="48"/>
      <c r="E186" s="48"/>
      <c r="F186" s="94"/>
    </row>
    <row r="187" spans="1:6" ht="12.75">
      <c r="A187" s="54" t="s">
        <v>58</v>
      </c>
      <c r="B187" s="48">
        <v>0</v>
      </c>
      <c r="C187" s="131">
        <v>0</v>
      </c>
      <c r="D187" s="48">
        <v>0</v>
      </c>
      <c r="E187" s="48">
        <v>0</v>
      </c>
      <c r="F187" s="56">
        <v>0</v>
      </c>
    </row>
    <row r="188" spans="1:6" ht="12.75">
      <c r="A188" s="126" t="s">
        <v>59</v>
      </c>
      <c r="B188" s="64">
        <v>0</v>
      </c>
      <c r="C188" s="51">
        <v>0</v>
      </c>
      <c r="D188" s="64">
        <v>0</v>
      </c>
      <c r="E188" s="64">
        <v>0</v>
      </c>
      <c r="F188" s="59">
        <v>0</v>
      </c>
    </row>
    <row r="189" spans="1:6" ht="12.75">
      <c r="A189" s="43" t="s">
        <v>95</v>
      </c>
      <c r="B189" s="16">
        <f>B187+B188</f>
        <v>0</v>
      </c>
      <c r="C189" s="16">
        <f>C187+C188</f>
        <v>0</v>
      </c>
      <c r="D189" s="16">
        <f>D187+D188</f>
        <v>0</v>
      </c>
      <c r="E189" s="16">
        <f>E187+E188</f>
        <v>0</v>
      </c>
      <c r="F189" s="16">
        <f>F187+F188</f>
        <v>0</v>
      </c>
    </row>
    <row r="190" spans="1:6" ht="18" customHeight="1">
      <c r="A190" s="44" t="s">
        <v>63</v>
      </c>
      <c r="B190" s="48"/>
      <c r="C190" s="48"/>
      <c r="D190" s="48"/>
      <c r="E190" s="131"/>
      <c r="F190" s="48"/>
    </row>
    <row r="191" spans="1:6" ht="12.75">
      <c r="A191" s="57" t="s">
        <v>96</v>
      </c>
      <c r="B191" s="64">
        <v>0</v>
      </c>
      <c r="C191" s="64">
        <v>0</v>
      </c>
      <c r="D191" s="64">
        <v>0</v>
      </c>
      <c r="E191" s="51">
        <v>0</v>
      </c>
      <c r="F191" s="39">
        <v>0</v>
      </c>
    </row>
    <row r="192" spans="1:6" ht="12.75">
      <c r="A192" s="8" t="s">
        <v>135</v>
      </c>
      <c r="B192" s="39">
        <v>0</v>
      </c>
      <c r="C192" s="39">
        <v>0</v>
      </c>
      <c r="D192" s="39">
        <v>0</v>
      </c>
      <c r="E192" s="55">
        <v>0</v>
      </c>
      <c r="F192" s="58">
        <v>0</v>
      </c>
    </row>
    <row r="193" spans="1:6" ht="15" customHeight="1">
      <c r="A193" s="43" t="s">
        <v>98</v>
      </c>
      <c r="B193" s="16">
        <f>B191+B192</f>
        <v>0</v>
      </c>
      <c r="C193" s="16">
        <f>C191+C192</f>
        <v>0</v>
      </c>
      <c r="D193" s="16">
        <f>D191+D192</f>
        <v>0</v>
      </c>
      <c r="E193" s="16">
        <f>E191+E192</f>
        <v>0</v>
      </c>
      <c r="F193" s="16">
        <f>F191+F192</f>
        <v>0</v>
      </c>
    </row>
    <row r="194" spans="1:6" ht="17.25" customHeight="1">
      <c r="A194" s="47" t="s">
        <v>67</v>
      </c>
      <c r="B194" s="109"/>
      <c r="C194" s="69"/>
      <c r="D194" s="166"/>
      <c r="E194" s="109"/>
      <c r="F194" s="48"/>
    </row>
    <row r="195" spans="1:6" ht="12.75">
      <c r="A195" s="38" t="s">
        <v>136</v>
      </c>
      <c r="B195" s="131">
        <v>0</v>
      </c>
      <c r="C195" s="48">
        <v>0</v>
      </c>
      <c r="D195" s="49">
        <v>0</v>
      </c>
      <c r="E195" s="131">
        <v>0</v>
      </c>
      <c r="F195" s="39">
        <v>0</v>
      </c>
    </row>
    <row r="196" spans="1:6" ht="12.75">
      <c r="A196" s="38" t="s">
        <v>137</v>
      </c>
      <c r="B196" s="55">
        <v>0</v>
      </c>
      <c r="C196" s="39">
        <v>0</v>
      </c>
      <c r="D196" s="40">
        <v>0</v>
      </c>
      <c r="E196" s="55">
        <v>0</v>
      </c>
      <c r="F196" s="39">
        <v>0</v>
      </c>
    </row>
    <row r="197" spans="1:6" ht="12.75">
      <c r="A197" s="90" t="s">
        <v>70</v>
      </c>
      <c r="B197" s="16">
        <f>B195+B196</f>
        <v>0</v>
      </c>
      <c r="C197" s="16">
        <f>C195+C196</f>
        <v>0</v>
      </c>
      <c r="D197" s="16">
        <f>D195+D196</f>
        <v>0</v>
      </c>
      <c r="E197" s="16">
        <f>E195+E196</f>
        <v>0</v>
      </c>
      <c r="F197" s="16">
        <f>F195+F196</f>
        <v>0</v>
      </c>
    </row>
    <row r="198" spans="1:6" ht="12.75">
      <c r="A198" s="96"/>
      <c r="B198" s="52"/>
      <c r="C198" s="52"/>
      <c r="D198" s="52"/>
      <c r="E198" s="173"/>
      <c r="F198" s="64"/>
    </row>
    <row r="199" spans="1:6" ht="12.75">
      <c r="A199" s="181" t="s">
        <v>138</v>
      </c>
      <c r="B199" s="182"/>
      <c r="C199" s="182"/>
      <c r="D199" s="52"/>
      <c r="E199" s="173"/>
      <c r="F199" s="52"/>
    </row>
    <row r="200" spans="1:6" s="91" customFormat="1" ht="12.75">
      <c r="A200" s="184" t="s">
        <v>99</v>
      </c>
      <c r="B200" s="185">
        <f>B197+B193+B189+B184+B179+B171</f>
        <v>1639</v>
      </c>
      <c r="C200" s="185">
        <f>C197+C193+C189+C184+C179+C171</f>
        <v>147614</v>
      </c>
      <c r="D200" s="185">
        <f>D197+D193+D189+D184+D179+D171</f>
        <v>1010</v>
      </c>
      <c r="E200" s="185">
        <f>E197+E193+E189+E184+E179+E171</f>
        <v>95748</v>
      </c>
      <c r="F200" s="185">
        <f>F197+F193+F189+F184+F179+F171</f>
        <v>29820</v>
      </c>
    </row>
    <row r="201" spans="1:6" ht="12.75">
      <c r="A201" s="217"/>
      <c r="B201" s="218"/>
      <c r="C201" s="219"/>
      <c r="D201" s="64"/>
      <c r="E201" s="52"/>
      <c r="F201" s="53"/>
    </row>
    <row r="202" spans="1:6" ht="12.75">
      <c r="A202" s="220" t="s">
        <v>100</v>
      </c>
      <c r="B202" s="130"/>
      <c r="C202" s="129"/>
      <c r="D202" s="39"/>
      <c r="E202" s="39"/>
      <c r="F202" s="56"/>
    </row>
    <row r="203" spans="1:6" ht="12.75">
      <c r="A203" s="70" t="s">
        <v>73</v>
      </c>
      <c r="B203" s="130">
        <v>0</v>
      </c>
      <c r="C203" s="129">
        <v>0</v>
      </c>
      <c r="D203" s="39">
        <v>0</v>
      </c>
      <c r="E203" s="39">
        <v>0</v>
      </c>
      <c r="F203" s="56">
        <v>0</v>
      </c>
    </row>
    <row r="204" spans="1:6" ht="12.75">
      <c r="A204" s="113" t="s">
        <v>101</v>
      </c>
      <c r="B204" s="197">
        <v>0</v>
      </c>
      <c r="C204" s="189">
        <v>0</v>
      </c>
      <c r="D204" s="58">
        <v>0</v>
      </c>
      <c r="E204" s="58">
        <v>0</v>
      </c>
      <c r="F204" s="59">
        <v>0</v>
      </c>
    </row>
    <row r="205" spans="1:6" ht="12.75">
      <c r="A205" s="90" t="s">
        <v>112</v>
      </c>
      <c r="B205" s="16">
        <f>B203+B204</f>
        <v>0</v>
      </c>
      <c r="C205" s="16">
        <f>C203+C204</f>
        <v>0</v>
      </c>
      <c r="D205" s="16">
        <f>D203+D204</f>
        <v>0</v>
      </c>
      <c r="E205" s="16">
        <f>E203+E204</f>
        <v>0</v>
      </c>
      <c r="F205" s="16">
        <f>F203+F204</f>
        <v>0</v>
      </c>
    </row>
    <row r="206" spans="1:6" ht="12.75">
      <c r="A206" s="194"/>
      <c r="B206" s="64"/>
      <c r="C206" s="39"/>
      <c r="D206" s="67"/>
      <c r="E206" s="104"/>
      <c r="F206" s="64"/>
    </row>
    <row r="207" spans="1:6" s="91" customFormat="1" ht="13.5" thickBot="1">
      <c r="A207" s="132" t="s">
        <v>139</v>
      </c>
      <c r="B207" s="74">
        <f>B200+B205</f>
        <v>1639</v>
      </c>
      <c r="C207" s="74">
        <f>C200+C205</f>
        <v>147614</v>
      </c>
      <c r="D207" s="74">
        <f>D200+D205</f>
        <v>1010</v>
      </c>
      <c r="E207" s="74">
        <f>E200+E205</f>
        <v>95748</v>
      </c>
      <c r="F207" s="74">
        <f>F200+F205</f>
        <v>29820</v>
      </c>
    </row>
    <row r="208" spans="1:6" s="91" customFormat="1" ht="12.75">
      <c r="A208" s="198"/>
      <c r="B208" s="199"/>
      <c r="C208" s="199"/>
      <c r="D208" s="199"/>
      <c r="E208" s="199"/>
      <c r="F208" s="199"/>
    </row>
    <row r="209" spans="1:6" s="91" customFormat="1" ht="12.75">
      <c r="A209" s="198"/>
      <c r="B209" s="199"/>
      <c r="C209" s="199"/>
      <c r="D209" s="199"/>
      <c r="E209" s="199"/>
      <c r="F209" s="199"/>
    </row>
    <row r="210" spans="1:6" s="91" customFormat="1" ht="12.75">
      <c r="A210" s="198"/>
      <c r="B210" s="199"/>
      <c r="C210" s="199"/>
      <c r="D210" s="199"/>
      <c r="E210" s="199"/>
      <c r="F210" s="199"/>
    </row>
    <row r="211" spans="1:6" ht="12.75">
      <c r="A211" s="1016">
        <v>5</v>
      </c>
      <c r="B211" s="1016"/>
      <c r="C211" s="1016"/>
      <c r="D211" s="1016"/>
      <c r="E211" s="1016"/>
      <c r="F211" s="1016"/>
    </row>
    <row r="213" spans="1:5" ht="14.25">
      <c r="A213" s="1015" t="s">
        <v>147</v>
      </c>
      <c r="B213" s="1015"/>
      <c r="C213" s="1015"/>
      <c r="D213" s="1015"/>
      <c r="E213" s="1015"/>
    </row>
    <row r="214" spans="1:6" ht="15.75">
      <c r="A214" s="1014" t="s">
        <v>123</v>
      </c>
      <c r="B214" s="1014"/>
      <c r="C214" s="1014"/>
      <c r="D214" s="1014"/>
      <c r="E214" s="1014"/>
      <c r="F214" s="1014"/>
    </row>
    <row r="215" spans="1:6" ht="15.75">
      <c r="A215" s="1014" t="s">
        <v>124</v>
      </c>
      <c r="B215" s="1014"/>
      <c r="C215" s="1014"/>
      <c r="D215" s="1014"/>
      <c r="E215" s="1014"/>
      <c r="F215" s="1014"/>
    </row>
    <row r="216" ht="12.75">
      <c r="E216" s="31" t="s">
        <v>80</v>
      </c>
    </row>
    <row r="217" spans="1:6" ht="42" customHeight="1">
      <c r="A217" s="32" t="s">
        <v>125</v>
      </c>
      <c r="B217" s="200" t="s">
        <v>161</v>
      </c>
      <c r="C217" s="192" t="s">
        <v>162</v>
      </c>
      <c r="D217" s="176" t="s">
        <v>163</v>
      </c>
      <c r="E217" s="176" t="s">
        <v>164</v>
      </c>
      <c r="F217" s="214" t="s">
        <v>165</v>
      </c>
    </row>
    <row r="218" spans="1:6" ht="12.75">
      <c r="A218" s="44" t="s">
        <v>42</v>
      </c>
      <c r="B218" s="69"/>
      <c r="C218" s="69"/>
      <c r="D218" s="69"/>
      <c r="E218" s="166"/>
      <c r="F218" s="69"/>
    </row>
    <row r="219" spans="1:6" ht="12.75">
      <c r="A219" s="121" t="s">
        <v>43</v>
      </c>
      <c r="B219" s="48"/>
      <c r="C219" s="39"/>
      <c r="D219" s="48">
        <v>150</v>
      </c>
      <c r="E219" s="49"/>
      <c r="F219" s="39"/>
    </row>
    <row r="220" spans="1:6" ht="12.75">
      <c r="A220" s="19" t="s">
        <v>44</v>
      </c>
      <c r="B220" s="48"/>
      <c r="C220" s="39"/>
      <c r="D220" s="48">
        <v>71</v>
      </c>
      <c r="E220" s="49"/>
      <c r="F220" s="39"/>
    </row>
    <row r="221" spans="1:6" ht="12.75">
      <c r="A221" s="19" t="s">
        <v>45</v>
      </c>
      <c r="B221" s="48">
        <v>162</v>
      </c>
      <c r="C221" s="39"/>
      <c r="D221" s="48">
        <v>10779</v>
      </c>
      <c r="E221" s="49">
        <v>1740</v>
      </c>
      <c r="F221" s="39">
        <v>7066</v>
      </c>
    </row>
    <row r="222" spans="1:6" ht="12.75">
      <c r="A222" s="19" t="s">
        <v>166</v>
      </c>
      <c r="B222" s="48"/>
      <c r="C222" s="39"/>
      <c r="D222" s="48"/>
      <c r="E222" s="49"/>
      <c r="F222" s="39">
        <v>-7066</v>
      </c>
    </row>
    <row r="223" spans="1:6" ht="12.75">
      <c r="A223" s="19" t="s">
        <v>47</v>
      </c>
      <c r="B223" s="48"/>
      <c r="C223" s="39"/>
      <c r="D223" s="48"/>
      <c r="E223" s="49"/>
      <c r="F223" s="39"/>
    </row>
    <row r="224" spans="1:6" ht="12.75">
      <c r="A224" s="8" t="s">
        <v>48</v>
      </c>
      <c r="B224" s="48">
        <v>3244</v>
      </c>
      <c r="C224" s="39"/>
      <c r="D224" s="48"/>
      <c r="E224" s="49"/>
      <c r="F224" s="39"/>
    </row>
    <row r="225" spans="1:6" ht="12.75">
      <c r="A225" s="122" t="s">
        <v>154</v>
      </c>
      <c r="B225" s="48">
        <f>B224</f>
        <v>3244</v>
      </c>
      <c r="C225" s="39"/>
      <c r="D225" s="39"/>
      <c r="E225" s="39"/>
      <c r="F225" s="39"/>
    </row>
    <row r="226" spans="1:6" s="91" customFormat="1" ht="12.75">
      <c r="A226" s="43" t="s">
        <v>133</v>
      </c>
      <c r="B226" s="16">
        <f>SUM(B219:B224)</f>
        <v>3406</v>
      </c>
      <c r="C226" s="16">
        <f>SUM(C219:C224)</f>
        <v>0</v>
      </c>
      <c r="D226" s="16">
        <f>SUM(D219:D224)</f>
        <v>11000</v>
      </c>
      <c r="E226" s="16">
        <f>SUM(E219:E224)</f>
        <v>1740</v>
      </c>
      <c r="F226" s="16">
        <f>SUM(F219:F224)</f>
        <v>0</v>
      </c>
    </row>
    <row r="227" spans="1:6" ht="7.5" customHeight="1">
      <c r="A227" s="93"/>
      <c r="B227" s="69"/>
      <c r="C227" s="110"/>
      <c r="D227" s="69"/>
      <c r="E227" s="166"/>
      <c r="F227" s="48"/>
    </row>
    <row r="228" spans="1:6" ht="12.75">
      <c r="A228" s="47" t="s">
        <v>51</v>
      </c>
      <c r="B228" s="48"/>
      <c r="C228" s="94"/>
      <c r="D228" s="48"/>
      <c r="E228" s="131"/>
      <c r="F228" s="39"/>
    </row>
    <row r="229" spans="1:6" ht="12.75">
      <c r="A229" s="19" t="s">
        <v>52</v>
      </c>
      <c r="B229" s="48">
        <v>0</v>
      </c>
      <c r="C229" s="56">
        <f>'4_sz_ melléklet'!B71</f>
        <v>90000</v>
      </c>
      <c r="D229" s="48">
        <v>0</v>
      </c>
      <c r="E229" s="131">
        <v>0</v>
      </c>
      <c r="F229" s="39">
        <f>'4_sz_ melléklet'!B65</f>
        <v>30685</v>
      </c>
    </row>
    <row r="230" spans="1:6" ht="12.75">
      <c r="A230" s="19" t="s">
        <v>53</v>
      </c>
      <c r="B230" s="48">
        <v>0</v>
      </c>
      <c r="C230" s="56">
        <v>0</v>
      </c>
      <c r="D230" s="48">
        <v>0</v>
      </c>
      <c r="E230" s="131">
        <v>0</v>
      </c>
      <c r="F230" s="39">
        <v>0</v>
      </c>
    </row>
    <row r="231" spans="1:6" ht="12.75">
      <c r="A231" s="19" t="s">
        <v>54</v>
      </c>
      <c r="B231" s="48">
        <v>0</v>
      </c>
      <c r="C231" s="56">
        <v>0</v>
      </c>
      <c r="D231" s="48">
        <v>0</v>
      </c>
      <c r="E231" s="131">
        <v>0</v>
      </c>
      <c r="F231" s="39">
        <v>0</v>
      </c>
    </row>
    <row r="232" spans="1:6" ht="12.75">
      <c r="A232" s="179" t="s">
        <v>111</v>
      </c>
      <c r="B232" s="48">
        <f>-B222</f>
        <v>0</v>
      </c>
      <c r="C232" s="48">
        <f>-C222</f>
        <v>0</v>
      </c>
      <c r="D232" s="48">
        <f>-D222</f>
        <v>0</v>
      </c>
      <c r="E232" s="48">
        <f>-E222</f>
        <v>0</v>
      </c>
      <c r="F232" s="48">
        <f>-F222</f>
        <v>7066</v>
      </c>
    </row>
    <row r="233" spans="1:6" ht="9" customHeight="1">
      <c r="A233" s="194"/>
      <c r="B233" s="64"/>
      <c r="C233" s="53"/>
      <c r="D233" s="64"/>
      <c r="E233" s="51"/>
      <c r="F233" s="58"/>
    </row>
    <row r="234" spans="1:6" s="91" customFormat="1" ht="12.75">
      <c r="A234" s="43" t="s">
        <v>91</v>
      </c>
      <c r="B234" s="16">
        <f>B229+B230+B231+B232</f>
        <v>0</v>
      </c>
      <c r="C234" s="16">
        <f>C229+C230+C231+C232</f>
        <v>90000</v>
      </c>
      <c r="D234" s="16">
        <f>D229+D230+D231+D232</f>
        <v>0</v>
      </c>
      <c r="E234" s="16">
        <f>E229+E230+E231+E232</f>
        <v>0</v>
      </c>
      <c r="F234" s="16">
        <f>F229+F230+F231+F232</f>
        <v>37751</v>
      </c>
    </row>
    <row r="235" spans="1:6" ht="6.75" customHeight="1">
      <c r="A235" s="96"/>
      <c r="B235" s="64"/>
      <c r="C235" s="51"/>
      <c r="D235" s="64"/>
      <c r="E235" s="53"/>
      <c r="F235" s="64"/>
    </row>
    <row r="236" spans="1:6" ht="12.75">
      <c r="A236" s="96" t="s">
        <v>57</v>
      </c>
      <c r="B236" s="64"/>
      <c r="C236" s="51"/>
      <c r="D236" s="64"/>
      <c r="E236" s="53"/>
      <c r="F236" s="64"/>
    </row>
    <row r="237" spans="1:6" ht="12.75">
      <c r="A237" s="180" t="s">
        <v>58</v>
      </c>
      <c r="B237" s="39">
        <v>0</v>
      </c>
      <c r="C237" s="55">
        <v>0</v>
      </c>
      <c r="D237" s="39">
        <v>0</v>
      </c>
      <c r="E237" s="56">
        <v>0</v>
      </c>
      <c r="F237" s="39">
        <v>0</v>
      </c>
    </row>
    <row r="238" spans="1:6" ht="12.75">
      <c r="A238" s="125" t="s">
        <v>59</v>
      </c>
      <c r="B238" s="64">
        <v>0</v>
      </c>
      <c r="C238" s="51">
        <v>0</v>
      </c>
      <c r="D238" s="64">
        <v>0</v>
      </c>
      <c r="E238" s="53">
        <v>0</v>
      </c>
      <c r="F238" s="58">
        <v>0</v>
      </c>
    </row>
    <row r="239" spans="1:6" ht="12.75">
      <c r="A239" s="43" t="s">
        <v>134</v>
      </c>
      <c r="B239" s="16">
        <f>B237+B238</f>
        <v>0</v>
      </c>
      <c r="C239" s="16">
        <f>C237+C238</f>
        <v>0</v>
      </c>
      <c r="D239" s="16">
        <f>D237+D238</f>
        <v>0</v>
      </c>
      <c r="E239" s="16">
        <f>E237+E238</f>
        <v>0</v>
      </c>
      <c r="F239" s="16">
        <f>F237+F238</f>
        <v>0</v>
      </c>
    </row>
    <row r="240" spans="1:6" ht="9" customHeight="1">
      <c r="A240" s="96"/>
      <c r="B240" s="64"/>
      <c r="C240" s="51"/>
      <c r="D240" s="64"/>
      <c r="E240" s="64"/>
      <c r="F240" s="53"/>
    </row>
    <row r="241" spans="1:6" ht="12.75">
      <c r="A241" s="62" t="s">
        <v>94</v>
      </c>
      <c r="B241" s="48"/>
      <c r="C241" s="131"/>
      <c r="D241" s="48"/>
      <c r="E241" s="48"/>
      <c r="F241" s="94"/>
    </row>
    <row r="242" spans="1:6" ht="12.75">
      <c r="A242" s="54" t="s">
        <v>58</v>
      </c>
      <c r="B242" s="48">
        <v>0</v>
      </c>
      <c r="C242" s="48">
        <f>1_e_f_sz_melléklet!C39</f>
        <v>1156</v>
      </c>
      <c r="D242" s="48"/>
      <c r="E242" s="48">
        <v>0</v>
      </c>
      <c r="F242" s="56"/>
    </row>
    <row r="243" spans="1:6" ht="12.75">
      <c r="A243" s="126" t="s">
        <v>59</v>
      </c>
      <c r="B243" s="64">
        <v>0</v>
      </c>
      <c r="C243" s="51">
        <f>1_e_f_sz_melléklet!C44+1_e_f_sz_melléklet!C45</f>
        <v>48876</v>
      </c>
      <c r="D243" s="64"/>
      <c r="E243" s="64">
        <v>0</v>
      </c>
      <c r="F243" s="59">
        <v>0</v>
      </c>
    </row>
    <row r="244" spans="1:6" s="91" customFormat="1" ht="12" customHeight="1">
      <c r="A244" s="43" t="s">
        <v>95</v>
      </c>
      <c r="B244" s="16">
        <f>B242+B243</f>
        <v>0</v>
      </c>
      <c r="C244" s="16">
        <f>C242+C243</f>
        <v>50032</v>
      </c>
      <c r="D244" s="16">
        <f>D242+D243</f>
        <v>0</v>
      </c>
      <c r="E244" s="16">
        <f>E242+E243</f>
        <v>0</v>
      </c>
      <c r="F244" s="16">
        <f>F242+F243</f>
        <v>0</v>
      </c>
    </row>
    <row r="245" spans="1:6" ht="18" customHeight="1">
      <c r="A245" s="44" t="s">
        <v>63</v>
      </c>
      <c r="B245" s="48"/>
      <c r="C245" s="48"/>
      <c r="D245" s="48"/>
      <c r="E245" s="131"/>
      <c r="F245" s="48"/>
    </row>
    <row r="246" spans="1:6" ht="12.75">
      <c r="A246" s="57" t="s">
        <v>96</v>
      </c>
      <c r="B246" s="64">
        <v>0</v>
      </c>
      <c r="C246" s="64">
        <v>0</v>
      </c>
      <c r="D246" s="64">
        <v>0</v>
      </c>
      <c r="E246" s="51">
        <v>0</v>
      </c>
      <c r="F246" s="39">
        <v>0</v>
      </c>
    </row>
    <row r="247" spans="1:6" ht="12.75">
      <c r="A247" s="8" t="s">
        <v>135</v>
      </c>
      <c r="B247" s="39">
        <v>0</v>
      </c>
      <c r="C247" s="39">
        <v>0</v>
      </c>
      <c r="D247" s="39">
        <f>1_g_h_sz_melléklet!B16</f>
        <v>0</v>
      </c>
      <c r="E247" s="55">
        <v>0</v>
      </c>
      <c r="F247" s="58">
        <v>0</v>
      </c>
    </row>
    <row r="248" spans="1:6" s="91" customFormat="1" ht="12.75">
      <c r="A248" s="43" t="s">
        <v>98</v>
      </c>
      <c r="B248" s="16">
        <f>B246+B247</f>
        <v>0</v>
      </c>
      <c r="C248" s="16">
        <f>C246+C247</f>
        <v>0</v>
      </c>
      <c r="D248" s="16">
        <f>D246+D247</f>
        <v>0</v>
      </c>
      <c r="E248" s="16">
        <f>E246+E247</f>
        <v>0</v>
      </c>
      <c r="F248" s="16">
        <f>F246+F247</f>
        <v>0</v>
      </c>
    </row>
    <row r="249" spans="1:6" ht="18" customHeight="1">
      <c r="A249" s="47" t="s">
        <v>67</v>
      </c>
      <c r="B249" s="109"/>
      <c r="C249" s="69"/>
      <c r="D249" s="166"/>
      <c r="E249" s="109"/>
      <c r="F249" s="48"/>
    </row>
    <row r="250" spans="1:6" ht="12.75">
      <c r="A250" s="38" t="s">
        <v>136</v>
      </c>
      <c r="B250" s="131">
        <v>0</v>
      </c>
      <c r="C250" s="48">
        <v>0</v>
      </c>
      <c r="D250" s="49">
        <v>0</v>
      </c>
      <c r="E250" s="131">
        <v>0</v>
      </c>
      <c r="F250" s="39">
        <v>0</v>
      </c>
    </row>
    <row r="251" spans="1:6" ht="12.75">
      <c r="A251" s="38" t="s">
        <v>137</v>
      </c>
      <c r="B251" s="55">
        <v>0</v>
      </c>
      <c r="C251" s="39">
        <v>0</v>
      </c>
      <c r="D251" s="40">
        <v>0</v>
      </c>
      <c r="E251" s="55">
        <v>0</v>
      </c>
      <c r="F251" s="39">
        <v>0</v>
      </c>
    </row>
    <row r="252" spans="1:6" ht="12.75">
      <c r="A252" s="90" t="s">
        <v>70</v>
      </c>
      <c r="B252" s="16">
        <f>B250+B251</f>
        <v>0</v>
      </c>
      <c r="C252" s="16">
        <f>C250+C251</f>
        <v>0</v>
      </c>
      <c r="D252" s="16">
        <f>D250+D251</f>
        <v>0</v>
      </c>
      <c r="E252" s="16">
        <f>E250+E251</f>
        <v>0</v>
      </c>
      <c r="F252" s="16">
        <f>F250+F251</f>
        <v>0</v>
      </c>
    </row>
    <row r="253" spans="1:6" ht="12.75">
      <c r="A253" s="96"/>
      <c r="B253" s="52"/>
      <c r="C253" s="52"/>
      <c r="D253" s="52"/>
      <c r="E253" s="173"/>
      <c r="F253" s="64"/>
    </row>
    <row r="254" spans="1:6" ht="12.75">
      <c r="A254" s="181" t="s">
        <v>138</v>
      </c>
      <c r="B254" s="182"/>
      <c r="C254" s="182"/>
      <c r="D254" s="52"/>
      <c r="E254" s="173"/>
      <c r="F254" s="52"/>
    </row>
    <row r="255" spans="1:6" s="91" customFormat="1" ht="12.75">
      <c r="A255" s="184" t="s">
        <v>99</v>
      </c>
      <c r="B255" s="185">
        <f>B252+B248+B244+B239+B234+B226</f>
        <v>3406</v>
      </c>
      <c r="C255" s="185">
        <f>C252+C248+C244+C239+C234+C226</f>
        <v>140032</v>
      </c>
      <c r="D255" s="185">
        <f>D252+D248+D244+D239+D234+D226</f>
        <v>11000</v>
      </c>
      <c r="E255" s="185">
        <f>E252+E248+E244+E239+E234+E226</f>
        <v>1740</v>
      </c>
      <c r="F255" s="185">
        <f>F252+F248+F244+F239+F234+F226</f>
        <v>37751</v>
      </c>
    </row>
    <row r="256" spans="1:6" ht="12.75">
      <c r="A256" s="217"/>
      <c r="B256" s="196"/>
      <c r="C256" s="196"/>
      <c r="D256" s="69"/>
      <c r="E256" s="109"/>
      <c r="F256" s="69"/>
    </row>
    <row r="257" spans="1:6" ht="12.75">
      <c r="A257" s="220" t="s">
        <v>100</v>
      </c>
      <c r="B257" s="76"/>
      <c r="C257" s="221"/>
      <c r="D257" s="48"/>
      <c r="E257" s="48"/>
      <c r="F257" s="94"/>
    </row>
    <row r="258" spans="1:6" ht="12.75">
      <c r="A258" s="70" t="s">
        <v>73</v>
      </c>
      <c r="B258" s="130">
        <v>0</v>
      </c>
      <c r="C258" s="129">
        <v>0</v>
      </c>
      <c r="D258" s="39">
        <v>0</v>
      </c>
      <c r="E258" s="39">
        <v>0</v>
      </c>
      <c r="F258" s="56">
        <v>0</v>
      </c>
    </row>
    <row r="259" spans="1:6" ht="12.75">
      <c r="A259" s="113" t="s">
        <v>101</v>
      </c>
      <c r="B259" s="197">
        <v>0</v>
      </c>
      <c r="C259" s="189">
        <v>0</v>
      </c>
      <c r="D259" s="58"/>
      <c r="E259" s="58">
        <v>0</v>
      </c>
      <c r="F259" s="59">
        <f>'12_sz_ melléklet'!J11</f>
        <v>8696</v>
      </c>
    </row>
    <row r="260" spans="1:6" s="91" customFormat="1" ht="12.75">
      <c r="A260" s="90" t="s">
        <v>112</v>
      </c>
      <c r="B260" s="16">
        <f>B258+B259</f>
        <v>0</v>
      </c>
      <c r="C260" s="16">
        <f>C258+C259</f>
        <v>0</v>
      </c>
      <c r="D260" s="16">
        <f>D258+D259</f>
        <v>0</v>
      </c>
      <c r="E260" s="16">
        <f>E258+E259</f>
        <v>0</v>
      </c>
      <c r="F260" s="16">
        <f>F258+F259</f>
        <v>8696</v>
      </c>
    </row>
    <row r="261" spans="1:6" ht="12.75">
      <c r="A261" s="194"/>
      <c r="B261" s="64"/>
      <c r="C261" s="39"/>
      <c r="D261" s="67"/>
      <c r="E261" s="104"/>
      <c r="F261" s="64"/>
    </row>
    <row r="262" spans="1:6" s="91" customFormat="1" ht="13.5" thickBot="1">
      <c r="A262" s="132" t="s">
        <v>139</v>
      </c>
      <c r="B262" s="74">
        <f>B255+B260</f>
        <v>3406</v>
      </c>
      <c r="C262" s="74">
        <f>C255+C260</f>
        <v>140032</v>
      </c>
      <c r="D262" s="74">
        <f>D255+D260</f>
        <v>11000</v>
      </c>
      <c r="E262" s="74">
        <f>E255+E260</f>
        <v>1740</v>
      </c>
      <c r="F262" s="74">
        <f>F255+F260</f>
        <v>46447</v>
      </c>
    </row>
    <row r="263" spans="1:6" s="91" customFormat="1" ht="12.75">
      <c r="A263" s="198"/>
      <c r="B263" s="199"/>
      <c r="C263" s="199"/>
      <c r="D263" s="199"/>
      <c r="E263" s="199"/>
      <c r="F263" s="199"/>
    </row>
    <row r="264" spans="1:6" s="91" customFormat="1" ht="12.75">
      <c r="A264" s="198"/>
      <c r="B264" s="199"/>
      <c r="C264" s="199"/>
      <c r="D264" s="199"/>
      <c r="E264" s="199"/>
      <c r="F264" s="199"/>
    </row>
    <row r="265" spans="1:6" s="91" customFormat="1" ht="12.75">
      <c r="A265" s="1016">
        <v>6</v>
      </c>
      <c r="B265" s="1016"/>
      <c r="C265" s="1016"/>
      <c r="D265" s="1016"/>
      <c r="E265" s="1016"/>
      <c r="F265" s="1016"/>
    </row>
    <row r="266" spans="1:6" s="91" customFormat="1" ht="12.75">
      <c r="A266"/>
      <c r="B266"/>
      <c r="C266"/>
      <c r="D266"/>
      <c r="E266"/>
      <c r="F266"/>
    </row>
    <row r="267" spans="1:6" s="91" customFormat="1" ht="14.25">
      <c r="A267" s="1015" t="s">
        <v>147</v>
      </c>
      <c r="B267" s="1015"/>
      <c r="C267" s="1015"/>
      <c r="D267" s="1015"/>
      <c r="E267" s="1015"/>
      <c r="F267"/>
    </row>
    <row r="268" spans="1:6" s="91" customFormat="1" ht="15.75">
      <c r="A268" s="1014" t="s">
        <v>123</v>
      </c>
      <c r="B268" s="1014"/>
      <c r="C268" s="1014"/>
      <c r="D268" s="1014"/>
      <c r="E268" s="1014"/>
      <c r="F268" s="1014"/>
    </row>
    <row r="269" spans="1:6" s="91" customFormat="1" ht="15.75">
      <c r="A269" s="1014" t="s">
        <v>124</v>
      </c>
      <c r="B269" s="1014"/>
      <c r="C269" s="1014"/>
      <c r="D269" s="1014"/>
      <c r="E269" s="1014"/>
      <c r="F269" s="1014"/>
    </row>
    <row r="270" spans="1:6" s="91" customFormat="1" ht="13.5" thickBot="1">
      <c r="A270"/>
      <c r="B270"/>
      <c r="C270"/>
      <c r="D270"/>
      <c r="E270" s="31" t="s">
        <v>80</v>
      </c>
      <c r="F270"/>
    </row>
    <row r="271" spans="1:6" s="91" customFormat="1" ht="37.5" thickBot="1">
      <c r="A271" s="32" t="s">
        <v>125</v>
      </c>
      <c r="B271" s="200" t="s">
        <v>1147</v>
      </c>
      <c r="C271" s="192"/>
      <c r="D271" s="176"/>
      <c r="E271" s="176"/>
      <c r="F271" s="214"/>
    </row>
    <row r="272" spans="1:6" s="91" customFormat="1" ht="12.75">
      <c r="A272" s="44" t="s">
        <v>42</v>
      </c>
      <c r="B272" s="69"/>
      <c r="C272" s="69"/>
      <c r="D272" s="69"/>
      <c r="E272" s="166"/>
      <c r="F272" s="69"/>
    </row>
    <row r="273" spans="1:6" s="91" customFormat="1" ht="12.75">
      <c r="A273" s="121" t="s">
        <v>43</v>
      </c>
      <c r="B273" s="48">
        <f>1500+90</f>
        <v>1590</v>
      </c>
      <c r="C273" s="39"/>
      <c r="D273" s="48"/>
      <c r="E273" s="49"/>
      <c r="F273" s="39"/>
    </row>
    <row r="274" spans="1:6" s="91" customFormat="1" ht="12.75">
      <c r="A274" s="19" t="s">
        <v>44</v>
      </c>
      <c r="B274" s="48">
        <f>435+44+26+4</f>
        <v>509</v>
      </c>
      <c r="C274" s="39"/>
      <c r="D274" s="48"/>
      <c r="E274" s="49"/>
      <c r="F274" s="39"/>
    </row>
    <row r="275" spans="1:6" s="91" customFormat="1" ht="12.75">
      <c r="A275" s="19" t="s">
        <v>45</v>
      </c>
      <c r="B275" s="48">
        <f>1353+51</f>
        <v>1404</v>
      </c>
      <c r="C275" s="39"/>
      <c r="D275" s="48"/>
      <c r="E275" s="49"/>
      <c r="F275" s="39"/>
    </row>
    <row r="276" spans="1:6" s="91" customFormat="1" ht="12.75">
      <c r="A276" s="19" t="s">
        <v>166</v>
      </c>
      <c r="B276" s="48"/>
      <c r="C276" s="39"/>
      <c r="D276" s="48"/>
      <c r="E276" s="49"/>
      <c r="F276" s="39"/>
    </row>
    <row r="277" spans="1:6" s="91" customFormat="1" ht="12.75">
      <c r="A277" s="19" t="s">
        <v>47</v>
      </c>
      <c r="B277" s="48">
        <v>0</v>
      </c>
      <c r="C277" s="39"/>
      <c r="D277" s="48"/>
      <c r="E277" s="49"/>
      <c r="F277" s="39"/>
    </row>
    <row r="278" spans="1:6" s="91" customFormat="1" ht="12.75">
      <c r="A278" s="8" t="s">
        <v>48</v>
      </c>
      <c r="B278" s="48">
        <v>0</v>
      </c>
      <c r="C278" s="39"/>
      <c r="D278" s="48"/>
      <c r="E278" s="49"/>
      <c r="F278" s="39"/>
    </row>
    <row r="279" spans="1:6" s="91" customFormat="1" ht="13.5" thickBot="1">
      <c r="A279" s="122" t="s">
        <v>154</v>
      </c>
      <c r="B279" s="48"/>
      <c r="C279" s="39"/>
      <c r="D279" s="39"/>
      <c r="E279" s="39"/>
      <c r="F279" s="39"/>
    </row>
    <row r="280" spans="1:6" s="91" customFormat="1" ht="13.5" thickBot="1">
      <c r="A280" s="43" t="s">
        <v>133</v>
      </c>
      <c r="B280" s="16">
        <f>SUM(B273:B278)</f>
        <v>3503</v>
      </c>
      <c r="C280" s="16">
        <f>SUM(C273:C278)</f>
        <v>0</v>
      </c>
      <c r="D280" s="16">
        <f>SUM(D273:D278)</f>
        <v>0</v>
      </c>
      <c r="E280" s="16">
        <f>SUM(E273:E278)</f>
        <v>0</v>
      </c>
      <c r="F280" s="16">
        <f>SUM(F273:F278)</f>
        <v>0</v>
      </c>
    </row>
    <row r="281" spans="1:6" s="91" customFormat="1" ht="12.75">
      <c r="A281" s="93"/>
      <c r="B281" s="69"/>
      <c r="C281" s="110"/>
      <c r="D281" s="69"/>
      <c r="E281" s="166"/>
      <c r="F281" s="48"/>
    </row>
    <row r="282" spans="1:6" s="91" customFormat="1" ht="12.75">
      <c r="A282" s="47" t="s">
        <v>51</v>
      </c>
      <c r="B282" s="48"/>
      <c r="C282" s="94"/>
      <c r="D282" s="48"/>
      <c r="E282" s="131"/>
      <c r="F282" s="39"/>
    </row>
    <row r="283" spans="1:6" s="91" customFormat="1" ht="12.75">
      <c r="A283" s="19" t="s">
        <v>52</v>
      </c>
      <c r="B283" s="48"/>
      <c r="C283" s="56"/>
      <c r="D283" s="48"/>
      <c r="E283" s="131"/>
      <c r="F283" s="39"/>
    </row>
    <row r="284" spans="1:6" s="91" customFormat="1" ht="12.75">
      <c r="A284" s="19" t="s">
        <v>53</v>
      </c>
      <c r="B284" s="48"/>
      <c r="C284" s="56"/>
      <c r="D284" s="48"/>
      <c r="E284" s="131"/>
      <c r="F284" s="39"/>
    </row>
    <row r="285" spans="1:6" s="91" customFormat="1" ht="12.75">
      <c r="A285" s="19" t="s">
        <v>54</v>
      </c>
      <c r="B285" s="48"/>
      <c r="C285" s="56"/>
      <c r="D285" s="48"/>
      <c r="E285" s="131"/>
      <c r="F285" s="39"/>
    </row>
    <row r="286" spans="1:6" s="91" customFormat="1" ht="13.5" thickBot="1">
      <c r="A286" s="179" t="s">
        <v>111</v>
      </c>
      <c r="B286" s="48"/>
      <c r="C286" s="48"/>
      <c r="D286" s="48"/>
      <c r="E286" s="48"/>
      <c r="F286" s="48"/>
    </row>
    <row r="287" spans="1:6" s="91" customFormat="1" ht="13.5" thickBot="1">
      <c r="A287" s="194"/>
      <c r="B287" s="64"/>
      <c r="C287" s="53"/>
      <c r="D287" s="64"/>
      <c r="E287" s="51"/>
      <c r="F287" s="58"/>
    </row>
    <row r="288" spans="1:6" s="91" customFormat="1" ht="13.5" thickBot="1">
      <c r="A288" s="43" t="s">
        <v>91</v>
      </c>
      <c r="B288" s="16">
        <f>B283+B284+B285+B286</f>
        <v>0</v>
      </c>
      <c r="C288" s="16">
        <f>C283+C284+C285+C286</f>
        <v>0</v>
      </c>
      <c r="D288" s="16">
        <f>D283+D284+D285+D286</f>
        <v>0</v>
      </c>
      <c r="E288" s="16">
        <f>E283+E284+E285+E286</f>
        <v>0</v>
      </c>
      <c r="F288" s="16">
        <f>F283+F284+F285+F286</f>
        <v>0</v>
      </c>
    </row>
    <row r="289" spans="1:6" s="91" customFormat="1" ht="12.75">
      <c r="A289" s="96"/>
      <c r="B289" s="64"/>
      <c r="C289" s="51"/>
      <c r="D289" s="64"/>
      <c r="E289" s="53"/>
      <c r="F289" s="64"/>
    </row>
    <row r="290" spans="1:6" s="91" customFormat="1" ht="12.75">
      <c r="A290" s="96" t="s">
        <v>57</v>
      </c>
      <c r="B290" s="64"/>
      <c r="C290" s="51"/>
      <c r="D290" s="64"/>
      <c r="E290" s="53"/>
      <c r="F290" s="64"/>
    </row>
    <row r="291" spans="1:6" s="91" customFormat="1" ht="12.75">
      <c r="A291" s="180" t="s">
        <v>58</v>
      </c>
      <c r="B291" s="39"/>
      <c r="C291" s="55"/>
      <c r="D291" s="39"/>
      <c r="E291" s="56"/>
      <c r="F291" s="39"/>
    </row>
    <row r="292" spans="1:6" s="91" customFormat="1" ht="13.5" thickBot="1">
      <c r="A292" s="125" t="s">
        <v>59</v>
      </c>
      <c r="B292" s="64"/>
      <c r="C292" s="51"/>
      <c r="D292" s="64"/>
      <c r="E292" s="53"/>
      <c r="F292" s="58"/>
    </row>
    <row r="293" spans="1:6" s="91" customFormat="1" ht="13.5" thickBot="1">
      <c r="A293" s="43" t="s">
        <v>134</v>
      </c>
      <c r="B293" s="16">
        <f>B291+B292</f>
        <v>0</v>
      </c>
      <c r="C293" s="16">
        <f>C291+C292</f>
        <v>0</v>
      </c>
      <c r="D293" s="16">
        <f>D291+D292</f>
        <v>0</v>
      </c>
      <c r="E293" s="16">
        <f>E291+E292</f>
        <v>0</v>
      </c>
      <c r="F293" s="16">
        <f>F291+F292</f>
        <v>0</v>
      </c>
    </row>
    <row r="294" spans="1:6" s="91" customFormat="1" ht="12.75">
      <c r="A294" s="96"/>
      <c r="B294" s="64"/>
      <c r="C294" s="51"/>
      <c r="D294" s="64"/>
      <c r="E294" s="64"/>
      <c r="F294" s="53"/>
    </row>
    <row r="295" spans="1:6" s="91" customFormat="1" ht="12.75">
      <c r="A295" s="62" t="s">
        <v>94</v>
      </c>
      <c r="B295" s="48"/>
      <c r="C295" s="131"/>
      <c r="D295" s="48"/>
      <c r="E295" s="48"/>
      <c r="F295" s="94"/>
    </row>
    <row r="296" spans="1:6" s="91" customFormat="1" ht="12.75">
      <c r="A296" s="54" t="s">
        <v>58</v>
      </c>
      <c r="B296" s="48"/>
      <c r="C296" s="48"/>
      <c r="D296" s="48"/>
      <c r="E296" s="48"/>
      <c r="F296" s="56"/>
    </row>
    <row r="297" spans="1:6" s="91" customFormat="1" ht="13.5" thickBot="1">
      <c r="A297" s="126" t="s">
        <v>59</v>
      </c>
      <c r="B297" s="64"/>
      <c r="C297" s="51"/>
      <c r="D297" s="64"/>
      <c r="E297" s="64"/>
      <c r="F297" s="59"/>
    </row>
    <row r="298" spans="1:6" s="91" customFormat="1" ht="13.5" thickBot="1">
      <c r="A298" s="43" t="s">
        <v>95</v>
      </c>
      <c r="B298" s="16">
        <f>B296+B297</f>
        <v>0</v>
      </c>
      <c r="C298" s="16">
        <f>C296+C297</f>
        <v>0</v>
      </c>
      <c r="D298" s="16">
        <f>D296+D297</f>
        <v>0</v>
      </c>
      <c r="E298" s="16">
        <f>E296+E297</f>
        <v>0</v>
      </c>
      <c r="F298" s="16">
        <f>F296+F297</f>
        <v>0</v>
      </c>
    </row>
    <row r="299" spans="1:6" s="91" customFormat="1" ht="12.75">
      <c r="A299" s="44" t="s">
        <v>63</v>
      </c>
      <c r="B299" s="48"/>
      <c r="C299" s="48"/>
      <c r="D299" s="48"/>
      <c r="E299" s="131"/>
      <c r="F299" s="48"/>
    </row>
    <row r="300" spans="1:6" s="91" customFormat="1" ht="12.75">
      <c r="A300" s="57" t="s">
        <v>96</v>
      </c>
      <c r="B300" s="64"/>
      <c r="C300" s="64"/>
      <c r="D300" s="64"/>
      <c r="E300" s="51"/>
      <c r="F300" s="39"/>
    </row>
    <row r="301" spans="1:6" s="91" customFormat="1" ht="13.5" thickBot="1">
      <c r="A301" s="8" t="s">
        <v>135</v>
      </c>
      <c r="B301" s="39"/>
      <c r="C301" s="39"/>
      <c r="D301" s="39"/>
      <c r="E301" s="55"/>
      <c r="F301" s="58"/>
    </row>
    <row r="302" spans="1:6" s="91" customFormat="1" ht="13.5" thickBot="1">
      <c r="A302" s="43" t="s">
        <v>98</v>
      </c>
      <c r="B302" s="16">
        <f>B300+B301</f>
        <v>0</v>
      </c>
      <c r="C302" s="16">
        <f>C300+C301</f>
        <v>0</v>
      </c>
      <c r="D302" s="16">
        <f>D300+D301</f>
        <v>0</v>
      </c>
      <c r="E302" s="16">
        <f>E300+E301</f>
        <v>0</v>
      </c>
      <c r="F302" s="16">
        <f>F300+F301</f>
        <v>0</v>
      </c>
    </row>
    <row r="303" spans="1:6" s="91" customFormat="1" ht="12.75">
      <c r="A303" s="47" t="s">
        <v>67</v>
      </c>
      <c r="B303" s="109"/>
      <c r="C303" s="69"/>
      <c r="D303" s="166"/>
      <c r="E303" s="109"/>
      <c r="F303" s="48"/>
    </row>
    <row r="304" spans="1:6" s="91" customFormat="1" ht="12.75">
      <c r="A304" s="38" t="s">
        <v>136</v>
      </c>
      <c r="B304" s="131"/>
      <c r="C304" s="48"/>
      <c r="D304" s="49"/>
      <c r="E304" s="131"/>
      <c r="F304" s="39"/>
    </row>
    <row r="305" spans="1:6" s="91" customFormat="1" ht="13.5" thickBot="1">
      <c r="A305" s="38" t="s">
        <v>137</v>
      </c>
      <c r="B305" s="55"/>
      <c r="C305" s="39"/>
      <c r="D305" s="40"/>
      <c r="E305" s="55"/>
      <c r="F305" s="39"/>
    </row>
    <row r="306" spans="1:6" s="91" customFormat="1" ht="13.5" thickBot="1">
      <c r="A306" s="90" t="s">
        <v>70</v>
      </c>
      <c r="B306" s="16">
        <f>B304+B305</f>
        <v>0</v>
      </c>
      <c r="C306" s="16">
        <f>C304+C305</f>
        <v>0</v>
      </c>
      <c r="D306" s="16">
        <f>D304+D305</f>
        <v>0</v>
      </c>
      <c r="E306" s="16">
        <f>E304+E305</f>
        <v>0</v>
      </c>
      <c r="F306" s="16">
        <f>F304+F305</f>
        <v>0</v>
      </c>
    </row>
    <row r="307" spans="1:6" s="91" customFormat="1" ht="13.5" thickBot="1">
      <c r="A307" s="96"/>
      <c r="B307" s="52"/>
      <c r="C307" s="52"/>
      <c r="D307" s="52"/>
      <c r="E307" s="173"/>
      <c r="F307" s="64"/>
    </row>
    <row r="308" spans="1:6" s="91" customFormat="1" ht="12.75">
      <c r="A308" s="181" t="s">
        <v>138</v>
      </c>
      <c r="B308" s="182"/>
      <c r="C308" s="182"/>
      <c r="D308" s="52"/>
      <c r="E308" s="173"/>
      <c r="F308" s="52"/>
    </row>
    <row r="309" spans="1:6" s="91" customFormat="1" ht="13.5" thickBot="1">
      <c r="A309" s="184" t="s">
        <v>99</v>
      </c>
      <c r="B309" s="185">
        <f>B306+B302+B298+B293+B288+B280</f>
        <v>3503</v>
      </c>
      <c r="C309" s="185">
        <f>C306+C302+C298+C293+C288+C280</f>
        <v>0</v>
      </c>
      <c r="D309" s="185">
        <f>D306+D302+D298+D293+D288+D280</f>
        <v>0</v>
      </c>
      <c r="E309" s="185">
        <f>E306+E302+E298+E293+E288+E280</f>
        <v>0</v>
      </c>
      <c r="F309" s="185">
        <f>F306+F302+F298+F293+F288+F280</f>
        <v>0</v>
      </c>
    </row>
    <row r="310" spans="1:6" s="91" customFormat="1" ht="12.75">
      <c r="A310" s="217"/>
      <c r="B310" s="196"/>
      <c r="C310" s="196"/>
      <c r="D310" s="69"/>
      <c r="E310" s="109"/>
      <c r="F310" s="69"/>
    </row>
    <row r="311" spans="1:6" s="91" customFormat="1" ht="12.75">
      <c r="A311" s="220" t="s">
        <v>100</v>
      </c>
      <c r="B311" s="76"/>
      <c r="C311" s="221"/>
      <c r="D311" s="48"/>
      <c r="E311" s="48"/>
      <c r="F311" s="94"/>
    </row>
    <row r="312" spans="1:6" s="91" customFormat="1" ht="12.75">
      <c r="A312" s="70" t="s">
        <v>73</v>
      </c>
      <c r="B312" s="130"/>
      <c r="C312" s="129"/>
      <c r="D312" s="39"/>
      <c r="E312" s="39"/>
      <c r="F312" s="56"/>
    </row>
    <row r="313" spans="1:6" s="91" customFormat="1" ht="13.5" thickBot="1">
      <c r="A313" s="113" t="s">
        <v>101</v>
      </c>
      <c r="B313" s="197"/>
      <c r="C313" s="189"/>
      <c r="D313" s="58"/>
      <c r="E313" s="58"/>
      <c r="F313" s="59"/>
    </row>
    <row r="314" spans="1:6" s="91" customFormat="1" ht="13.5" thickBot="1">
      <c r="A314" s="90" t="s">
        <v>112</v>
      </c>
      <c r="B314" s="16">
        <f>B312+B313</f>
        <v>0</v>
      </c>
      <c r="C314" s="16">
        <f>C312+C313</f>
        <v>0</v>
      </c>
      <c r="D314" s="16">
        <f>D312+D313</f>
        <v>0</v>
      </c>
      <c r="E314" s="16">
        <f>E312+E313</f>
        <v>0</v>
      </c>
      <c r="F314" s="16">
        <f>F312+F313</f>
        <v>0</v>
      </c>
    </row>
    <row r="315" spans="1:6" s="91" customFormat="1" ht="13.5" thickBot="1">
      <c r="A315" s="194"/>
      <c r="B315" s="64"/>
      <c r="C315" s="39"/>
      <c r="D315" s="67"/>
      <c r="E315" s="104"/>
      <c r="F315" s="64"/>
    </row>
    <row r="316" spans="1:6" s="91" customFormat="1" ht="13.5" thickBot="1">
      <c r="A316" s="132" t="s">
        <v>139</v>
      </c>
      <c r="B316" s="74">
        <f>B309+B314</f>
        <v>3503</v>
      </c>
      <c r="C316" s="74">
        <f>C309+C314</f>
        <v>0</v>
      </c>
      <c r="D316" s="74">
        <f>D309+D314</f>
        <v>0</v>
      </c>
      <c r="E316" s="74">
        <f>E309+E314</f>
        <v>0</v>
      </c>
      <c r="F316" s="74">
        <f>F309+F314</f>
        <v>0</v>
      </c>
    </row>
    <row r="317" spans="1:6" ht="12.75">
      <c r="A317" s="1016">
        <v>7</v>
      </c>
      <c r="B317" s="1016"/>
      <c r="C317" s="1016"/>
      <c r="D317" s="1016"/>
      <c r="E317" s="1016"/>
      <c r="F317" s="1016"/>
    </row>
    <row r="319" spans="1:5" ht="14.25">
      <c r="A319" s="1015" t="s">
        <v>122</v>
      </c>
      <c r="B319" s="1015"/>
      <c r="C319" s="1015"/>
      <c r="D319" s="1015"/>
      <c r="E319" s="1015"/>
    </row>
    <row r="320" spans="1:6" ht="15.75">
      <c r="A320" s="1014" t="s">
        <v>123</v>
      </c>
      <c r="B320" s="1014"/>
      <c r="C320" s="1014"/>
      <c r="D320" s="1014"/>
      <c r="E320" s="1014"/>
      <c r="F320" s="1014"/>
    </row>
    <row r="321" spans="1:6" ht="15.75">
      <c r="A321" s="1014" t="s">
        <v>124</v>
      </c>
      <c r="B321" s="1014"/>
      <c r="C321" s="1014"/>
      <c r="D321" s="1014"/>
      <c r="E321" s="1014"/>
      <c r="F321" s="1014"/>
    </row>
    <row r="322" ht="13.5" thickBot="1">
      <c r="E322" s="31" t="s">
        <v>80</v>
      </c>
    </row>
    <row r="323" spans="1:6" ht="51.75" customHeight="1" thickBot="1">
      <c r="A323" s="32" t="s">
        <v>81</v>
      </c>
      <c r="B323" s="176" t="s">
        <v>167</v>
      </c>
      <c r="C323" s="222" t="s">
        <v>168</v>
      </c>
      <c r="D323" s="214" t="s">
        <v>169</v>
      </c>
      <c r="E323" s="223" t="s">
        <v>170</v>
      </c>
      <c r="F323" s="224" t="s">
        <v>171</v>
      </c>
    </row>
    <row r="324" spans="1:6" ht="12.75">
      <c r="A324" s="44" t="s">
        <v>42</v>
      </c>
      <c r="B324" s="69"/>
      <c r="C324" s="69"/>
      <c r="D324" s="69"/>
      <c r="E324" s="166"/>
      <c r="F324" s="69"/>
    </row>
    <row r="325" spans="1:6" ht="12.75">
      <c r="A325" s="121" t="s">
        <v>43</v>
      </c>
      <c r="B325" s="48">
        <f aca="true" t="shared" si="1" ref="B325:B331">F219+E219+D219+C219+B219+B164+C164+D164+E164+F164+B112+C112+D112+E112+F112+B58+C58+D58+E58+F58+B7+C7+D7+E7+F7+B273</f>
        <v>397379</v>
      </c>
      <c r="C325" s="39"/>
      <c r="D325" s="48">
        <f>SUM(B325:C325)</f>
        <v>397379</v>
      </c>
      <c r="E325" s="49">
        <f>'1_c_sz_ melléklet'!F63</f>
        <v>1055579</v>
      </c>
      <c r="F325" s="39">
        <f>SUM(D325:E325)</f>
        <v>1452958</v>
      </c>
    </row>
    <row r="326" spans="1:6" ht="12.75">
      <c r="A326" s="19" t="s">
        <v>44</v>
      </c>
      <c r="B326" s="48">
        <f t="shared" si="1"/>
        <v>138913</v>
      </c>
      <c r="C326" s="39"/>
      <c r="D326" s="48">
        <f aca="true" t="shared" si="2" ref="D326:D331">SUM(B326:C326)</f>
        <v>138913</v>
      </c>
      <c r="E326" s="49">
        <f>'1_c_sz_ melléklet'!F64</f>
        <v>331018</v>
      </c>
      <c r="F326" s="39">
        <f aca="true" t="shared" si="3" ref="F326:F331">SUM(D326:E326)</f>
        <v>469931</v>
      </c>
    </row>
    <row r="327" spans="1:6" ht="12.75">
      <c r="A327" s="19" t="s">
        <v>45</v>
      </c>
      <c r="B327" s="48">
        <f t="shared" si="1"/>
        <v>480828</v>
      </c>
      <c r="C327" s="39"/>
      <c r="D327" s="48">
        <f t="shared" si="2"/>
        <v>480828</v>
      </c>
      <c r="E327" s="49">
        <f>'1_c_sz_ melléklet'!F65</f>
        <v>398115</v>
      </c>
      <c r="F327" s="39">
        <f t="shared" si="3"/>
        <v>878943</v>
      </c>
    </row>
    <row r="328" spans="1:6" ht="12.75">
      <c r="A328" s="19" t="s">
        <v>172</v>
      </c>
      <c r="B328" s="48">
        <f t="shared" si="1"/>
        <v>-120152</v>
      </c>
      <c r="C328" s="39"/>
      <c r="D328" s="48">
        <f t="shared" si="2"/>
        <v>-120152</v>
      </c>
      <c r="E328" s="49">
        <v>0</v>
      </c>
      <c r="F328" s="39">
        <f t="shared" si="3"/>
        <v>-120152</v>
      </c>
    </row>
    <row r="329" spans="1:6" ht="12.75">
      <c r="A329" s="19" t="s">
        <v>47</v>
      </c>
      <c r="B329" s="48">
        <f t="shared" si="1"/>
        <v>0</v>
      </c>
      <c r="C329" s="39"/>
      <c r="D329" s="48">
        <f t="shared" si="2"/>
        <v>0</v>
      </c>
      <c r="E329" s="49">
        <v>358</v>
      </c>
      <c r="F329" s="39">
        <f t="shared" si="3"/>
        <v>358</v>
      </c>
    </row>
    <row r="330" spans="1:6" ht="12.75">
      <c r="A330" s="8" t="s">
        <v>48</v>
      </c>
      <c r="B330" s="48">
        <f t="shared" si="1"/>
        <v>258002</v>
      </c>
      <c r="C330" s="39"/>
      <c r="D330" s="48">
        <f t="shared" si="2"/>
        <v>258002</v>
      </c>
      <c r="E330" s="49"/>
      <c r="F330" s="39">
        <f t="shared" si="3"/>
        <v>258002</v>
      </c>
    </row>
    <row r="331" spans="1:6" ht="13.5" thickBot="1">
      <c r="A331" s="122" t="s">
        <v>173</v>
      </c>
      <c r="B331" s="48">
        <f t="shared" si="1"/>
        <v>258002</v>
      </c>
      <c r="C331" s="39"/>
      <c r="D331" s="48">
        <f t="shared" si="2"/>
        <v>258002</v>
      </c>
      <c r="E331" s="40"/>
      <c r="F331" s="39">
        <f t="shared" si="3"/>
        <v>258002</v>
      </c>
    </row>
    <row r="332" spans="1:6" s="91" customFormat="1" ht="13.5" thickBot="1">
      <c r="A332" s="43" t="s">
        <v>133</v>
      </c>
      <c r="B332" s="16">
        <f>SUM(B325:B330)</f>
        <v>1154970</v>
      </c>
      <c r="C332" s="16">
        <f>SUM(C325:C330)</f>
        <v>0</v>
      </c>
      <c r="D332" s="16">
        <f>SUM(D325:D330)</f>
        <v>1154970</v>
      </c>
      <c r="E332" s="16">
        <f>SUM(E325:E330)</f>
        <v>1785070</v>
      </c>
      <c r="F332" s="16">
        <f>SUM(F325:F330)</f>
        <v>2940040</v>
      </c>
    </row>
    <row r="333" spans="1:6" ht="8.25" customHeight="1">
      <c r="A333" s="93"/>
      <c r="B333" s="52"/>
      <c r="C333" s="110"/>
      <c r="D333" s="69"/>
      <c r="E333" s="166"/>
      <c r="F333" s="48"/>
    </row>
    <row r="334" spans="1:6" ht="12.75">
      <c r="A334" s="41" t="s">
        <v>51</v>
      </c>
      <c r="B334" s="39"/>
      <c r="C334" s="56"/>
      <c r="D334" s="39"/>
      <c r="E334" s="55"/>
      <c r="F334" s="39"/>
    </row>
    <row r="335" spans="1:6" ht="12.75">
      <c r="A335" s="19" t="s">
        <v>52</v>
      </c>
      <c r="B335" s="48">
        <f>F229+E229+D229+C229+B229+F174+E174+D174+C174+B174+F122+E122+D122+C122+B122+F68+E68+D68+C68+B68+F16+E16+D16+C16+B16+B283</f>
        <v>246892</v>
      </c>
      <c r="C335" s="56"/>
      <c r="D335" s="39">
        <f>SUM(B335:C335)</f>
        <v>246892</v>
      </c>
      <c r="E335" s="131">
        <f>'1_c_sz_ melléklet'!F74</f>
        <v>7420</v>
      </c>
      <c r="F335" s="39">
        <f>SUM(D335:E335)</f>
        <v>254312</v>
      </c>
    </row>
    <row r="336" spans="1:6" ht="12.75">
      <c r="A336" s="19" t="s">
        <v>53</v>
      </c>
      <c r="B336" s="48">
        <f>F230+E230+D230+C230+B230+F175+E175+D175+C175+B175+F123+E123+D123+C123+B123+F69+E69+D69+C69+B69+F17+E17+D17+C17+B17+B284</f>
        <v>49233</v>
      </c>
      <c r="C336" s="56"/>
      <c r="D336" s="39">
        <f>SUM(B336:C336)</f>
        <v>49233</v>
      </c>
      <c r="E336" s="131">
        <f>'1_c_sz_ melléklet'!F75</f>
        <v>2400</v>
      </c>
      <c r="F336" s="39">
        <f>SUM(D336:E336)</f>
        <v>51633</v>
      </c>
    </row>
    <row r="337" spans="1:6" ht="12.75">
      <c r="A337" s="19" t="s">
        <v>54</v>
      </c>
      <c r="B337" s="48">
        <f>F231+E231+D231+C231+B231+F176+E176+D176+C176+B176+F124+E124+D124+C124+B124+F70+E70+D70+C70+B70+F18+E18+D18+C18+B18+B285</f>
        <v>1500</v>
      </c>
      <c r="C337" s="56"/>
      <c r="D337" s="39">
        <f>SUM(B337:C337)</f>
        <v>1500</v>
      </c>
      <c r="E337" s="131">
        <f>'1_c_sz_ melléklet'!F76</f>
        <v>0</v>
      </c>
      <c r="F337" s="39">
        <f>SUM(D337:E337)</f>
        <v>1500</v>
      </c>
    </row>
    <row r="338" spans="1:6" ht="13.5" thickBot="1">
      <c r="A338" s="179" t="s">
        <v>111</v>
      </c>
      <c r="B338" s="48">
        <f>F232+E232+D232+C232+B232+F177+E177+D177+C177+B177+F125+E125+D125+C125+B125+F71+E71+D71+C71+B71+F19+E19+D19+C19+B19</f>
        <v>120152</v>
      </c>
      <c r="C338" s="48"/>
      <c r="D338" s="39">
        <f>SUM(B338:C338)</f>
        <v>120152</v>
      </c>
      <c r="E338" s="131">
        <f>'1_c_sz_ melléklet'!F77</f>
        <v>0</v>
      </c>
      <c r="F338" s="39">
        <f>SUM(D338:E338)</f>
        <v>120152</v>
      </c>
    </row>
    <row r="339" spans="1:6" ht="9" customHeight="1" thickBot="1">
      <c r="A339" s="194"/>
      <c r="B339" s="64"/>
      <c r="C339" s="53"/>
      <c r="D339" s="64"/>
      <c r="E339" s="51"/>
      <c r="F339" s="58"/>
    </row>
    <row r="340" spans="1:6" s="91" customFormat="1" ht="13.5" thickBot="1">
      <c r="A340" s="43" t="s">
        <v>91</v>
      </c>
      <c r="B340" s="16">
        <f>SUM(B335:B338)</f>
        <v>417777</v>
      </c>
      <c r="C340" s="16">
        <f>SUM(C335:C338)</f>
        <v>0</v>
      </c>
      <c r="D340" s="16">
        <f>SUM(D335:D338)</f>
        <v>417777</v>
      </c>
      <c r="E340" s="16">
        <f>SUM(E335:E338)</f>
        <v>9820</v>
      </c>
      <c r="F340" s="16">
        <f>SUM(F335:F338)</f>
        <v>427597</v>
      </c>
    </row>
    <row r="341" spans="1:6" ht="7.5" customHeight="1">
      <c r="A341" s="96"/>
      <c r="B341" s="64"/>
      <c r="C341" s="51"/>
      <c r="D341" s="64"/>
      <c r="E341" s="53"/>
      <c r="F341" s="64"/>
    </row>
    <row r="342" spans="1:6" ht="12.75">
      <c r="A342" s="96" t="s">
        <v>57</v>
      </c>
      <c r="B342" s="64"/>
      <c r="C342" s="51"/>
      <c r="D342" s="64"/>
      <c r="E342" s="53"/>
      <c r="F342" s="64"/>
    </row>
    <row r="343" spans="1:6" ht="12.75">
      <c r="A343" s="180" t="s">
        <v>58</v>
      </c>
      <c r="B343" s="39">
        <f>F237+E237+D237+C237+B237+F182+E182+D182+C182+B182+F130+E130+D130+C130+B130+F76+E76+D76+C76+B76+F23+E23+D23+C23+B23</f>
        <v>36940</v>
      </c>
      <c r="C343" s="55"/>
      <c r="D343" s="39">
        <f>SUM(B343:C343)</f>
        <v>36940</v>
      </c>
      <c r="E343" s="56">
        <f>'1_c_sz_ melléklet'!F82</f>
        <v>0</v>
      </c>
      <c r="F343" s="39">
        <f>SUM(D343:E343)</f>
        <v>36940</v>
      </c>
    </row>
    <row r="344" spans="1:6" ht="13.5" thickBot="1">
      <c r="A344" s="125" t="s">
        <v>59</v>
      </c>
      <c r="B344" s="39">
        <f>F238+E238+D238+C238+B238+F183+E183+D183+C183+B183+F131+E131+D131+C131+B131+F77+E77+D77+C77+B77+F24+E24+D24+C24+B24</f>
        <v>0</v>
      </c>
      <c r="C344" s="51">
        <v>0</v>
      </c>
      <c r="D344" s="39">
        <f>SUM(B344:C344)</f>
        <v>0</v>
      </c>
      <c r="E344" s="56">
        <f>'1_c_sz_ melléklet'!F83</f>
        <v>0</v>
      </c>
      <c r="F344" s="39">
        <f>SUM(D344:E344)</f>
        <v>0</v>
      </c>
    </row>
    <row r="345" spans="1:6" s="91" customFormat="1" ht="13.5" thickBot="1">
      <c r="A345" s="43" t="s">
        <v>134</v>
      </c>
      <c r="B345" s="16">
        <f>B343+B344</f>
        <v>36940</v>
      </c>
      <c r="C345" s="16">
        <f>C343+C344</f>
        <v>0</v>
      </c>
      <c r="D345" s="16">
        <f>D343+D344</f>
        <v>36940</v>
      </c>
      <c r="E345" s="16">
        <f>E343+E344</f>
        <v>0</v>
      </c>
      <c r="F345" s="16">
        <f>F343+F344</f>
        <v>36940</v>
      </c>
    </row>
    <row r="346" spans="1:6" ht="6" customHeight="1">
      <c r="A346" s="96"/>
      <c r="B346" s="64"/>
      <c r="C346" s="51"/>
      <c r="D346" s="64"/>
      <c r="E346" s="64"/>
      <c r="F346" s="53"/>
    </row>
    <row r="347" spans="1:6" ht="12.75">
      <c r="A347" s="62" t="s">
        <v>94</v>
      </c>
      <c r="B347" s="48"/>
      <c r="C347" s="131"/>
      <c r="D347" s="48"/>
      <c r="E347" s="48"/>
      <c r="F347" s="94"/>
    </row>
    <row r="348" spans="1:6" ht="12.75">
      <c r="A348" s="54" t="s">
        <v>58</v>
      </c>
      <c r="B348" s="48">
        <f>F242+E242+D242+C242+B242+F187+E187+D187+C187+B187+F135+E135+D135+C135+B135+F81+E81+D81+C81+B81+F28+E28+D28+C28+B28</f>
        <v>169624</v>
      </c>
      <c r="C348" s="131"/>
      <c r="D348" s="48">
        <f>SUM(B348:C348)</f>
        <v>169624</v>
      </c>
      <c r="E348" s="48">
        <f>'1_c_sz_ melléklet'!F87</f>
        <v>0</v>
      </c>
      <c r="F348" s="39">
        <f>SUM(D348:E348)</f>
        <v>169624</v>
      </c>
    </row>
    <row r="349" spans="1:6" ht="13.5" thickBot="1">
      <c r="A349" s="126" t="s">
        <v>59</v>
      </c>
      <c r="B349" s="48">
        <f>F243+E243+D243+C243+B243+F188+E188+D188+C188+B188+F136+E136+D136+C136+B136+F82+E82+D82+C82+B82+F29+E29+D29+C29+B29</f>
        <v>70276</v>
      </c>
      <c r="C349" s="51"/>
      <c r="D349" s="48">
        <f>SUM(B349:C349)</f>
        <v>70276</v>
      </c>
      <c r="E349" s="48">
        <f>'1_c_sz_ melléklet'!F88</f>
        <v>0</v>
      </c>
      <c r="F349" s="39">
        <f>SUM(D349:E349)</f>
        <v>70276</v>
      </c>
    </row>
    <row r="350" spans="1:6" s="91" customFormat="1" ht="13.5" thickBot="1">
      <c r="A350" s="43" t="s">
        <v>95</v>
      </c>
      <c r="B350" s="16">
        <f>B348+B349</f>
        <v>239900</v>
      </c>
      <c r="C350" s="16">
        <f>C348+C349</f>
        <v>0</v>
      </c>
      <c r="D350" s="16">
        <f>D348+D349</f>
        <v>239900</v>
      </c>
      <c r="E350" s="16">
        <f>E348+E349</f>
        <v>0</v>
      </c>
      <c r="F350" s="16">
        <f>F348+F349</f>
        <v>239900</v>
      </c>
    </row>
    <row r="351" spans="1:6" ht="18.75" customHeight="1">
      <c r="A351" s="44" t="s">
        <v>63</v>
      </c>
      <c r="B351" s="48"/>
      <c r="C351" s="131"/>
      <c r="D351" s="69"/>
      <c r="E351" s="49"/>
      <c r="F351" s="48"/>
    </row>
    <row r="352" spans="1:6" ht="12.75">
      <c r="A352" s="57" t="s">
        <v>96</v>
      </c>
      <c r="B352" s="39">
        <f>F246+E246+D246+C246+B246+F191+E191+D191+C191+B191+F139+E139+D139+C139+B139+F85+E85+D85+C85+B85+F32+E32+D32+C32+B32</f>
        <v>1000</v>
      </c>
      <c r="C352" s="55"/>
      <c r="D352" s="39">
        <f>SUM(B352:C352)</f>
        <v>1000</v>
      </c>
      <c r="E352" s="40">
        <f>'1_c_sz_ melléklet'!F92</f>
        <v>0</v>
      </c>
      <c r="F352" s="39">
        <f>SUM(D352:E352)</f>
        <v>1000</v>
      </c>
    </row>
    <row r="353" spans="1:6" ht="13.5" thickBot="1">
      <c r="A353" s="8" t="s">
        <v>135</v>
      </c>
      <c r="B353" s="64">
        <f>F247+E247+D247+C247+B247+F192+E192+D192+C192+B192+F140+E140+D140+C140+B140+F86+E86+D86+C86+B86+F33+E33+D33+C33+B33</f>
        <v>5000</v>
      </c>
      <c r="C353" s="131"/>
      <c r="D353" s="48">
        <f>SUM(B353:C353)</f>
        <v>5000</v>
      </c>
      <c r="E353" s="72">
        <f>'1_c_sz_ melléklet'!F93</f>
        <v>0</v>
      </c>
      <c r="F353" s="39">
        <f>SUM(D353:E353)</f>
        <v>5000</v>
      </c>
    </row>
    <row r="354" spans="1:6" s="91" customFormat="1" ht="13.5" thickBot="1">
      <c r="A354" s="43" t="s">
        <v>98</v>
      </c>
      <c r="B354" s="16">
        <f>B352+B353</f>
        <v>6000</v>
      </c>
      <c r="C354" s="16">
        <f>C352+C353</f>
        <v>0</v>
      </c>
      <c r="D354" s="190">
        <f>D352+D353</f>
        <v>6000</v>
      </c>
      <c r="E354" s="16">
        <f>E352+E353</f>
        <v>0</v>
      </c>
      <c r="F354" s="16">
        <f>SUM(F352:F353)</f>
        <v>6000</v>
      </c>
    </row>
    <row r="355" spans="1:6" ht="18" customHeight="1">
      <c r="A355" s="47" t="s">
        <v>67</v>
      </c>
      <c r="B355" s="109"/>
      <c r="C355" s="69"/>
      <c r="D355" s="166"/>
      <c r="E355" s="109"/>
      <c r="F355" s="48"/>
    </row>
    <row r="356" spans="1:6" ht="12.75">
      <c r="A356" s="38" t="s">
        <v>136</v>
      </c>
      <c r="B356" s="131"/>
      <c r="C356" s="48">
        <f>15000-2500-300-3406-480</f>
        <v>8314</v>
      </c>
      <c r="D356" s="49">
        <f>SUM(B356:C356)</f>
        <v>8314</v>
      </c>
      <c r="E356" s="131">
        <f>'1_c_sz_ melléklet'!F97</f>
        <v>0</v>
      </c>
      <c r="F356" s="39">
        <f>SUM(D356:E356)</f>
        <v>8314</v>
      </c>
    </row>
    <row r="357" spans="1:6" ht="13.5" thickBot="1">
      <c r="A357" s="38" t="s">
        <v>137</v>
      </c>
      <c r="B357" s="149"/>
      <c r="C357" s="58">
        <f>'5_sz_ melléklet'!B26</f>
        <v>257114</v>
      </c>
      <c r="D357" s="49">
        <f>SUM(B357:C357)</f>
        <v>257114</v>
      </c>
      <c r="E357" s="131">
        <f>'1_c_sz_ melléklet'!F98</f>
        <v>0</v>
      </c>
      <c r="F357" s="39">
        <f>SUM(D357:E357)</f>
        <v>257114</v>
      </c>
    </row>
    <row r="358" spans="1:6" s="91" customFormat="1" ht="13.5" thickBot="1">
      <c r="A358" s="90" t="s">
        <v>70</v>
      </c>
      <c r="B358" s="60">
        <f>B356+B357</f>
        <v>0</v>
      </c>
      <c r="C358" s="60">
        <f>C356+C357</f>
        <v>265428</v>
      </c>
      <c r="D358" s="16">
        <f>D356+D357</f>
        <v>265428</v>
      </c>
      <c r="E358" s="16">
        <f>E356+E357</f>
        <v>0</v>
      </c>
      <c r="F358" s="16">
        <f>F356+F357</f>
        <v>265428</v>
      </c>
    </row>
    <row r="359" spans="1:6" ht="13.5" thickBot="1">
      <c r="A359" s="96"/>
      <c r="B359" s="64"/>
      <c r="C359" s="64"/>
      <c r="D359" s="64"/>
      <c r="E359" s="51"/>
      <c r="F359" s="64"/>
    </row>
    <row r="360" spans="1:6" s="91" customFormat="1" ht="27.75" customHeight="1" thickBot="1">
      <c r="A360" s="225" t="s">
        <v>71</v>
      </c>
      <c r="B360" s="74">
        <f>B358+B354+B350+B345+B340+B332</f>
        <v>1855587</v>
      </c>
      <c r="C360" s="74">
        <f>C358+C354+C350+C345+C340+C332</f>
        <v>265428</v>
      </c>
      <c r="D360" s="74">
        <f>D358+D354+D350+D345+D340+D332</f>
        <v>2121015</v>
      </c>
      <c r="E360" s="74">
        <f>E358+E354+E350+E345+E340+E332</f>
        <v>1794890</v>
      </c>
      <c r="F360" s="74">
        <f>F358+F354+F350+F345+F340+F332</f>
        <v>3915905</v>
      </c>
    </row>
    <row r="361" spans="1:6" ht="12.75">
      <c r="A361" s="217"/>
      <c r="B361" s="196"/>
      <c r="C361" s="196"/>
      <c r="D361" s="69"/>
      <c r="E361" s="109"/>
      <c r="F361" s="69"/>
    </row>
    <row r="362" spans="1:6" ht="12.75">
      <c r="A362" s="204" t="s">
        <v>100</v>
      </c>
      <c r="B362" s="76"/>
      <c r="C362" s="221"/>
      <c r="D362" s="48"/>
      <c r="E362" s="48"/>
      <c r="F362" s="94"/>
    </row>
    <row r="363" spans="1:6" ht="12.75">
      <c r="A363" s="70" t="s">
        <v>73</v>
      </c>
      <c r="B363" s="130">
        <f>F258+E258+D258+C258+B258+F203+E203+D203+C203+B203+F150+E150+D150+C150+B150+F97+E97+D97+C97+B97+F44+E44+D44+C44+B44</f>
        <v>0</v>
      </c>
      <c r="C363" s="129"/>
      <c r="D363" s="39">
        <f>SUM(B363:C363)</f>
        <v>0</v>
      </c>
      <c r="E363" s="39"/>
      <c r="F363" s="56">
        <f>SUM(D363:E363)</f>
        <v>0</v>
      </c>
    </row>
    <row r="364" spans="1:6" ht="13.5" thickBot="1">
      <c r="A364" s="113" t="s">
        <v>101</v>
      </c>
      <c r="B364" s="130">
        <f>F259+E259+D259+C259+B259+F204+E204+D204+C204+B204+F151+E151+D151+C151+B151+F98+E98+D98+C98+B98+F45+E45+D45+C45+B45</f>
        <v>13728</v>
      </c>
      <c r="C364" s="189"/>
      <c r="D364" s="39">
        <f>SUM(B364:C364)</f>
        <v>13728</v>
      </c>
      <c r="E364" s="39"/>
      <c r="F364" s="56">
        <f>SUM(D364:E364)</f>
        <v>13728</v>
      </c>
    </row>
    <row r="365" spans="1:6" s="91" customFormat="1" ht="13.5" thickBot="1">
      <c r="A365" s="90" t="s">
        <v>112</v>
      </c>
      <c r="B365" s="16">
        <f>B363+B364</f>
        <v>13728</v>
      </c>
      <c r="C365" s="16">
        <f>C363+C364</f>
        <v>0</v>
      </c>
      <c r="D365" s="16">
        <f>D363+D364</f>
        <v>13728</v>
      </c>
      <c r="E365" s="16">
        <f>E363+E364</f>
        <v>0</v>
      </c>
      <c r="F365" s="16">
        <f>SUM(F363:F364)</f>
        <v>13728</v>
      </c>
    </row>
    <row r="366" spans="1:6" ht="13.5" thickBot="1">
      <c r="A366" s="194"/>
      <c r="B366" s="64"/>
      <c r="C366" s="39"/>
      <c r="D366" s="67"/>
      <c r="E366" s="104"/>
      <c r="F366" s="64"/>
    </row>
    <row r="367" spans="1:6" s="91" customFormat="1" ht="13.5" thickBot="1">
      <c r="A367" s="132" t="s">
        <v>139</v>
      </c>
      <c r="B367" s="74">
        <f>B360+B365</f>
        <v>1869315</v>
      </c>
      <c r="C367" s="74">
        <f>C360+C365</f>
        <v>265428</v>
      </c>
      <c r="D367" s="74">
        <f>D360+D365</f>
        <v>2134743</v>
      </c>
      <c r="E367" s="74">
        <f>E360+E365</f>
        <v>1794890</v>
      </c>
      <c r="F367" s="74">
        <f>F360+F365</f>
        <v>3929633</v>
      </c>
    </row>
  </sheetData>
  <sheetProtection/>
  <mergeCells count="27">
    <mergeCell ref="A1:E1"/>
    <mergeCell ref="A2:F2"/>
    <mergeCell ref="A3:F3"/>
    <mergeCell ref="A51:F51"/>
    <mergeCell ref="A52:E52"/>
    <mergeCell ref="A53:F53"/>
    <mergeCell ref="A54:F54"/>
    <mergeCell ref="A104:F104"/>
    <mergeCell ref="A106:E106"/>
    <mergeCell ref="A107:F107"/>
    <mergeCell ref="A108:F108"/>
    <mergeCell ref="A157:F157"/>
    <mergeCell ref="A320:F320"/>
    <mergeCell ref="A321:F321"/>
    <mergeCell ref="A158:E158"/>
    <mergeCell ref="A159:F159"/>
    <mergeCell ref="A160:F160"/>
    <mergeCell ref="A211:F211"/>
    <mergeCell ref="A213:E213"/>
    <mergeCell ref="A214:F214"/>
    <mergeCell ref="A265:F265"/>
    <mergeCell ref="A267:E267"/>
    <mergeCell ref="A268:F268"/>
    <mergeCell ref="A269:F269"/>
    <mergeCell ref="A215:F215"/>
    <mergeCell ref="A317:F317"/>
    <mergeCell ref="A319:E319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L51"/>
  <sheetViews>
    <sheetView zoomScalePageLayoutView="0" workbookViewId="0" topLeftCell="A1">
      <selection activeCell="A52" sqref="A1:D52"/>
    </sheetView>
  </sheetViews>
  <sheetFormatPr defaultColWidth="9.140625" defaultRowHeight="12.75"/>
  <cols>
    <col min="1" max="1" width="35.00390625" style="0" customWidth="1"/>
    <col min="2" max="2" width="14.421875" style="0" customWidth="1"/>
    <col min="3" max="3" width="14.28125" style="0" customWidth="1"/>
    <col min="4" max="4" width="17.421875" style="0" customWidth="1"/>
  </cols>
  <sheetData>
    <row r="1" spans="1:4" ht="12.75">
      <c r="A1" s="1021" t="s">
        <v>174</v>
      </c>
      <c r="B1" s="1021"/>
      <c r="C1" s="1021"/>
      <c r="D1" s="1021"/>
    </row>
    <row r="2" spans="1:4" ht="12.75">
      <c r="A2" s="31"/>
      <c r="B2" s="31"/>
      <c r="C2" s="31"/>
      <c r="D2" s="31"/>
    </row>
    <row r="3" spans="1:4" ht="15.75">
      <c r="A3" s="1014" t="s">
        <v>175</v>
      </c>
      <c r="B3" s="1014"/>
      <c r="C3" s="1014"/>
      <c r="D3" s="1014"/>
    </row>
    <row r="4" ht="9" customHeight="1">
      <c r="D4" s="27"/>
    </row>
    <row r="5" spans="1:4" ht="12.75">
      <c r="A5" s="1022" t="s">
        <v>33</v>
      </c>
      <c r="B5" s="1022"/>
      <c r="C5" s="1022"/>
      <c r="D5" s="1022"/>
    </row>
    <row r="6" spans="1:4" ht="30" customHeight="1">
      <c r="A6" s="66" t="s">
        <v>176</v>
      </c>
      <c r="B6" s="33" t="s">
        <v>177</v>
      </c>
      <c r="C6" s="227" t="s">
        <v>178</v>
      </c>
      <c r="D6" s="191" t="s">
        <v>179</v>
      </c>
    </row>
    <row r="7" spans="1:64" s="229" customFormat="1" ht="12.75">
      <c r="A7" s="15" t="s">
        <v>180</v>
      </c>
      <c r="B7" s="17">
        <f>SUM(B8:B13)</f>
        <v>3737</v>
      </c>
      <c r="C7" s="17">
        <f>SUM(C8:C13)</f>
        <v>33203</v>
      </c>
      <c r="D7" s="17">
        <f>B7+C7</f>
        <v>36940</v>
      </c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8"/>
      <c r="AW7" s="228"/>
      <c r="AX7" s="228"/>
      <c r="AY7" s="228"/>
      <c r="AZ7" s="228"/>
      <c r="BA7" s="228"/>
      <c r="BB7" s="228"/>
      <c r="BC7" s="228"/>
      <c r="BD7" s="228"/>
      <c r="BE7" s="228"/>
      <c r="BF7" s="228"/>
      <c r="BG7" s="228"/>
      <c r="BH7" s="228"/>
      <c r="BI7" s="228"/>
      <c r="BJ7" s="228"/>
      <c r="BK7" s="228"/>
      <c r="BL7" s="228"/>
    </row>
    <row r="8" spans="1:64" ht="12.75">
      <c r="A8" s="19" t="s">
        <v>181</v>
      </c>
      <c r="B8" s="230"/>
      <c r="C8" s="231"/>
      <c r="D8" s="21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</row>
    <row r="9" spans="1:64" ht="12.75">
      <c r="A9" s="8" t="s">
        <v>182</v>
      </c>
      <c r="B9" s="232"/>
      <c r="C9" s="233">
        <v>32632</v>
      </c>
      <c r="D9" s="9">
        <f>SUM(B9+C9)</f>
        <v>32632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</row>
    <row r="10" spans="1:64" ht="12.75">
      <c r="A10" s="8" t="s">
        <v>183</v>
      </c>
      <c r="B10" s="232"/>
      <c r="C10" s="233">
        <v>571</v>
      </c>
      <c r="D10" s="9">
        <f>C10</f>
        <v>571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</row>
    <row r="11" spans="1:64" ht="12.75">
      <c r="A11" s="917" t="s">
        <v>1146</v>
      </c>
      <c r="B11" s="232">
        <v>2835</v>
      </c>
      <c r="C11" s="233"/>
      <c r="D11" s="21">
        <f aca="true" t="shared" si="0" ref="D11:D16">SUM(B11+C11)</f>
        <v>2835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</row>
    <row r="12" spans="1:64" ht="12.75">
      <c r="A12" s="917" t="s">
        <v>1146</v>
      </c>
      <c r="B12" s="235">
        <v>902</v>
      </c>
      <c r="C12" s="236"/>
      <c r="D12" s="21">
        <f t="shared" si="0"/>
        <v>902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</row>
    <row r="13" spans="1:64" ht="12.75">
      <c r="A13" s="234"/>
      <c r="B13" s="235"/>
      <c r="C13" s="236"/>
      <c r="D13" s="2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</row>
    <row r="14" spans="1:64" s="229" customFormat="1" ht="12.75">
      <c r="A14" s="15" t="s">
        <v>184</v>
      </c>
      <c r="B14" s="17">
        <v>0</v>
      </c>
      <c r="C14" s="238">
        <v>0</v>
      </c>
      <c r="D14" s="17">
        <f t="shared" si="0"/>
        <v>0</v>
      </c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28"/>
      <c r="AN14" s="228"/>
      <c r="AO14" s="228"/>
      <c r="AP14" s="228"/>
      <c r="AQ14" s="228"/>
      <c r="AR14" s="228"/>
      <c r="AS14" s="228"/>
      <c r="AT14" s="228"/>
      <c r="AU14" s="228"/>
      <c r="AV14" s="228"/>
      <c r="AW14" s="228"/>
      <c r="AX14" s="228"/>
      <c r="AY14" s="228"/>
      <c r="AZ14" s="228"/>
      <c r="BA14" s="228"/>
      <c r="BB14" s="228"/>
      <c r="BC14" s="228"/>
      <c r="BD14" s="228"/>
      <c r="BE14" s="228"/>
      <c r="BF14" s="228"/>
      <c r="BG14" s="228"/>
      <c r="BH14" s="228"/>
      <c r="BI14" s="228"/>
      <c r="BJ14" s="228"/>
      <c r="BK14" s="228"/>
      <c r="BL14" s="228"/>
    </row>
    <row r="15" spans="1:64" ht="12.75">
      <c r="A15" s="19" t="s">
        <v>87</v>
      </c>
      <c r="B15" s="230"/>
      <c r="C15" s="231"/>
      <c r="D15" s="239">
        <f t="shared" si="0"/>
        <v>0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</row>
    <row r="16" spans="1:4" ht="12.75">
      <c r="A16" s="8"/>
      <c r="B16" s="232"/>
      <c r="C16" s="233"/>
      <c r="D16" s="21">
        <f t="shared" si="0"/>
        <v>0</v>
      </c>
    </row>
    <row r="17" spans="1:4" s="91" customFormat="1" ht="12.75">
      <c r="A17" s="90" t="s">
        <v>185</v>
      </c>
      <c r="B17" s="17">
        <f>B7+B14</f>
        <v>3737</v>
      </c>
      <c r="C17" s="238">
        <f>C7+C14</f>
        <v>33203</v>
      </c>
      <c r="D17" s="17">
        <f>D7+D14</f>
        <v>36940</v>
      </c>
    </row>
    <row r="19" spans="1:4" ht="12.75">
      <c r="A19" s="1021" t="s">
        <v>186</v>
      </c>
      <c r="B19" s="1021"/>
      <c r="C19" s="1021"/>
      <c r="D19" s="1021"/>
    </row>
    <row r="20" spans="1:4" ht="12.75">
      <c r="A20" s="31"/>
      <c r="B20" s="31"/>
      <c r="C20" s="31"/>
      <c r="D20" s="31"/>
    </row>
    <row r="21" spans="1:4" ht="15.75">
      <c r="A21" s="1014" t="s">
        <v>187</v>
      </c>
      <c r="B21" s="1014"/>
      <c r="C21" s="1014"/>
      <c r="D21" s="1014"/>
    </row>
    <row r="23" spans="1:4" ht="12.75">
      <c r="A23" s="1022" t="s">
        <v>33</v>
      </c>
      <c r="B23" s="1022"/>
      <c r="C23" s="1022"/>
      <c r="D23" s="1022"/>
    </row>
    <row r="24" spans="1:4" ht="30" customHeight="1">
      <c r="A24" s="90" t="s">
        <v>176</v>
      </c>
      <c r="B24" s="43" t="s">
        <v>177</v>
      </c>
      <c r="C24" s="240" t="s">
        <v>178</v>
      </c>
      <c r="D24" s="241" t="s">
        <v>179</v>
      </c>
    </row>
    <row r="25" spans="1:4" s="91" customFormat="1" ht="12.75">
      <c r="A25" s="15" t="s">
        <v>180</v>
      </c>
      <c r="B25" s="16">
        <v>0</v>
      </c>
      <c r="C25" s="242">
        <f>SUM(C26:C42)</f>
        <v>169624</v>
      </c>
      <c r="D25" s="16">
        <f>B25+C25</f>
        <v>169624</v>
      </c>
    </row>
    <row r="26" spans="1:4" ht="25.5">
      <c r="A26" s="243" t="s">
        <v>188</v>
      </c>
      <c r="B26" s="48">
        <v>0</v>
      </c>
      <c r="C26" s="49">
        <v>10000</v>
      </c>
      <c r="D26" s="20">
        <f aca="true" t="shared" si="1" ref="D26:D49">B26+C26</f>
        <v>10000</v>
      </c>
    </row>
    <row r="27" spans="1:4" ht="12.75">
      <c r="A27" s="243" t="s">
        <v>189</v>
      </c>
      <c r="B27" s="48"/>
      <c r="C27" s="49">
        <v>9000</v>
      </c>
      <c r="D27" s="20">
        <f t="shared" si="1"/>
        <v>9000</v>
      </c>
    </row>
    <row r="28" spans="1:4" ht="12.75">
      <c r="A28" s="19" t="s">
        <v>190</v>
      </c>
      <c r="B28" s="48">
        <v>0</v>
      </c>
      <c r="C28" s="49">
        <v>7000</v>
      </c>
      <c r="D28" s="20">
        <f t="shared" si="1"/>
        <v>7000</v>
      </c>
    </row>
    <row r="29" spans="1:4" ht="12.75">
      <c r="A29" s="19" t="s">
        <v>191</v>
      </c>
      <c r="B29" s="48"/>
      <c r="C29" s="49">
        <v>41000</v>
      </c>
      <c r="D29" s="20">
        <f t="shared" si="1"/>
        <v>41000</v>
      </c>
    </row>
    <row r="30" spans="1:4" ht="12.75">
      <c r="A30" s="19" t="s">
        <v>192</v>
      </c>
      <c r="B30" s="48">
        <v>0</v>
      </c>
      <c r="C30" s="49">
        <v>24000</v>
      </c>
      <c r="D30" s="20">
        <f t="shared" si="1"/>
        <v>24000</v>
      </c>
    </row>
    <row r="31" spans="1:4" ht="12.75">
      <c r="A31" s="19" t="s">
        <v>193</v>
      </c>
      <c r="B31" s="48">
        <v>0</v>
      </c>
      <c r="C31" s="49">
        <v>3700</v>
      </c>
      <c r="D31" s="20">
        <f t="shared" si="1"/>
        <v>3700</v>
      </c>
    </row>
    <row r="32" spans="1:4" ht="12.75">
      <c r="A32" s="19" t="s">
        <v>194</v>
      </c>
      <c r="B32" s="48">
        <v>0</v>
      </c>
      <c r="C32" s="49">
        <v>7215</v>
      </c>
      <c r="D32" s="20">
        <f t="shared" si="1"/>
        <v>7215</v>
      </c>
    </row>
    <row r="33" spans="1:4" ht="12.75">
      <c r="A33" s="19" t="s">
        <v>195</v>
      </c>
      <c r="B33" s="48">
        <v>0</v>
      </c>
      <c r="C33" s="49">
        <v>2335</v>
      </c>
      <c r="D33" s="20">
        <f t="shared" si="1"/>
        <v>2335</v>
      </c>
    </row>
    <row r="34" spans="1:4" ht="12.75">
      <c r="A34" s="8" t="s">
        <v>196</v>
      </c>
      <c r="B34" s="39">
        <v>0</v>
      </c>
      <c r="C34" s="40">
        <v>0</v>
      </c>
      <c r="D34" s="244">
        <f t="shared" si="1"/>
        <v>0</v>
      </c>
    </row>
    <row r="35" spans="1:4" ht="12.75">
      <c r="A35" s="8" t="s">
        <v>197</v>
      </c>
      <c r="B35" s="39">
        <v>0</v>
      </c>
      <c r="C35" s="40">
        <v>24000</v>
      </c>
      <c r="D35" s="244">
        <f t="shared" si="1"/>
        <v>24000</v>
      </c>
    </row>
    <row r="36" spans="1:4" ht="12.75">
      <c r="A36" s="8" t="s">
        <v>198</v>
      </c>
      <c r="B36" s="39">
        <v>0</v>
      </c>
      <c r="C36" s="40">
        <v>19525</v>
      </c>
      <c r="D36" s="244">
        <f t="shared" si="1"/>
        <v>19525</v>
      </c>
    </row>
    <row r="37" spans="1:4" ht="12.75">
      <c r="A37" s="8" t="s">
        <v>199</v>
      </c>
      <c r="B37" s="39">
        <v>0</v>
      </c>
      <c r="C37" s="40">
        <v>15000</v>
      </c>
      <c r="D37" s="244">
        <f t="shared" si="1"/>
        <v>15000</v>
      </c>
    </row>
    <row r="38" spans="1:4" ht="12.75">
      <c r="A38" s="8" t="s">
        <v>200</v>
      </c>
      <c r="B38" s="39">
        <v>0</v>
      </c>
      <c r="C38" s="40">
        <v>416</v>
      </c>
      <c r="D38" s="244">
        <f t="shared" si="1"/>
        <v>416</v>
      </c>
    </row>
    <row r="39" spans="1:4" ht="12.75">
      <c r="A39" s="8" t="s">
        <v>201</v>
      </c>
      <c r="B39" s="39">
        <v>0</v>
      </c>
      <c r="C39" s="56">
        <v>1156</v>
      </c>
      <c r="D39" s="244">
        <f t="shared" si="1"/>
        <v>1156</v>
      </c>
    </row>
    <row r="40" spans="1:4" ht="12.75">
      <c r="A40" s="8" t="s">
        <v>202</v>
      </c>
      <c r="B40" s="39"/>
      <c r="C40" s="40">
        <v>3977</v>
      </c>
      <c r="D40" s="244">
        <f t="shared" si="1"/>
        <v>3977</v>
      </c>
    </row>
    <row r="41" spans="1:4" ht="12.75">
      <c r="A41" s="935" t="s">
        <v>1153</v>
      </c>
      <c r="B41" s="936"/>
      <c r="C41" s="937">
        <v>300</v>
      </c>
      <c r="D41" s="938">
        <f t="shared" si="1"/>
        <v>300</v>
      </c>
    </row>
    <row r="42" spans="1:4" ht="12.75">
      <c r="A42" s="65" t="s">
        <v>203</v>
      </c>
      <c r="B42" s="64"/>
      <c r="C42" s="72">
        <v>1000</v>
      </c>
      <c r="D42" s="20">
        <f t="shared" si="1"/>
        <v>1000</v>
      </c>
    </row>
    <row r="43" spans="1:4" ht="12.75">
      <c r="A43" s="15" t="s">
        <v>204</v>
      </c>
      <c r="B43" s="16">
        <v>0</v>
      </c>
      <c r="C43" s="242">
        <f>SUM(C44:C49)</f>
        <v>70276</v>
      </c>
      <c r="D43" s="16">
        <f t="shared" si="1"/>
        <v>70276</v>
      </c>
    </row>
    <row r="44" spans="1:4" ht="12.75">
      <c r="A44" s="19" t="s">
        <v>205</v>
      </c>
      <c r="B44" s="48">
        <v>0</v>
      </c>
      <c r="C44" s="49">
        <v>30876</v>
      </c>
      <c r="D44" s="20">
        <f t="shared" si="1"/>
        <v>30876</v>
      </c>
    </row>
    <row r="45" spans="1:4" ht="12.75">
      <c r="A45" s="19" t="s">
        <v>206</v>
      </c>
      <c r="B45" s="48"/>
      <c r="C45" s="49">
        <v>18000</v>
      </c>
      <c r="D45" s="20">
        <f t="shared" si="1"/>
        <v>18000</v>
      </c>
    </row>
    <row r="46" spans="1:4" ht="12.75">
      <c r="A46" s="8" t="s">
        <v>207</v>
      </c>
      <c r="B46" s="39">
        <v>0</v>
      </c>
      <c r="C46" s="40">
        <v>1000</v>
      </c>
      <c r="D46" s="244">
        <f t="shared" si="1"/>
        <v>1000</v>
      </c>
    </row>
    <row r="47" spans="1:4" ht="12.75">
      <c r="A47" s="234" t="s">
        <v>208</v>
      </c>
      <c r="B47" s="58">
        <v>0</v>
      </c>
      <c r="C47" s="42">
        <v>5000</v>
      </c>
      <c r="D47" s="244">
        <f t="shared" si="1"/>
        <v>5000</v>
      </c>
    </row>
    <row r="48" spans="1:4" ht="12.75">
      <c r="A48" s="12" t="s">
        <v>209</v>
      </c>
      <c r="B48" s="58"/>
      <c r="C48" s="42">
        <v>15000</v>
      </c>
      <c r="D48" s="244">
        <f t="shared" si="1"/>
        <v>15000</v>
      </c>
    </row>
    <row r="49" spans="1:4" ht="12.75">
      <c r="A49" s="245" t="s">
        <v>210</v>
      </c>
      <c r="B49" s="58"/>
      <c r="C49" s="42">
        <v>400</v>
      </c>
      <c r="D49" s="244">
        <f t="shared" si="1"/>
        <v>400</v>
      </c>
    </row>
    <row r="50" spans="1:4" ht="12.75">
      <c r="A50" s="90" t="s">
        <v>185</v>
      </c>
      <c r="B50" s="16">
        <f>B25+B43</f>
        <v>0</v>
      </c>
      <c r="C50" s="16">
        <f>C25+C43</f>
        <v>239900</v>
      </c>
      <c r="D50" s="16">
        <f>D25+D43</f>
        <v>239900</v>
      </c>
    </row>
    <row r="51" spans="1:4" s="91" customFormat="1" ht="12.75">
      <c r="A51"/>
      <c r="B51"/>
      <c r="C51"/>
      <c r="D51"/>
    </row>
  </sheetData>
  <sheetProtection/>
  <mergeCells count="6">
    <mergeCell ref="A1:D1"/>
    <mergeCell ref="A3:D3"/>
    <mergeCell ref="A5:D5"/>
    <mergeCell ref="A19:D19"/>
    <mergeCell ref="A21:D21"/>
    <mergeCell ref="A23:D23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44"/>
  <sheetViews>
    <sheetView zoomScalePageLayoutView="0" workbookViewId="0" topLeftCell="A1">
      <selection activeCell="A44" sqref="A1:B44"/>
    </sheetView>
  </sheetViews>
  <sheetFormatPr defaultColWidth="9.140625" defaultRowHeight="12.75"/>
  <cols>
    <col min="1" max="1" width="65.7109375" style="0" customWidth="1"/>
    <col min="2" max="2" width="19.00390625" style="0" customWidth="1"/>
  </cols>
  <sheetData>
    <row r="2" ht="15">
      <c r="B2" s="246" t="s">
        <v>211</v>
      </c>
    </row>
    <row r="3" ht="15.75">
      <c r="A3" s="29"/>
    </row>
    <row r="4" spans="1:2" ht="15.75">
      <c r="A4" s="1014" t="s">
        <v>212</v>
      </c>
      <c r="B4" s="1014"/>
    </row>
    <row r="5" ht="15.75">
      <c r="A5" s="29"/>
    </row>
    <row r="6" ht="12.75">
      <c r="B6" s="31" t="s">
        <v>213</v>
      </c>
    </row>
    <row r="7" spans="1:2" ht="15.75">
      <c r="A7" s="118" t="s">
        <v>214</v>
      </c>
      <c r="B7" s="247" t="s">
        <v>215</v>
      </c>
    </row>
    <row r="8" spans="1:2" ht="12.75">
      <c r="A8" s="248"/>
      <c r="B8" s="249" t="s">
        <v>39</v>
      </c>
    </row>
    <row r="9" spans="1:2" ht="12.75">
      <c r="A9" s="250" t="s">
        <v>216</v>
      </c>
      <c r="B9" s="201"/>
    </row>
    <row r="10" spans="1:2" ht="12.75">
      <c r="A10" s="88" t="s">
        <v>217</v>
      </c>
      <c r="B10" s="39">
        <v>1000</v>
      </c>
    </row>
    <row r="11" spans="1:2" ht="12.75">
      <c r="A11" s="194"/>
      <c r="B11" s="39"/>
    </row>
    <row r="12" spans="1:2" s="91" customFormat="1" ht="12.75">
      <c r="A12" s="250" t="s">
        <v>218</v>
      </c>
      <c r="B12" s="6">
        <f>SUM(B10:B11)</f>
        <v>1000</v>
      </c>
    </row>
    <row r="13" spans="1:2" ht="12.75">
      <c r="A13" s="194"/>
      <c r="B13" s="65"/>
    </row>
    <row r="14" spans="1:2" ht="12.75">
      <c r="A14" s="250" t="s">
        <v>219</v>
      </c>
      <c r="B14" s="6"/>
    </row>
    <row r="15" spans="1:2" ht="12.75">
      <c r="A15" s="88" t="s">
        <v>220</v>
      </c>
      <c r="B15" s="39">
        <v>5000</v>
      </c>
    </row>
    <row r="16" spans="1:2" ht="12.75">
      <c r="A16" s="88"/>
      <c r="B16" s="39"/>
    </row>
    <row r="17" spans="1:2" ht="12.75">
      <c r="A17" s="88"/>
      <c r="B17" s="39"/>
    </row>
    <row r="18" spans="1:2" ht="12.75">
      <c r="A18" s="250" t="s">
        <v>221</v>
      </c>
      <c r="B18" s="6">
        <f>SUM(B15:B16)</f>
        <v>5000</v>
      </c>
    </row>
    <row r="19" spans="1:2" ht="12.75">
      <c r="A19" s="88"/>
      <c r="B19" s="39"/>
    </row>
    <row r="20" spans="1:2" ht="12.75">
      <c r="A20" s="88"/>
      <c r="B20" s="39"/>
    </row>
    <row r="21" spans="1:2" ht="12.75">
      <c r="A21" s="251"/>
      <c r="B21" s="78"/>
    </row>
    <row r="22" spans="1:2" ht="12.75">
      <c r="A22" s="43" t="s">
        <v>222</v>
      </c>
      <c r="B22" s="16">
        <f>B12+B18</f>
        <v>6000</v>
      </c>
    </row>
    <row r="25" ht="12.75">
      <c r="B25" t="s">
        <v>223</v>
      </c>
    </row>
    <row r="27" spans="1:2" ht="12.75">
      <c r="A27" s="1016" t="s">
        <v>224</v>
      </c>
      <c r="B27" s="1016"/>
    </row>
    <row r="30" ht="12.75">
      <c r="B30" t="s">
        <v>213</v>
      </c>
    </row>
    <row r="31" spans="1:2" ht="30.75" customHeight="1">
      <c r="A31" s="252" t="s">
        <v>214</v>
      </c>
      <c r="B31" s="253" t="s">
        <v>179</v>
      </c>
    </row>
    <row r="32" spans="1:2" ht="12.75">
      <c r="A32" s="254"/>
      <c r="B32" s="162"/>
    </row>
    <row r="33" spans="1:2" ht="12.75">
      <c r="A33" s="254"/>
      <c r="B33" s="162"/>
    </row>
    <row r="34" spans="1:2" ht="12.75">
      <c r="A34" s="254"/>
      <c r="B34" s="162"/>
    </row>
    <row r="35" spans="1:2" ht="12.75">
      <c r="A35" s="255"/>
      <c r="B35" s="152"/>
    </row>
    <row r="36" spans="1:2" ht="12.75">
      <c r="A36" s="256" t="s">
        <v>225</v>
      </c>
      <c r="B36" s="257">
        <v>0</v>
      </c>
    </row>
    <row r="37" spans="1:2" ht="12.75">
      <c r="A37" s="258"/>
      <c r="B37" s="145"/>
    </row>
    <row r="38" spans="1:2" ht="12.75">
      <c r="A38" s="254" t="s">
        <v>178</v>
      </c>
      <c r="B38" s="162"/>
    </row>
    <row r="39" spans="1:2" ht="12.75">
      <c r="A39" s="254" t="s">
        <v>226</v>
      </c>
      <c r="B39" s="148">
        <v>1500</v>
      </c>
    </row>
    <row r="40" spans="1:2" ht="12.75">
      <c r="A40" s="255" t="s">
        <v>227</v>
      </c>
      <c r="B40" s="259"/>
    </row>
    <row r="41" spans="1:2" ht="12.75">
      <c r="A41" s="256" t="s">
        <v>228</v>
      </c>
      <c r="B41" s="260">
        <f>SUM(B39:B40)</f>
        <v>1500</v>
      </c>
    </row>
    <row r="42" spans="1:2" ht="12.75">
      <c r="A42" s="258"/>
      <c r="B42" s="145"/>
    </row>
    <row r="43" spans="1:2" ht="12.75">
      <c r="A43" s="255"/>
      <c r="B43" s="152"/>
    </row>
    <row r="44" spans="1:2" ht="12.75">
      <c r="A44" s="256" t="s">
        <v>229</v>
      </c>
      <c r="B44" s="260">
        <f>B36+B41</f>
        <v>1500</v>
      </c>
    </row>
  </sheetData>
  <sheetProtection/>
  <mergeCells count="2">
    <mergeCell ref="A4:B4"/>
    <mergeCell ref="A27:B27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A46" sqref="A1:D46"/>
    </sheetView>
  </sheetViews>
  <sheetFormatPr defaultColWidth="9.140625" defaultRowHeight="12.75"/>
  <cols>
    <col min="1" max="1" width="39.57421875" style="0" customWidth="1"/>
    <col min="2" max="3" width="14.421875" style="0" customWidth="1"/>
    <col min="4" max="4" width="16.421875" style="0" customWidth="1"/>
  </cols>
  <sheetData>
    <row r="1" spans="1:4" ht="14.25">
      <c r="A1" s="1015" t="s">
        <v>230</v>
      </c>
      <c r="B1" s="1015"/>
      <c r="C1" s="1015"/>
      <c r="D1" s="1015"/>
    </row>
    <row r="2" spans="1:4" ht="15.75">
      <c r="A2" s="1014" t="s">
        <v>231</v>
      </c>
      <c r="B2" s="1014"/>
      <c r="C2" s="1014"/>
      <c r="D2" s="1014"/>
    </row>
    <row r="3" ht="12.75">
      <c r="D3" s="31" t="s">
        <v>33</v>
      </c>
    </row>
    <row r="4" spans="1:4" ht="15.75">
      <c r="A4" s="261" t="s">
        <v>232</v>
      </c>
      <c r="B4" s="33" t="s">
        <v>35</v>
      </c>
      <c r="C4" s="33" t="s">
        <v>233</v>
      </c>
      <c r="D4" s="262" t="s">
        <v>215</v>
      </c>
    </row>
    <row r="5" spans="1:4" ht="12.75">
      <c r="A5" s="263"/>
      <c r="B5" s="35" t="s">
        <v>39</v>
      </c>
      <c r="C5" s="35" t="s">
        <v>39</v>
      </c>
      <c r="D5" s="264" t="s">
        <v>39</v>
      </c>
    </row>
    <row r="6" spans="1:4" ht="15.75">
      <c r="A6" s="107" t="s">
        <v>234</v>
      </c>
      <c r="B6" s="265">
        <f>B7+B8</f>
        <v>26066</v>
      </c>
      <c r="C6" s="266">
        <f>C7+C8</f>
        <v>1426372</v>
      </c>
      <c r="D6" s="266">
        <f>D7+D8</f>
        <v>1452438</v>
      </c>
    </row>
    <row r="7" spans="1:4" ht="15.75">
      <c r="A7" s="267" t="s">
        <v>235</v>
      </c>
      <c r="B7" s="268">
        <f>'2_a_d_sz_ melléklet'!B11</f>
        <v>26066</v>
      </c>
      <c r="C7" s="268">
        <f>'2_a_d_sz_ melléklet'!C11</f>
        <v>210680</v>
      </c>
      <c r="D7" s="269">
        <f>SUM(B7:C7)</f>
        <v>236746</v>
      </c>
    </row>
    <row r="8" spans="1:4" s="81" customFormat="1" ht="15.75">
      <c r="A8" s="270" t="s">
        <v>236</v>
      </c>
      <c r="B8" s="271">
        <f>B9+B10+B11+B12</f>
        <v>0</v>
      </c>
      <c r="C8" s="272">
        <f>C9+C10+C11+C12</f>
        <v>1215692</v>
      </c>
      <c r="D8" s="272">
        <f>D9+D10+D11+D12</f>
        <v>1215692</v>
      </c>
    </row>
    <row r="9" spans="1:4" ht="15.75">
      <c r="A9" s="273" t="s">
        <v>237</v>
      </c>
      <c r="B9" s="274">
        <v>0</v>
      </c>
      <c r="C9" s="275">
        <f>'2_a_d_sz_ melléklet'!B39</f>
        <v>659000</v>
      </c>
      <c r="D9" s="276">
        <f>SUM(C9)</f>
        <v>659000</v>
      </c>
    </row>
    <row r="10" spans="1:4" ht="15.75">
      <c r="A10" s="277" t="s">
        <v>238</v>
      </c>
      <c r="B10" s="274">
        <v>0</v>
      </c>
      <c r="C10" s="278">
        <f>'2_a_d_sz_ melléklet'!B65</f>
        <v>527128</v>
      </c>
      <c r="D10" s="279">
        <f>SUM(C10)</f>
        <v>527128</v>
      </c>
    </row>
    <row r="11" spans="1:4" ht="15.75">
      <c r="A11" s="277" t="s">
        <v>239</v>
      </c>
      <c r="B11" s="274">
        <v>0</v>
      </c>
      <c r="C11" s="278">
        <f>'2_a_d_sz_ melléklet'!B40</f>
        <v>5000</v>
      </c>
      <c r="D11" s="279">
        <f>SUM(C11)</f>
        <v>5000</v>
      </c>
    </row>
    <row r="12" spans="1:4" ht="15.75">
      <c r="A12" s="280" t="s">
        <v>240</v>
      </c>
      <c r="B12" s="281">
        <v>0</v>
      </c>
      <c r="C12" s="282">
        <f>'2_a_d_sz_ melléklet'!B41</f>
        <v>24564</v>
      </c>
      <c r="D12" s="283">
        <f>SUM(C12)</f>
        <v>24564</v>
      </c>
    </row>
    <row r="13" spans="1:4" ht="15.75">
      <c r="A13" s="107" t="s">
        <v>241</v>
      </c>
      <c r="B13" s="284">
        <f>B14+B21+B26</f>
        <v>302296</v>
      </c>
      <c r="C13" s="285">
        <f>C14+C21+C26</f>
        <v>2067860.137</v>
      </c>
      <c r="D13" s="286">
        <f>SUM(B13:C13)</f>
        <v>2370156.137</v>
      </c>
    </row>
    <row r="14" spans="1:4" s="81" customFormat="1" ht="15.75">
      <c r="A14" s="267" t="s">
        <v>242</v>
      </c>
      <c r="B14" s="268">
        <f>B15+B16+B17+B18+B19</f>
        <v>0</v>
      </c>
      <c r="C14" s="268">
        <f>C15+C16+C17+C18+C19+C20</f>
        <v>1807244.137</v>
      </c>
      <c r="D14" s="268">
        <f aca="true" t="shared" si="0" ref="D14:D20">SUM(C14)</f>
        <v>1807244.137</v>
      </c>
    </row>
    <row r="15" spans="1:4" ht="15.75">
      <c r="A15" s="287" t="s">
        <v>243</v>
      </c>
      <c r="B15" s="274">
        <v>0</v>
      </c>
      <c r="C15" s="274">
        <f>'2_e_1_sz_ melléklet'!B117</f>
        <v>1154325.137</v>
      </c>
      <c r="D15" s="274">
        <f t="shared" si="0"/>
        <v>1154325.137</v>
      </c>
    </row>
    <row r="16" spans="1:4" ht="15.75">
      <c r="A16" s="288" t="s">
        <v>244</v>
      </c>
      <c r="B16" s="274">
        <v>0</v>
      </c>
      <c r="C16" s="281">
        <f>'2_f_h_sz_ melléklet'!D19</f>
        <v>64135</v>
      </c>
      <c r="D16" s="274">
        <f t="shared" si="0"/>
        <v>64135</v>
      </c>
    </row>
    <row r="17" spans="1:4" ht="15.75">
      <c r="A17" s="289" t="s">
        <v>245</v>
      </c>
      <c r="B17" s="290">
        <v>0</v>
      </c>
      <c r="C17" s="290">
        <f>'2_f_h_sz_ melléklet'!D20</f>
        <v>278524</v>
      </c>
      <c r="D17" s="274">
        <f t="shared" si="0"/>
        <v>278524</v>
      </c>
    </row>
    <row r="18" spans="1:4" ht="15.75">
      <c r="A18" s="291" t="s">
        <v>246</v>
      </c>
      <c r="B18" s="274">
        <v>0</v>
      </c>
      <c r="C18" s="274">
        <f>'2_e_1_sz_ melléklet'!B132+'2_e_1_sz_ melléklet'!B142</f>
        <v>290260</v>
      </c>
      <c r="D18" s="274">
        <f t="shared" si="0"/>
        <v>290260</v>
      </c>
    </row>
    <row r="19" spans="1:4" ht="15.75">
      <c r="A19" s="931" t="s">
        <v>247</v>
      </c>
      <c r="B19" s="932">
        <v>0</v>
      </c>
      <c r="C19" s="932">
        <f>'2_f_h_sz_ melléklet'!D36</f>
        <v>0</v>
      </c>
      <c r="D19" s="932">
        <f t="shared" si="0"/>
        <v>0</v>
      </c>
    </row>
    <row r="20" spans="1:4" ht="15.75">
      <c r="A20" s="933" t="s">
        <v>1151</v>
      </c>
      <c r="B20" s="292"/>
      <c r="C20" s="292">
        <f>'2_f_h_sz_ melléklet'!D21</f>
        <v>20000</v>
      </c>
      <c r="D20" s="932">
        <f t="shared" si="0"/>
        <v>20000</v>
      </c>
    </row>
    <row r="21" spans="1:4" s="81" customFormat="1" ht="15.75">
      <c r="A21" s="267" t="s">
        <v>248</v>
      </c>
      <c r="B21" s="268">
        <f>B22+B24</f>
        <v>302296</v>
      </c>
      <c r="C21" s="268">
        <f>C22+C24</f>
        <v>260616</v>
      </c>
      <c r="D21" s="268">
        <f>D22+D24</f>
        <v>562912</v>
      </c>
    </row>
    <row r="22" spans="1:4" ht="15.75">
      <c r="A22" s="293" t="s">
        <v>249</v>
      </c>
      <c r="B22" s="274">
        <f>'2_f_h_sz_ melléklet'!B64</f>
        <v>302296</v>
      </c>
      <c r="C22" s="274">
        <f>'2_f_h_sz_ melléklet'!C70</f>
        <v>98783</v>
      </c>
      <c r="D22" s="274">
        <f>SUM(B22:C22)</f>
        <v>401079</v>
      </c>
    </row>
    <row r="23" spans="1:4" ht="15.75">
      <c r="A23" s="95" t="s">
        <v>250</v>
      </c>
      <c r="B23" s="281">
        <f>'2_k_ sz_ melléklet'!D18</f>
        <v>298559</v>
      </c>
      <c r="C23" s="281">
        <f>'2_k_ sz_ melléklet'!B64</f>
        <v>1501</v>
      </c>
      <c r="D23" s="274">
        <f>SUM(B23:C23)</f>
        <v>300060</v>
      </c>
    </row>
    <row r="24" spans="1:4" ht="15.75">
      <c r="A24" s="95" t="s">
        <v>251</v>
      </c>
      <c r="B24" s="290">
        <f>'2_f_h_sz_ melléklet'!B89</f>
        <v>0</v>
      </c>
      <c r="C24" s="290">
        <f>'2_f_h_sz_ melléklet'!C89</f>
        <v>161833</v>
      </c>
      <c r="D24" s="290">
        <f>SUM(B24:C24)</f>
        <v>161833</v>
      </c>
    </row>
    <row r="25" spans="1:4" ht="15.75">
      <c r="A25" s="294" t="s">
        <v>250</v>
      </c>
      <c r="B25" s="295"/>
      <c r="C25" s="295"/>
      <c r="D25" s="295"/>
    </row>
    <row r="26" spans="1:4" s="81" customFormat="1" ht="15.75">
      <c r="A26" s="296" t="s">
        <v>252</v>
      </c>
      <c r="B26" s="268">
        <v>0</v>
      </c>
      <c r="C26" s="268">
        <v>0</v>
      </c>
      <c r="D26" s="269">
        <v>0</v>
      </c>
    </row>
    <row r="27" spans="1:4" s="91" customFormat="1" ht="15.75">
      <c r="A27" s="107" t="s">
        <v>253</v>
      </c>
      <c r="B27" s="265">
        <f>B28+B29+B31+B33</f>
        <v>600</v>
      </c>
      <c r="C27" s="265">
        <f>C28+C30+C31+C33</f>
        <v>450000</v>
      </c>
      <c r="D27" s="265">
        <f>D28+D30+D31+D33</f>
        <v>450600</v>
      </c>
    </row>
    <row r="28" spans="1:4" ht="15.75">
      <c r="A28" s="113" t="s">
        <v>254</v>
      </c>
      <c r="B28" s="292">
        <f>'2_i_j_sz_ mell_'!C20</f>
        <v>600</v>
      </c>
      <c r="C28" s="292">
        <f>'2_i_j_sz_ mell_'!D20</f>
        <v>0</v>
      </c>
      <c r="D28" s="292">
        <f>'2_i_j_sz_ mell_'!E20</f>
        <v>600</v>
      </c>
    </row>
    <row r="29" spans="1:4" ht="15.75">
      <c r="A29" s="297" t="s">
        <v>255</v>
      </c>
      <c r="B29" s="283"/>
      <c r="C29" s="283"/>
      <c r="D29" s="283"/>
    </row>
    <row r="30" spans="1:4" ht="15.75">
      <c r="A30" s="298" t="s">
        <v>256</v>
      </c>
      <c r="B30" s="276">
        <v>0</v>
      </c>
      <c r="C30" s="276">
        <f>'2_i_j_sz_ mell_'!E33</f>
        <v>167000</v>
      </c>
      <c r="D30" s="276">
        <f>SUM(C30)</f>
        <v>167000</v>
      </c>
    </row>
    <row r="31" spans="1:4" ht="15.75">
      <c r="A31" s="89" t="s">
        <v>257</v>
      </c>
      <c r="B31" s="292">
        <v>0</v>
      </c>
      <c r="C31" s="290">
        <f>'2_i_j_sz_ mell_'!E45</f>
        <v>276000</v>
      </c>
      <c r="D31" s="290">
        <f>SUM(C31)</f>
        <v>276000</v>
      </c>
    </row>
    <row r="32" spans="1:4" ht="15.75">
      <c r="A32" s="299" t="s">
        <v>258</v>
      </c>
      <c r="B32" s="283"/>
      <c r="C32" s="283"/>
      <c r="D32" s="283"/>
    </row>
    <row r="33" spans="1:4" ht="15.75">
      <c r="A33" s="300" t="s">
        <v>259</v>
      </c>
      <c r="B33" s="301">
        <f>'2_i_j_sz_ mell_'!C68</f>
        <v>0</v>
      </c>
      <c r="C33" s="301">
        <f>'2_i_j_sz_ mell_'!D60</f>
        <v>7000</v>
      </c>
      <c r="D33" s="301">
        <f>SUM(B33:C33)</f>
        <v>7000</v>
      </c>
    </row>
    <row r="34" spans="1:4" s="91" customFormat="1" ht="28.5" customHeight="1">
      <c r="A34" s="225" t="s">
        <v>260</v>
      </c>
      <c r="B34" s="265">
        <f>B35+B36+B37</f>
        <v>0</v>
      </c>
      <c r="C34" s="265">
        <f>C35+C36+C37</f>
        <v>4500</v>
      </c>
      <c r="D34" s="265">
        <f>D35+D36+D37</f>
        <v>4500</v>
      </c>
    </row>
    <row r="35" spans="1:4" ht="15.75">
      <c r="A35" s="302" t="s">
        <v>261</v>
      </c>
      <c r="B35" s="303">
        <v>0</v>
      </c>
      <c r="C35" s="304">
        <f>'2_i_j_sz_ mell_'!E80</f>
        <v>0</v>
      </c>
      <c r="D35" s="303">
        <f>SUM(B35:C35)</f>
        <v>0</v>
      </c>
    </row>
    <row r="36" spans="1:4" ht="15.75">
      <c r="A36" s="89" t="s">
        <v>262</v>
      </c>
      <c r="B36" s="290">
        <v>0</v>
      </c>
      <c r="C36" s="278">
        <f>'2_i_j_sz_ mell_'!E81</f>
        <v>4500</v>
      </c>
      <c r="D36" s="290">
        <f>SUM(B36:C36)</f>
        <v>4500</v>
      </c>
    </row>
    <row r="37" spans="1:4" ht="15.75">
      <c r="A37" s="89" t="s">
        <v>263</v>
      </c>
      <c r="B37" s="274">
        <v>0</v>
      </c>
      <c r="C37" s="305">
        <v>0</v>
      </c>
      <c r="D37" s="295">
        <f>SUM(B37:C37)</f>
        <v>0</v>
      </c>
    </row>
    <row r="38" spans="1:4" s="91" customFormat="1" ht="15.75">
      <c r="A38" s="107" t="s">
        <v>264</v>
      </c>
      <c r="B38" s="265">
        <f>B39</f>
        <v>53744</v>
      </c>
      <c r="C38" s="266">
        <f>C39</f>
        <v>31666</v>
      </c>
      <c r="D38" s="265">
        <f>D39</f>
        <v>85410</v>
      </c>
    </row>
    <row r="39" spans="1:4" ht="15.75">
      <c r="A39" s="306" t="s">
        <v>265</v>
      </c>
      <c r="B39" s="303">
        <f>B40+B41</f>
        <v>53744</v>
      </c>
      <c r="C39" s="307">
        <f>C40+C41</f>
        <v>31666</v>
      </c>
      <c r="D39" s="307">
        <f>D40+D41</f>
        <v>85410</v>
      </c>
    </row>
    <row r="40" spans="1:4" ht="15.75">
      <c r="A40" s="89" t="s">
        <v>266</v>
      </c>
      <c r="B40" s="290">
        <f>'2_k_ sz_ melléklet'!D32</f>
        <v>47196</v>
      </c>
      <c r="C40" s="290">
        <f>'2_k_ sz_ melléklet'!D79</f>
        <v>28846</v>
      </c>
      <c r="D40" s="290">
        <f>SUM(B40:C40)</f>
        <v>76042</v>
      </c>
    </row>
    <row r="41" spans="1:4" ht="15.75" customHeight="1">
      <c r="A41" s="939" t="s">
        <v>1154</v>
      </c>
      <c r="B41" s="295">
        <f>'2_k_ sz_ melléklet'!D33</f>
        <v>6548</v>
      </c>
      <c r="C41" s="295">
        <f>'2_k_ sz_ melléklet'!D80</f>
        <v>2820</v>
      </c>
      <c r="D41" s="308">
        <f>SUM(B41:C41)</f>
        <v>9368</v>
      </c>
    </row>
    <row r="42" spans="1:4" s="91" customFormat="1" ht="29.25" customHeight="1">
      <c r="A42" s="309" t="s">
        <v>267</v>
      </c>
      <c r="B42" s="310">
        <f>B38+B34+B27+B13+B6</f>
        <v>382706</v>
      </c>
      <c r="C42" s="310">
        <f>C38+C34+C27+C13+C6</f>
        <v>3980398.137</v>
      </c>
      <c r="D42" s="310">
        <f>D38+D34+D27+D13+D6</f>
        <v>4363104.137</v>
      </c>
    </row>
    <row r="43" spans="1:4" s="91" customFormat="1" ht="15.75">
      <c r="A43" s="184" t="s">
        <v>268</v>
      </c>
      <c r="B43" s="311">
        <f>B44+B45</f>
        <v>0</v>
      </c>
      <c r="C43" s="312">
        <f>C44+C45</f>
        <v>238104.8629999999</v>
      </c>
      <c r="D43" s="312">
        <f>D44+D45</f>
        <v>238104.8629999999</v>
      </c>
    </row>
    <row r="44" spans="1:4" ht="15.75">
      <c r="A44" s="313" t="s">
        <v>269</v>
      </c>
      <c r="B44" s="303">
        <v>0</v>
      </c>
      <c r="C44" s="314">
        <f>'7_sz_ melléklet'!B25</f>
        <v>207777.8629999999</v>
      </c>
      <c r="D44" s="315">
        <f>SUM(B44:C44)</f>
        <v>207777.8629999999</v>
      </c>
    </row>
    <row r="45" spans="1:4" ht="15.75">
      <c r="A45" s="88" t="s">
        <v>270</v>
      </c>
      <c r="B45" s="274">
        <f>'2_k_ sz_ melléklet'!D41</f>
        <v>0</v>
      </c>
      <c r="C45" s="290">
        <f>'7_sz_ melléklet'!B49</f>
        <v>30327</v>
      </c>
      <c r="D45" s="316">
        <f>SUM(B45:C45)</f>
        <v>30327</v>
      </c>
    </row>
    <row r="46" spans="1:4" s="91" customFormat="1" ht="15.75">
      <c r="A46" s="90" t="s">
        <v>271</v>
      </c>
      <c r="B46" s="310">
        <f>B43+B42</f>
        <v>382706</v>
      </c>
      <c r="C46" s="310">
        <f>C43+C42</f>
        <v>4218503</v>
      </c>
      <c r="D46" s="317">
        <f>D43+D42</f>
        <v>4601209</v>
      </c>
    </row>
  </sheetData>
  <sheetProtection/>
  <mergeCells count="2">
    <mergeCell ref="A1:D1"/>
    <mergeCell ref="A2:D2"/>
  </mergeCells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1">
      <selection activeCell="A50" sqref="A1:D50"/>
    </sheetView>
  </sheetViews>
  <sheetFormatPr defaultColWidth="9.140625" defaultRowHeight="12.75"/>
  <cols>
    <col min="1" max="1" width="44.140625" style="0" customWidth="1"/>
    <col min="2" max="2" width="14.28125" style="0" customWidth="1"/>
    <col min="3" max="3" width="13.00390625" style="0" customWidth="1"/>
    <col min="4" max="4" width="13.8515625" style="0" customWidth="1"/>
  </cols>
  <sheetData>
    <row r="1" spans="1:4" ht="15">
      <c r="A1" s="1023" t="s">
        <v>272</v>
      </c>
      <c r="B1" s="1023"/>
      <c r="C1" s="1023"/>
      <c r="D1" s="1023"/>
    </row>
    <row r="2" spans="3:4" ht="23.25" customHeight="1">
      <c r="C2" s="30"/>
      <c r="D2" s="318" t="s">
        <v>273</v>
      </c>
    </row>
    <row r="3" spans="1:4" ht="15.75">
      <c r="A3" s="1014" t="s">
        <v>274</v>
      </c>
      <c r="B3" s="1014"/>
      <c r="C3" s="1014"/>
      <c r="D3" s="1014"/>
    </row>
    <row r="4" ht="12.75">
      <c r="D4" s="31" t="s">
        <v>33</v>
      </c>
    </row>
    <row r="5" spans="1:4" ht="26.25">
      <c r="A5" s="261" t="s">
        <v>232</v>
      </c>
      <c r="B5" s="319" t="s">
        <v>84</v>
      </c>
      <c r="C5" s="320" t="s">
        <v>275</v>
      </c>
      <c r="D5" s="320" t="s">
        <v>179</v>
      </c>
    </row>
    <row r="6" spans="1:4" ht="12.75">
      <c r="A6" s="321" t="s">
        <v>276</v>
      </c>
      <c r="B6" s="76">
        <f>'2_k_ sz_ melléklet'!D10</f>
        <v>0</v>
      </c>
      <c r="C6" s="196">
        <f>'2_k_ sz_ melléklet'!D56</f>
        <v>5400</v>
      </c>
      <c r="D6" s="196">
        <f>SUM(B6:C6)</f>
        <v>5400</v>
      </c>
    </row>
    <row r="7" spans="1:4" ht="12.75">
      <c r="A7" s="71" t="s">
        <v>277</v>
      </c>
      <c r="B7" s="76">
        <f>'2_k_ sz_ melléklet'!D11</f>
        <v>25596</v>
      </c>
      <c r="C7" s="130">
        <f>'2_k_ sz_ melléklet'!D57</f>
        <v>170162</v>
      </c>
      <c r="D7" s="130">
        <f>SUM(B7:C7)</f>
        <v>195758</v>
      </c>
    </row>
    <row r="8" spans="1:4" ht="12.75">
      <c r="A8" s="291" t="s">
        <v>278</v>
      </c>
      <c r="B8" s="76">
        <f>'2_k_ sz_ melléklet'!D12</f>
        <v>0</v>
      </c>
      <c r="C8" s="130">
        <f>'2_k_ sz_ melléklet'!D58</f>
        <v>30864</v>
      </c>
      <c r="D8" s="130">
        <f>SUM(B8:C8)</f>
        <v>30864</v>
      </c>
    </row>
    <row r="9" spans="1:4" ht="12.75">
      <c r="A9" s="322" t="s">
        <v>279</v>
      </c>
      <c r="B9" s="76">
        <f>'2_k_ sz_ melléklet'!D13</f>
        <v>410</v>
      </c>
      <c r="C9" s="130">
        <f>'2_k_ sz_ melléklet'!D59</f>
        <v>2560</v>
      </c>
      <c r="D9" s="130">
        <f>SUM(B9:C9)</f>
        <v>2970</v>
      </c>
    </row>
    <row r="10" spans="1:4" ht="12.75">
      <c r="A10" s="291" t="s">
        <v>280</v>
      </c>
      <c r="B10" s="76">
        <f>'2_k_ sz_ melléklet'!D14</f>
        <v>60</v>
      </c>
      <c r="C10" s="323">
        <f>'2_k_ sz_ melléklet'!D60</f>
        <v>1694</v>
      </c>
      <c r="D10" s="324">
        <f>C10+B10</f>
        <v>1754</v>
      </c>
    </row>
    <row r="11" spans="1:4" ht="13.5" thickBot="1">
      <c r="A11" s="90" t="s">
        <v>281</v>
      </c>
      <c r="B11" s="74">
        <f>SUM(B6:B10)</f>
        <v>26066</v>
      </c>
      <c r="C11" s="242">
        <f>SUM(C6:C10)</f>
        <v>210680</v>
      </c>
      <c r="D11" s="16">
        <f>SUM(D6:D10)</f>
        <v>236746</v>
      </c>
    </row>
    <row r="12" spans="1:4" ht="12.75">
      <c r="A12" s="325"/>
      <c r="B12" s="199"/>
      <c r="C12" s="947"/>
      <c r="D12" s="947"/>
    </row>
    <row r="13" spans="1:4" ht="12.75" customHeight="1">
      <c r="A13" s="325"/>
      <c r="B13" s="323"/>
      <c r="C13" s="228"/>
      <c r="D13" s="228"/>
    </row>
    <row r="14" spans="1:4" ht="15">
      <c r="A14" s="1023" t="s">
        <v>282</v>
      </c>
      <c r="B14" s="1023"/>
      <c r="C14" s="1023"/>
      <c r="D14" s="1023"/>
    </row>
    <row r="15" spans="1:4" ht="15" customHeight="1">
      <c r="A15" s="325"/>
      <c r="B15" s="37"/>
      <c r="C15" s="83"/>
      <c r="D15" s="83"/>
    </row>
    <row r="16" spans="1:4" ht="15.75">
      <c r="A16" s="1014" t="s">
        <v>283</v>
      </c>
      <c r="B16" s="1014"/>
      <c r="C16" s="1014"/>
      <c r="D16" s="1014"/>
    </row>
    <row r="17" spans="1:4" ht="12.75">
      <c r="A17" s="325"/>
      <c r="B17" s="37"/>
      <c r="D17" s="31" t="s">
        <v>33</v>
      </c>
    </row>
    <row r="18" spans="1:4" ht="26.25">
      <c r="A18" s="949" t="s">
        <v>232</v>
      </c>
      <c r="B18" s="950" t="s">
        <v>84</v>
      </c>
      <c r="C18" s="951" t="s">
        <v>275</v>
      </c>
      <c r="D18" s="952" t="s">
        <v>179</v>
      </c>
    </row>
    <row r="19" spans="1:4" s="81" customFormat="1" ht="12.75">
      <c r="A19" s="953" t="s">
        <v>284</v>
      </c>
      <c r="B19" s="941">
        <v>60</v>
      </c>
      <c r="C19" s="327"/>
      <c r="D19" s="954">
        <f aca="true" t="shared" si="0" ref="D19:D25">SUM(B19:C19)</f>
        <v>60</v>
      </c>
    </row>
    <row r="20" spans="1:4" s="81" customFormat="1" ht="12.75">
      <c r="A20" s="955" t="s">
        <v>1143</v>
      </c>
      <c r="B20" s="942">
        <v>0</v>
      </c>
      <c r="C20" s="328">
        <v>800</v>
      </c>
      <c r="D20" s="956">
        <f t="shared" si="0"/>
        <v>800</v>
      </c>
    </row>
    <row r="21" spans="1:4" s="81" customFormat="1" ht="12.75">
      <c r="A21" s="953" t="s">
        <v>1144</v>
      </c>
      <c r="B21" s="943"/>
      <c r="C21" s="847">
        <v>250</v>
      </c>
      <c r="D21" s="956">
        <f t="shared" si="0"/>
        <v>250</v>
      </c>
    </row>
    <row r="22" spans="1:4" s="81" customFormat="1" ht="12.75">
      <c r="A22" s="957" t="s">
        <v>1121</v>
      </c>
      <c r="B22" s="943"/>
      <c r="C22" s="847">
        <v>550</v>
      </c>
      <c r="D22" s="956">
        <f t="shared" si="0"/>
        <v>550</v>
      </c>
    </row>
    <row r="23" spans="1:4" s="81" customFormat="1" ht="12.75">
      <c r="A23" s="957" t="s">
        <v>1122</v>
      </c>
      <c r="B23" s="943"/>
      <c r="C23" s="847">
        <v>14</v>
      </c>
      <c r="D23" s="956">
        <f t="shared" si="0"/>
        <v>14</v>
      </c>
    </row>
    <row r="24" spans="1:4" s="81" customFormat="1" ht="13.5" thickBot="1">
      <c r="A24" s="958" t="s">
        <v>1123</v>
      </c>
      <c r="B24" s="943"/>
      <c r="C24" s="847">
        <v>80</v>
      </c>
      <c r="D24" s="956">
        <f t="shared" si="0"/>
        <v>80</v>
      </c>
    </row>
    <row r="25" spans="1:4" ht="13.5" thickBot="1">
      <c r="A25" s="940" t="s">
        <v>1120</v>
      </c>
      <c r="B25" s="944"/>
      <c r="C25" s="848">
        <v>644</v>
      </c>
      <c r="D25" s="849">
        <f t="shared" si="0"/>
        <v>644</v>
      </c>
    </row>
    <row r="26" spans="1:4" ht="26.25" thickBot="1">
      <c r="A26" s="959" t="s">
        <v>283</v>
      </c>
      <c r="B26" s="945">
        <f>SUM(B19:B24)</f>
        <v>60</v>
      </c>
      <c r="C26" s="960">
        <f>SUM(C19:C24)</f>
        <v>1694</v>
      </c>
      <c r="D26" s="961">
        <f>SUM(D19:D24)</f>
        <v>1754</v>
      </c>
    </row>
    <row r="27" spans="1:4" ht="16.5" customHeight="1">
      <c r="A27" s="325"/>
      <c r="B27" s="37"/>
      <c r="C27" s="37"/>
      <c r="D27" s="37"/>
    </row>
    <row r="28" spans="1:4" ht="15">
      <c r="A28" s="329"/>
      <c r="B28" s="329" t="s">
        <v>285</v>
      </c>
      <c r="D28" s="26"/>
    </row>
    <row r="29" spans="1:4" ht="15.75">
      <c r="A29" s="1014" t="s">
        <v>286</v>
      </c>
      <c r="B29" s="1014"/>
      <c r="C29" s="330"/>
      <c r="D29" s="330"/>
    </row>
    <row r="30" spans="1:4" ht="14.25">
      <c r="A30" s="325"/>
      <c r="B30" s="226" t="s">
        <v>80</v>
      </c>
      <c r="C30" s="330"/>
      <c r="D30" s="330"/>
    </row>
    <row r="31" spans="1:4" ht="15.75">
      <c r="A31" s="331" t="s">
        <v>232</v>
      </c>
      <c r="B31" s="33" t="s">
        <v>215</v>
      </c>
      <c r="C31" s="325"/>
      <c r="D31" s="325"/>
    </row>
    <row r="32" spans="1:4" ht="12.75">
      <c r="A32" s="251"/>
      <c r="B32" s="35" t="s">
        <v>287</v>
      </c>
      <c r="C32" s="325"/>
      <c r="D32" s="325"/>
    </row>
    <row r="33" spans="1:4" ht="12.75">
      <c r="A33" s="70" t="s">
        <v>288</v>
      </c>
      <c r="B33" s="69">
        <v>95000</v>
      </c>
      <c r="C33" s="37"/>
      <c r="D33" s="37"/>
    </row>
    <row r="34" spans="1:4" ht="12.75">
      <c r="A34" s="70" t="s">
        <v>289</v>
      </c>
      <c r="B34" s="48">
        <v>0</v>
      </c>
      <c r="C34" s="37"/>
      <c r="D34" s="37"/>
    </row>
    <row r="35" spans="1:4" ht="12.75">
      <c r="A35" s="70" t="s">
        <v>290</v>
      </c>
      <c r="B35" s="48">
        <v>0</v>
      </c>
      <c r="C35" s="37"/>
      <c r="D35" s="37"/>
    </row>
    <row r="36" spans="1:4" ht="12.75">
      <c r="A36" s="88" t="s">
        <v>291</v>
      </c>
      <c r="B36" s="39">
        <v>18000</v>
      </c>
      <c r="C36" s="37"/>
      <c r="D36" s="37"/>
    </row>
    <row r="37" spans="1:4" ht="26.25" customHeight="1">
      <c r="A37" s="332" t="s">
        <v>292</v>
      </c>
      <c r="B37" s="333">
        <v>545000</v>
      </c>
      <c r="C37" s="334"/>
      <c r="D37" s="334"/>
    </row>
    <row r="38" spans="1:4" ht="25.5" customHeight="1">
      <c r="A38" s="332" t="s">
        <v>293</v>
      </c>
      <c r="B38" s="335">
        <v>1000</v>
      </c>
      <c r="C38" s="334"/>
      <c r="D38" s="334"/>
    </row>
    <row r="39" spans="1:4" ht="12.75">
      <c r="A39" s="66" t="s">
        <v>294</v>
      </c>
      <c r="B39" s="201">
        <f>SUM(B33:B38)</f>
        <v>659000</v>
      </c>
      <c r="C39" s="334"/>
      <c r="D39" s="334"/>
    </row>
    <row r="40" spans="1:4" ht="12.75">
      <c r="A40" s="336" t="s">
        <v>295</v>
      </c>
      <c r="B40" s="16">
        <v>5000</v>
      </c>
      <c r="C40" s="37"/>
      <c r="D40" s="37"/>
    </row>
    <row r="41" spans="1:4" ht="12.75">
      <c r="A41" s="337" t="s">
        <v>296</v>
      </c>
      <c r="B41" s="338">
        <v>24564</v>
      </c>
      <c r="C41" s="37"/>
      <c r="D41" s="37"/>
    </row>
    <row r="42" spans="1:4" ht="13.5" thickBot="1">
      <c r="A42" s="336" t="s">
        <v>297</v>
      </c>
      <c r="B42" s="339">
        <v>1000</v>
      </c>
      <c r="C42" s="37"/>
      <c r="D42" s="37"/>
    </row>
    <row r="43" spans="1:4" ht="12.75">
      <c r="A43" s="948"/>
      <c r="B43" s="37"/>
      <c r="C43" s="37"/>
      <c r="D43" s="37"/>
    </row>
    <row r="44" spans="1:4" ht="12.75">
      <c r="A44" s="948"/>
      <c r="B44" s="37"/>
      <c r="C44" s="37"/>
      <c r="D44" s="37"/>
    </row>
    <row r="45" spans="1:4" ht="12.75">
      <c r="A45" s="948"/>
      <c r="B45" s="37"/>
      <c r="C45" s="37"/>
      <c r="D45" s="37"/>
    </row>
    <row r="46" spans="1:4" ht="12.75">
      <c r="A46" s="948"/>
      <c r="B46" s="37"/>
      <c r="C46" s="37"/>
      <c r="D46" s="37"/>
    </row>
    <row r="47" spans="1:4" ht="12.75">
      <c r="A47" s="948"/>
      <c r="B47" s="37"/>
      <c r="C47" s="37"/>
      <c r="D47" s="37"/>
    </row>
    <row r="48" spans="1:4" ht="12.75">
      <c r="A48" s="948"/>
      <c r="B48" s="37"/>
      <c r="C48" s="37"/>
      <c r="D48" s="37"/>
    </row>
    <row r="49" spans="1:4" ht="12.75">
      <c r="A49" s="948"/>
      <c r="B49" s="37"/>
      <c r="C49" s="37"/>
      <c r="D49" s="37"/>
    </row>
    <row r="50" spans="1:4" ht="12.75">
      <c r="A50" s="948"/>
      <c r="B50" s="37"/>
      <c r="C50" s="37"/>
      <c r="D50" s="37"/>
    </row>
    <row r="51" spans="1:4" ht="12.75">
      <c r="A51" s="948"/>
      <c r="B51" s="37"/>
      <c r="C51" s="37"/>
      <c r="D51" s="37"/>
    </row>
    <row r="52" spans="1:4" ht="12.75">
      <c r="A52" s="948"/>
      <c r="B52" s="37"/>
      <c r="C52" s="37"/>
      <c r="D52" s="37"/>
    </row>
    <row r="53" spans="1:4" ht="15">
      <c r="A53" s="325"/>
      <c r="B53" s="340" t="s">
        <v>298</v>
      </c>
      <c r="C53" s="37"/>
      <c r="D53" s="37"/>
    </row>
    <row r="54" spans="1:2" ht="15.75">
      <c r="A54" s="1014" t="s">
        <v>299</v>
      </c>
      <c r="B54" s="1014"/>
    </row>
    <row r="55" spans="1:4" ht="14.25">
      <c r="A55" s="325"/>
      <c r="B55" s="37"/>
      <c r="C55" s="330"/>
      <c r="D55" s="330"/>
    </row>
    <row r="56" spans="1:4" ht="14.25">
      <c r="A56" s="325"/>
      <c r="B56" s="226" t="s">
        <v>80</v>
      </c>
      <c r="C56" s="330"/>
      <c r="D56" s="330"/>
    </row>
    <row r="57" spans="1:4" ht="26.25">
      <c r="A57" s="331" t="s">
        <v>232</v>
      </c>
      <c r="B57" s="191" t="s">
        <v>179</v>
      </c>
      <c r="C57" s="330"/>
      <c r="D57" s="330"/>
    </row>
    <row r="58" spans="1:4" ht="12.75">
      <c r="A58" s="306" t="s">
        <v>300</v>
      </c>
      <c r="B58" s="69">
        <v>190789</v>
      </c>
      <c r="C58" s="325"/>
      <c r="D58" s="325"/>
    </row>
    <row r="59" spans="1:4" ht="12.75">
      <c r="A59" s="71" t="s">
        <v>301</v>
      </c>
      <c r="B59" s="48">
        <v>241339</v>
      </c>
      <c r="C59" s="37"/>
      <c r="D59" s="37"/>
    </row>
    <row r="60" spans="1:4" ht="12.75">
      <c r="A60" s="70" t="s">
        <v>302</v>
      </c>
      <c r="B60" s="48"/>
      <c r="C60" s="37"/>
      <c r="D60" s="37"/>
    </row>
    <row r="61" spans="1:4" ht="12.75">
      <c r="A61" s="70" t="s">
        <v>303</v>
      </c>
      <c r="B61" s="48">
        <v>95000</v>
      </c>
      <c r="C61" s="37"/>
      <c r="D61" s="37"/>
    </row>
    <row r="62" spans="1:4" ht="12.75">
      <c r="A62" s="70" t="s">
        <v>304</v>
      </c>
      <c r="B62" s="48">
        <v>0</v>
      </c>
      <c r="C62" s="37"/>
      <c r="D62" s="37"/>
    </row>
    <row r="63" spans="1:4" ht="12.75">
      <c r="A63" s="88" t="s">
        <v>305</v>
      </c>
      <c r="B63" s="39">
        <v>0</v>
      </c>
      <c r="C63" s="37"/>
      <c r="D63" s="37"/>
    </row>
    <row r="64" spans="1:4" ht="12.75">
      <c r="A64" s="341" t="s">
        <v>306</v>
      </c>
      <c r="B64" s="324">
        <v>0</v>
      </c>
      <c r="C64" s="37"/>
      <c r="D64" s="37"/>
    </row>
    <row r="65" spans="1:4" ht="12.75">
      <c r="A65" s="90" t="s">
        <v>307</v>
      </c>
      <c r="B65" s="16">
        <f>SUM(B58:B64)</f>
        <v>527128</v>
      </c>
      <c r="C65" s="334"/>
      <c r="D65" s="334"/>
    </row>
    <row r="66" spans="3:4" ht="12.75">
      <c r="C66" s="37"/>
      <c r="D66" s="37"/>
    </row>
  </sheetData>
  <sheetProtection/>
  <mergeCells count="6">
    <mergeCell ref="A1:D1"/>
    <mergeCell ref="A3:D3"/>
    <mergeCell ref="A14:D14"/>
    <mergeCell ref="A16:D16"/>
    <mergeCell ref="A29:B29"/>
    <mergeCell ref="A54:B54"/>
  </mergeCells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Mezőkövesd</cp:lastModifiedBy>
  <cp:lastPrinted>2009-06-18T11:14:01Z</cp:lastPrinted>
  <dcterms:modified xsi:type="dcterms:W3CDTF">2009-06-18T11:14:24Z</dcterms:modified>
  <cp:category/>
  <cp:version/>
  <cp:contentType/>
  <cp:contentStatus/>
</cp:coreProperties>
</file>